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46F41436-C42E-4FC1-BF59-0BE0B0F8812B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4" i="1" l="1"/>
  <c r="AJ74" i="1"/>
  <c r="E73" i="1"/>
  <c r="BN65" i="1"/>
  <c r="CC64" i="1"/>
  <c r="S64" i="1"/>
  <c r="BN69" i="1"/>
  <c r="U69" i="1"/>
  <c r="BN76" i="1"/>
  <c r="CC69" i="1"/>
  <c r="CC66" i="1"/>
  <c r="CC61" i="1"/>
  <c r="CC60" i="1"/>
  <c r="BY64" i="1"/>
  <c r="BY61" i="1"/>
  <c r="BY60" i="1"/>
  <c r="BH66" i="1"/>
  <c r="AE74" i="1"/>
  <c r="AE73" i="1"/>
  <c r="U73" i="1"/>
  <c r="P80" i="1"/>
  <c r="P74" i="1"/>
  <c r="P61" i="1"/>
  <c r="P60" i="1"/>
  <c r="E74" i="1"/>
  <c r="E69" i="1"/>
  <c r="E61" i="1"/>
  <c r="E60" i="1"/>
  <c r="C392" i="1" l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H540" i="10" s="1"/>
  <c r="E539" i="10"/>
  <c r="D539" i="10"/>
  <c r="B539" i="10"/>
  <c r="H539" i="10" s="1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H535" i="10" s="1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F529" i="10" s="1"/>
  <c r="E528" i="10"/>
  <c r="D528" i="10"/>
  <c r="B528" i="10"/>
  <c r="H528" i="10" s="1"/>
  <c r="E527" i="10"/>
  <c r="D527" i="10"/>
  <c r="B527" i="10"/>
  <c r="H527" i="10" s="1"/>
  <c r="E526" i="10"/>
  <c r="D526" i="10"/>
  <c r="B526" i="10"/>
  <c r="E525" i="10"/>
  <c r="D525" i="10"/>
  <c r="B525" i="10"/>
  <c r="F525" i="10" s="1"/>
  <c r="E524" i="10"/>
  <c r="D524" i="10"/>
  <c r="B524" i="10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F519" i="10" s="1"/>
  <c r="E518" i="10"/>
  <c r="D518" i="10"/>
  <c r="B518" i="10"/>
  <c r="F518" i="10" s="1"/>
  <c r="E517" i="10"/>
  <c r="D517" i="10"/>
  <c r="B517" i="10"/>
  <c r="H517" i="10" s="1"/>
  <c r="H516" i="10"/>
  <c r="E516" i="10"/>
  <c r="D516" i="10"/>
  <c r="B516" i="10"/>
  <c r="F516" i="10" s="1"/>
  <c r="E515" i="10"/>
  <c r="D515" i="10"/>
  <c r="B515" i="10"/>
  <c r="F515" i="10" s="1"/>
  <c r="E514" i="10"/>
  <c r="D514" i="10"/>
  <c r="B514" i="10"/>
  <c r="B513" i="10"/>
  <c r="H513" i="10" s="1"/>
  <c r="B512" i="10"/>
  <c r="F512" i="10" s="1"/>
  <c r="E511" i="10"/>
  <c r="D511" i="10"/>
  <c r="B511" i="10"/>
  <c r="F511" i="10" s="1"/>
  <c r="E510" i="10"/>
  <c r="D510" i="10"/>
  <c r="B510" i="10"/>
  <c r="H510" i="10" s="1"/>
  <c r="E509" i="10"/>
  <c r="D509" i="10"/>
  <c r="B509" i="10"/>
  <c r="E508" i="10"/>
  <c r="D508" i="10"/>
  <c r="B508" i="10"/>
  <c r="F508" i="10" s="1"/>
  <c r="E507" i="10"/>
  <c r="D507" i="10"/>
  <c r="B507" i="10"/>
  <c r="F507" i="10" s="1"/>
  <c r="E506" i="10"/>
  <c r="D506" i="10"/>
  <c r="B506" i="10"/>
  <c r="H506" i="10" s="1"/>
  <c r="E505" i="10"/>
  <c r="D505" i="10"/>
  <c r="B505" i="10"/>
  <c r="E504" i="10"/>
  <c r="D504" i="10"/>
  <c r="B504" i="10"/>
  <c r="F504" i="10" s="1"/>
  <c r="E503" i="10"/>
  <c r="D503" i="10"/>
  <c r="B503" i="10"/>
  <c r="F503" i="10" s="1"/>
  <c r="E502" i="10"/>
  <c r="D502" i="10"/>
  <c r="B502" i="10"/>
  <c r="H502" i="10" s="1"/>
  <c r="E501" i="10"/>
  <c r="D501" i="10"/>
  <c r="B501" i="10"/>
  <c r="H501" i="10" s="1"/>
  <c r="E500" i="10"/>
  <c r="D500" i="10"/>
  <c r="B500" i="10"/>
  <c r="F500" i="10" s="1"/>
  <c r="E499" i="10"/>
  <c r="D499" i="10"/>
  <c r="B499" i="10"/>
  <c r="F499" i="10" s="1"/>
  <c r="E498" i="10"/>
  <c r="D498" i="10"/>
  <c r="B498" i="10"/>
  <c r="E497" i="10"/>
  <c r="D497" i="10"/>
  <c r="B497" i="10"/>
  <c r="H497" i="10" s="1"/>
  <c r="E496" i="10"/>
  <c r="D496" i="10"/>
  <c r="B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C471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6" i="10"/>
  <c r="C445" i="10"/>
  <c r="C444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389" i="10"/>
  <c r="D372" i="10"/>
  <c r="D367" i="10"/>
  <c r="C448" i="10" s="1"/>
  <c r="C366" i="10"/>
  <c r="C447" i="10" s="1"/>
  <c r="D361" i="10"/>
  <c r="B465" i="10" s="1"/>
  <c r="C332" i="10"/>
  <c r="D329" i="10"/>
  <c r="D328" i="10"/>
  <c r="D319" i="10"/>
  <c r="C309" i="10"/>
  <c r="D314" i="10" s="1"/>
  <c r="D290" i="10"/>
  <c r="D283" i="10"/>
  <c r="D275" i="10"/>
  <c r="B476" i="10" s="1"/>
  <c r="D265" i="10"/>
  <c r="C250" i="10"/>
  <c r="D260" i="10" s="1"/>
  <c r="C239" i="10"/>
  <c r="D240" i="10" s="1"/>
  <c r="B447" i="10" s="1"/>
  <c r="D236" i="10"/>
  <c r="B446" i="10" s="1"/>
  <c r="D229" i="10"/>
  <c r="B445" i="10" s="1"/>
  <c r="D221" i="10"/>
  <c r="B444" i="10" s="1"/>
  <c r="C217" i="10"/>
  <c r="D433" i="10" s="1"/>
  <c r="B217" i="10"/>
  <c r="E216" i="10"/>
  <c r="E215" i="10"/>
  <c r="E214" i="10"/>
  <c r="D213" i="10"/>
  <c r="E213" i="10" s="1"/>
  <c r="C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C472" i="10" s="1"/>
  <c r="E198" i="10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B142" i="10"/>
  <c r="E142" i="10" s="1"/>
  <c r="D464" i="10" s="1"/>
  <c r="E141" i="10"/>
  <c r="E140" i="10"/>
  <c r="E139" i="10"/>
  <c r="C415" i="10" s="1"/>
  <c r="E138" i="10"/>
  <c r="C414" i="10" s="1"/>
  <c r="E127" i="10"/>
  <c r="CE80" i="10"/>
  <c r="L612" i="10" s="1"/>
  <c r="P80" i="10"/>
  <c r="CF79" i="10"/>
  <c r="CE79" i="10"/>
  <c r="J612" i="10" s="1"/>
  <c r="CE78" i="10"/>
  <c r="I612" i="10" s="1"/>
  <c r="CE77" i="10"/>
  <c r="CF77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X75" i="10"/>
  <c r="W75" i="10"/>
  <c r="V75" i="10"/>
  <c r="T75" i="10"/>
  <c r="S75" i="10"/>
  <c r="R75" i="10"/>
  <c r="Q75" i="10"/>
  <c r="O75" i="10"/>
  <c r="N75" i="10"/>
  <c r="M75" i="10"/>
  <c r="L75" i="10"/>
  <c r="K75" i="10"/>
  <c r="J75" i="10"/>
  <c r="I75" i="10"/>
  <c r="H75" i="10"/>
  <c r="G75" i="10"/>
  <c r="F75" i="10"/>
  <c r="D75" i="10"/>
  <c r="C75" i="10"/>
  <c r="Y74" i="10"/>
  <c r="Y75" i="10" s="1"/>
  <c r="U74" i="10"/>
  <c r="P74" i="10"/>
  <c r="P75" i="10" s="1"/>
  <c r="E74" i="10"/>
  <c r="U73" i="10"/>
  <c r="U75" i="10" s="1"/>
  <c r="E73" i="10"/>
  <c r="CD71" i="10"/>
  <c r="C575" i="10" s="1"/>
  <c r="CE70" i="10"/>
  <c r="C458" i="10" s="1"/>
  <c r="CC69" i="10"/>
  <c r="BN69" i="10"/>
  <c r="E69" i="10"/>
  <c r="CE68" i="10"/>
  <c r="C434" i="10" s="1"/>
  <c r="CC66" i="10"/>
  <c r="CE66" i="10" s="1"/>
  <c r="C432" i="10" s="1"/>
  <c r="BH66" i="10"/>
  <c r="E66" i="10"/>
  <c r="CE65" i="10"/>
  <c r="C431" i="10" s="1"/>
  <c r="BN65" i="10"/>
  <c r="CC64" i="10"/>
  <c r="BN64" i="10"/>
  <c r="AJ64" i="10"/>
  <c r="U64" i="10"/>
  <c r="P64" i="10"/>
  <c r="E64" i="10"/>
  <c r="CE63" i="10"/>
  <c r="C429" i="10" s="1"/>
  <c r="R63" i="10"/>
  <c r="CC61" i="10"/>
  <c r="P61" i="10"/>
  <c r="E61" i="10"/>
  <c r="CC60" i="10"/>
  <c r="P60" i="10"/>
  <c r="E60" i="10"/>
  <c r="B53" i="10"/>
  <c r="CE51" i="10"/>
  <c r="B48" i="10"/>
  <c r="CE47" i="10"/>
  <c r="F514" i="10" l="1"/>
  <c r="H500" i="10"/>
  <c r="H530" i="10"/>
  <c r="CF76" i="10"/>
  <c r="D52" i="10"/>
  <c r="D67" i="10" s="1"/>
  <c r="N52" i="10"/>
  <c r="N67" i="10" s="1"/>
  <c r="Y52" i="10"/>
  <c r="Y67" i="10" s="1"/>
  <c r="AJ52" i="10"/>
  <c r="AJ67" i="10" s="1"/>
  <c r="AT52" i="10"/>
  <c r="AT67" i="10" s="1"/>
  <c r="BZ52" i="10"/>
  <c r="BZ67" i="10" s="1"/>
  <c r="CE74" i="10"/>
  <c r="C464" i="10" s="1"/>
  <c r="H504" i="10"/>
  <c r="F526" i="10"/>
  <c r="AS52" i="10"/>
  <c r="AS67" i="10" s="1"/>
  <c r="H538" i="10"/>
  <c r="F52" i="10"/>
  <c r="F67" i="10" s="1"/>
  <c r="Q52" i="10"/>
  <c r="Q67" i="10" s="1"/>
  <c r="AB52" i="10"/>
  <c r="AB67" i="10" s="1"/>
  <c r="AL52" i="10"/>
  <c r="AL67" i="10" s="1"/>
  <c r="AW52" i="10"/>
  <c r="AW67" i="10" s="1"/>
  <c r="BH52" i="10"/>
  <c r="BH67" i="10" s="1"/>
  <c r="CC52" i="10"/>
  <c r="CC67" i="10" s="1"/>
  <c r="H520" i="10"/>
  <c r="F524" i="10"/>
  <c r="M52" i="10"/>
  <c r="M67" i="10" s="1"/>
  <c r="BD52" i="10"/>
  <c r="BD67" i="10" s="1"/>
  <c r="P52" i="10"/>
  <c r="P67" i="10" s="1"/>
  <c r="BF52" i="10"/>
  <c r="BF67" i="10" s="1"/>
  <c r="R52" i="10"/>
  <c r="R67" i="10" s="1"/>
  <c r="AN52" i="10"/>
  <c r="AN67" i="10" s="1"/>
  <c r="BI52" i="10"/>
  <c r="BI67" i="10" s="1"/>
  <c r="BN52" i="10"/>
  <c r="BN67" i="10" s="1"/>
  <c r="H52" i="10"/>
  <c r="H67" i="10" s="1"/>
  <c r="AC52" i="10"/>
  <c r="AC67" i="10" s="1"/>
  <c r="AX52" i="10"/>
  <c r="AX67" i="10" s="1"/>
  <c r="I52" i="10"/>
  <c r="I67" i="10" s="1"/>
  <c r="T52" i="10"/>
  <c r="T67" i="10" s="1"/>
  <c r="AD52" i="10"/>
  <c r="AD67" i="10" s="1"/>
  <c r="AO52" i="10"/>
  <c r="AO67" i="10" s="1"/>
  <c r="AZ52" i="10"/>
  <c r="AZ67" i="10" s="1"/>
  <c r="BJ52" i="10"/>
  <c r="BJ67" i="10" s="1"/>
  <c r="BU52" i="10"/>
  <c r="BU67" i="10" s="1"/>
  <c r="D217" i="10"/>
  <c r="F522" i="10"/>
  <c r="H534" i="10"/>
  <c r="G612" i="10"/>
  <c r="E52" i="10"/>
  <c r="E67" i="10" s="1"/>
  <c r="Z52" i="10"/>
  <c r="Z67" i="10" s="1"/>
  <c r="AV52" i="10"/>
  <c r="AV67" i="10" s="1"/>
  <c r="BQ52" i="10"/>
  <c r="BQ67" i="10" s="1"/>
  <c r="U52" i="10"/>
  <c r="U67" i="10" s="1"/>
  <c r="AF52" i="10"/>
  <c r="AF67" i="10" s="1"/>
  <c r="AP52" i="10"/>
  <c r="AP67" i="10" s="1"/>
  <c r="BA52" i="10"/>
  <c r="BA67" i="10" s="1"/>
  <c r="BL52" i="10"/>
  <c r="BL67" i="10" s="1"/>
  <c r="BV52" i="10"/>
  <c r="BV67" i="10" s="1"/>
  <c r="D438" i="10"/>
  <c r="H508" i="10"/>
  <c r="CE60" i="10"/>
  <c r="H612" i="10" s="1"/>
  <c r="B49" i="10"/>
  <c r="E75" i="10"/>
  <c r="CE75" i="10" s="1"/>
  <c r="CE73" i="10"/>
  <c r="C463" i="10" s="1"/>
  <c r="E204" i="10"/>
  <c r="C476" i="10" s="1"/>
  <c r="C52" i="10"/>
  <c r="G52" i="10"/>
  <c r="G67" i="10" s="1"/>
  <c r="K52" i="10"/>
  <c r="K67" i="10" s="1"/>
  <c r="O52" i="10"/>
  <c r="O67" i="10" s="1"/>
  <c r="S52" i="10"/>
  <c r="S67" i="10" s="1"/>
  <c r="W52" i="10"/>
  <c r="W67" i="10" s="1"/>
  <c r="AA52" i="10"/>
  <c r="AA67" i="10" s="1"/>
  <c r="AE52" i="10"/>
  <c r="AE67" i="10" s="1"/>
  <c r="AI52" i="10"/>
  <c r="AI67" i="10" s="1"/>
  <c r="AM52" i="10"/>
  <c r="AM67" i="10" s="1"/>
  <c r="AQ52" i="10"/>
  <c r="AQ67" i="10" s="1"/>
  <c r="AU52" i="10"/>
  <c r="AU67" i="10" s="1"/>
  <c r="AY52" i="10"/>
  <c r="AY67" i="10" s="1"/>
  <c r="BC52" i="10"/>
  <c r="BC67" i="10" s="1"/>
  <c r="BG52" i="10"/>
  <c r="BG67" i="10" s="1"/>
  <c r="BK52" i="10"/>
  <c r="BK67" i="10" s="1"/>
  <c r="BO52" i="10"/>
  <c r="BO67" i="10" s="1"/>
  <c r="BS52" i="10"/>
  <c r="BS67" i="10" s="1"/>
  <c r="BW52" i="10"/>
  <c r="BW67" i="10" s="1"/>
  <c r="CE61" i="10"/>
  <c r="N48" i="10" s="1"/>
  <c r="N62" i="10" s="1"/>
  <c r="N71" i="10" s="1"/>
  <c r="CE64" i="10"/>
  <c r="D463" i="10"/>
  <c r="D465" i="10" s="1"/>
  <c r="E217" i="10"/>
  <c r="C478" i="10" s="1"/>
  <c r="D242" i="10"/>
  <c r="B448" i="10" s="1"/>
  <c r="D277" i="10"/>
  <c r="D292" i="10" s="1"/>
  <c r="D341" i="10" s="1"/>
  <c r="C481" i="10" s="1"/>
  <c r="F496" i="10"/>
  <c r="C439" i="10"/>
  <c r="F528" i="10"/>
  <c r="F532" i="10"/>
  <c r="F536" i="10"/>
  <c r="F540" i="10"/>
  <c r="F545" i="10"/>
  <c r="CE69" i="10"/>
  <c r="C440" i="10" s="1"/>
  <c r="D330" i="10"/>
  <c r="D339" i="10" s="1"/>
  <c r="C482" i="10" s="1"/>
  <c r="B439" i="10"/>
  <c r="B440" i="10" s="1"/>
  <c r="D390" i="10"/>
  <c r="B441" i="10" s="1"/>
  <c r="F498" i="10"/>
  <c r="F502" i="10"/>
  <c r="F506" i="10"/>
  <c r="F510" i="10"/>
  <c r="D368" i="10"/>
  <c r="D373" i="10" s="1"/>
  <c r="F497" i="10"/>
  <c r="H499" i="10"/>
  <c r="F501" i="10"/>
  <c r="H503" i="10"/>
  <c r="F505" i="10"/>
  <c r="H507" i="10"/>
  <c r="F509" i="10"/>
  <c r="F513" i="10"/>
  <c r="H515" i="10"/>
  <c r="F517" i="10"/>
  <c r="H519" i="10"/>
  <c r="F523" i="10"/>
  <c r="H525" i="10"/>
  <c r="F527" i="10"/>
  <c r="F531" i="10"/>
  <c r="H533" i="10"/>
  <c r="F535" i="10"/>
  <c r="H537" i="10"/>
  <c r="F539" i="10"/>
  <c r="F544" i="10"/>
  <c r="B575" i="1"/>
  <c r="F493" i="1"/>
  <c r="D493" i="1"/>
  <c r="B493" i="1"/>
  <c r="CA52" i="10" l="1"/>
  <c r="CA67" i="10" s="1"/>
  <c r="L52" i="10"/>
  <c r="L67" i="10" s="1"/>
  <c r="AR52" i="10"/>
  <c r="AR67" i="10" s="1"/>
  <c r="BM52" i="10"/>
  <c r="BM67" i="10" s="1"/>
  <c r="V52" i="10"/>
  <c r="V67" i="10" s="1"/>
  <c r="BX52" i="10"/>
  <c r="BX67" i="10" s="1"/>
  <c r="BB52" i="10"/>
  <c r="BB67" i="10" s="1"/>
  <c r="AG52" i="10"/>
  <c r="AG67" i="10" s="1"/>
  <c r="AK52" i="10"/>
  <c r="AK67" i="10" s="1"/>
  <c r="BP52" i="10"/>
  <c r="BP67" i="10" s="1"/>
  <c r="BY52" i="10"/>
  <c r="BY67" i="10" s="1"/>
  <c r="J52" i="10"/>
  <c r="J67" i="10" s="1"/>
  <c r="BT52" i="10"/>
  <c r="BT67" i="10" s="1"/>
  <c r="CB52" i="10"/>
  <c r="CB67" i="10" s="1"/>
  <c r="BR52" i="10"/>
  <c r="BR67" i="10" s="1"/>
  <c r="X52" i="10"/>
  <c r="X67" i="10" s="1"/>
  <c r="BE52" i="10"/>
  <c r="BE67" i="10" s="1"/>
  <c r="AH52" i="10"/>
  <c r="AH67" i="10" s="1"/>
  <c r="C679" i="10"/>
  <c r="C507" i="10"/>
  <c r="G507" i="10" s="1"/>
  <c r="B507" i="1"/>
  <c r="C465" i="10"/>
  <c r="K612" i="10"/>
  <c r="AX48" i="10"/>
  <c r="AX62" i="10" s="1"/>
  <c r="AX71" i="10" s="1"/>
  <c r="M780" i="10" s="1"/>
  <c r="R48" i="10"/>
  <c r="R62" i="10" s="1"/>
  <c r="R71" i="10" s="1"/>
  <c r="M48" i="10"/>
  <c r="M62" i="10" s="1"/>
  <c r="M71" i="10" s="1"/>
  <c r="M743" i="10" s="1"/>
  <c r="AC48" i="10"/>
  <c r="AC62" i="10" s="1"/>
  <c r="AC71" i="10" s="1"/>
  <c r="AS48" i="10"/>
  <c r="AS62" i="10" s="1"/>
  <c r="AS71" i="10" s="1"/>
  <c r="BI48" i="10"/>
  <c r="BI62" i="10" s="1"/>
  <c r="BI71" i="10" s="1"/>
  <c r="BY48" i="10"/>
  <c r="BY62" i="10" s="1"/>
  <c r="BY71" i="10" s="1"/>
  <c r="K48" i="10"/>
  <c r="K62" i="10" s="1"/>
  <c r="K71" i="10" s="1"/>
  <c r="M741" i="10" s="1"/>
  <c r="AA48" i="10"/>
  <c r="AA62" i="10" s="1"/>
  <c r="AA71" i="10" s="1"/>
  <c r="M757" i="10" s="1"/>
  <c r="AQ48" i="10"/>
  <c r="AQ62" i="10" s="1"/>
  <c r="AQ71" i="10" s="1"/>
  <c r="BG48" i="10"/>
  <c r="BG62" i="10" s="1"/>
  <c r="BG71" i="10" s="1"/>
  <c r="BW48" i="10"/>
  <c r="BW62" i="10" s="1"/>
  <c r="BW71" i="10" s="1"/>
  <c r="AT48" i="10"/>
  <c r="AT62" i="10" s="1"/>
  <c r="AT71" i="10" s="1"/>
  <c r="C427" i="10"/>
  <c r="CB48" i="10"/>
  <c r="CB62" i="10" s="1"/>
  <c r="CB71" i="10" s="1"/>
  <c r="BT48" i="10"/>
  <c r="BT62" i="10" s="1"/>
  <c r="BT71" i="10" s="1"/>
  <c r="M802" i="10" s="1"/>
  <c r="BL48" i="10"/>
  <c r="BL62" i="10" s="1"/>
  <c r="BL71" i="10" s="1"/>
  <c r="M794" i="10" s="1"/>
  <c r="BD48" i="10"/>
  <c r="BD62" i="10" s="1"/>
  <c r="BD71" i="10" s="1"/>
  <c r="AV48" i="10"/>
  <c r="AV62" i="10" s="1"/>
  <c r="AV71" i="10" s="1"/>
  <c r="AN48" i="10"/>
  <c r="AN62" i="10" s="1"/>
  <c r="AN71" i="10" s="1"/>
  <c r="AF48" i="10"/>
  <c r="AF62" i="10" s="1"/>
  <c r="AF71" i="10" s="1"/>
  <c r="X48" i="10"/>
  <c r="X62" i="10" s="1"/>
  <c r="P48" i="10"/>
  <c r="P62" i="10" s="1"/>
  <c r="P71" i="10" s="1"/>
  <c r="H48" i="10"/>
  <c r="H62" i="10" s="1"/>
  <c r="H71" i="10" s="1"/>
  <c r="BX48" i="10"/>
  <c r="BX62" i="10" s="1"/>
  <c r="BX71" i="10" s="1"/>
  <c r="M806" i="10" s="1"/>
  <c r="BH48" i="10"/>
  <c r="BH62" i="10" s="1"/>
  <c r="BH71" i="10" s="1"/>
  <c r="M790" i="10" s="1"/>
  <c r="AR48" i="10"/>
  <c r="AR62" i="10" s="1"/>
  <c r="AR71" i="10" s="1"/>
  <c r="AB48" i="10"/>
  <c r="AB62" i="10" s="1"/>
  <c r="AB71" i="10" s="1"/>
  <c r="T48" i="10"/>
  <c r="T62" i="10" s="1"/>
  <c r="T71" i="10" s="1"/>
  <c r="D48" i="10"/>
  <c r="D62" i="10" s="1"/>
  <c r="D71" i="10" s="1"/>
  <c r="BP48" i="10"/>
  <c r="BP62" i="10" s="1"/>
  <c r="BP71" i="10" s="1"/>
  <c r="AZ48" i="10"/>
  <c r="AZ62" i="10" s="1"/>
  <c r="AZ71" i="10" s="1"/>
  <c r="M782" i="10" s="1"/>
  <c r="AJ48" i="10"/>
  <c r="AJ62" i="10" s="1"/>
  <c r="AJ71" i="10" s="1"/>
  <c r="M766" i="10" s="1"/>
  <c r="L48" i="10"/>
  <c r="L62" i="10" s="1"/>
  <c r="L71" i="10" s="1"/>
  <c r="Z48" i="10"/>
  <c r="Z62" i="10" s="1"/>
  <c r="Z71" i="10" s="1"/>
  <c r="Y48" i="10"/>
  <c r="Y62" i="10" s="1"/>
  <c r="Y71" i="10" s="1"/>
  <c r="BU48" i="10"/>
  <c r="BU62" i="10" s="1"/>
  <c r="BU71" i="10" s="1"/>
  <c r="AM48" i="10"/>
  <c r="AM62" i="10" s="1"/>
  <c r="AM71" i="10" s="1"/>
  <c r="V48" i="10"/>
  <c r="V62" i="10" s="1"/>
  <c r="V71" i="10" s="1"/>
  <c r="D391" i="10"/>
  <c r="D393" i="10" s="1"/>
  <c r="D396" i="10" s="1"/>
  <c r="BV48" i="10"/>
  <c r="BV62" i="10" s="1"/>
  <c r="BV71" i="10" s="1"/>
  <c r="M804" i="10" s="1"/>
  <c r="AP48" i="10"/>
  <c r="AP62" i="10" s="1"/>
  <c r="AP71" i="10" s="1"/>
  <c r="J48" i="10"/>
  <c r="J62" i="10" s="1"/>
  <c r="J71" i="10" s="1"/>
  <c r="Q48" i="10"/>
  <c r="Q62" i="10" s="1"/>
  <c r="Q71" i="10" s="1"/>
  <c r="AG48" i="10"/>
  <c r="AG62" i="10" s="1"/>
  <c r="AW48" i="10"/>
  <c r="AW62" i="10" s="1"/>
  <c r="AW71" i="10" s="1"/>
  <c r="BM48" i="10"/>
  <c r="BM62" i="10" s="1"/>
  <c r="BM71" i="10" s="1"/>
  <c r="CC48" i="10"/>
  <c r="CC62" i="10" s="1"/>
  <c r="CC71" i="10" s="1"/>
  <c r="M811" i="10" s="1"/>
  <c r="O48" i="10"/>
  <c r="O62" i="10" s="1"/>
  <c r="O71" i="10" s="1"/>
  <c r="M745" i="10" s="1"/>
  <c r="AE48" i="10"/>
  <c r="AE62" i="10" s="1"/>
  <c r="AE71" i="10" s="1"/>
  <c r="AU48" i="10"/>
  <c r="AU62" i="10" s="1"/>
  <c r="AU71" i="10" s="1"/>
  <c r="BK48" i="10"/>
  <c r="BK62" i="10" s="1"/>
  <c r="BK71" i="10" s="1"/>
  <c r="CA48" i="10"/>
  <c r="CA62" i="10" s="1"/>
  <c r="CA71" i="10" s="1"/>
  <c r="BR48" i="10"/>
  <c r="BR62" i="10" s="1"/>
  <c r="AL48" i="10"/>
  <c r="AL62" i="10" s="1"/>
  <c r="AL71" i="10" s="1"/>
  <c r="F48" i="10"/>
  <c r="F62" i="10" s="1"/>
  <c r="F71" i="10" s="1"/>
  <c r="M736" i="10" s="1"/>
  <c r="BF48" i="10"/>
  <c r="BF62" i="10" s="1"/>
  <c r="BF71" i="10" s="1"/>
  <c r="I48" i="10"/>
  <c r="I62" i="10" s="1"/>
  <c r="I71" i="10" s="1"/>
  <c r="AO48" i="10"/>
  <c r="AO62" i="10" s="1"/>
  <c r="AO71" i="10" s="1"/>
  <c r="BE48" i="10"/>
  <c r="BE62" i="10" s="1"/>
  <c r="BE71" i="10" s="1"/>
  <c r="G48" i="10"/>
  <c r="G62" i="10" s="1"/>
  <c r="G71" i="10" s="1"/>
  <c r="W48" i="10"/>
  <c r="W62" i="10" s="1"/>
  <c r="W71" i="10" s="1"/>
  <c r="BC48" i="10"/>
  <c r="BC62" i="10" s="1"/>
  <c r="BC71" i="10" s="1"/>
  <c r="BS48" i="10"/>
  <c r="BS62" i="10" s="1"/>
  <c r="BS71" i="10" s="1"/>
  <c r="BB48" i="10"/>
  <c r="BB62" i="10" s="1"/>
  <c r="BB71" i="10" s="1"/>
  <c r="F612" i="10"/>
  <c r="C430" i="10"/>
  <c r="C67" i="10"/>
  <c r="BN48" i="10"/>
  <c r="BN62" i="10" s="1"/>
  <c r="BN71" i="10" s="1"/>
  <c r="AH48" i="10"/>
  <c r="AH62" i="10" s="1"/>
  <c r="AH71" i="10" s="1"/>
  <c r="E48" i="10"/>
  <c r="E62" i="10" s="1"/>
  <c r="E71" i="10" s="1"/>
  <c r="M735" i="10" s="1"/>
  <c r="U48" i="10"/>
  <c r="U62" i="10" s="1"/>
  <c r="U71" i="10" s="1"/>
  <c r="AK48" i="10"/>
  <c r="AK62" i="10" s="1"/>
  <c r="AK71" i="10" s="1"/>
  <c r="BA48" i="10"/>
  <c r="BA62" i="10" s="1"/>
  <c r="BA71" i="10" s="1"/>
  <c r="BQ48" i="10"/>
  <c r="BQ62" i="10" s="1"/>
  <c r="BQ71" i="10" s="1"/>
  <c r="C48" i="10"/>
  <c r="S48" i="10"/>
  <c r="S62" i="10" s="1"/>
  <c r="S71" i="10" s="1"/>
  <c r="AI48" i="10"/>
  <c r="AI62" i="10" s="1"/>
  <c r="AI71" i="10" s="1"/>
  <c r="AY48" i="10"/>
  <c r="AY62" i="10" s="1"/>
  <c r="AY71" i="10" s="1"/>
  <c r="M781" i="10" s="1"/>
  <c r="BO48" i="10"/>
  <c r="BO62" i="10" s="1"/>
  <c r="BO71" i="10" s="1"/>
  <c r="BJ48" i="10"/>
  <c r="BJ62" i="10" s="1"/>
  <c r="BJ71" i="10" s="1"/>
  <c r="AD48" i="10"/>
  <c r="AD62" i="10" s="1"/>
  <c r="AD71" i="10" s="1"/>
  <c r="BZ48" i="10"/>
  <c r="BZ62" i="10" s="1"/>
  <c r="BZ71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805" i="10"/>
  <c r="E785" i="10"/>
  <c r="E809" i="10"/>
  <c r="E789" i="10"/>
  <c r="E777" i="10"/>
  <c r="E773" i="10"/>
  <c r="E735" i="10"/>
  <c r="E742" i="10"/>
  <c r="D815" i="10"/>
  <c r="E765" i="10"/>
  <c r="E787" i="10"/>
  <c r="E734" i="10"/>
  <c r="BI729" i="10"/>
  <c r="R815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D48" i="1" s="1"/>
  <c r="D62" i="1" s="1"/>
  <c r="CE65" i="1"/>
  <c r="C431" i="1" s="1"/>
  <c r="CE63" i="1"/>
  <c r="C429" i="1" s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N751" i="1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B476" i="1" s="1"/>
  <c r="D277" i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E198" i="1"/>
  <c r="E199" i="1"/>
  <c r="C472" i="1" s="1"/>
  <c r="E200" i="1"/>
  <c r="F12" i="6" s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5" i="1"/>
  <c r="N761" i="1"/>
  <c r="N768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4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N766" i="1"/>
  <c r="N760" i="1"/>
  <c r="N758" i="1"/>
  <c r="N753" i="1"/>
  <c r="N747" i="1"/>
  <c r="G122" i="9"/>
  <c r="H58" i="9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AE48" i="1"/>
  <c r="AE62" i="1" s="1"/>
  <c r="BI48" i="1"/>
  <c r="BI62" i="1" s="1"/>
  <c r="E268" i="9" s="1"/>
  <c r="CD722" i="1"/>
  <c r="CD71" i="1"/>
  <c r="BE48" i="1"/>
  <c r="BE62" i="1" s="1"/>
  <c r="H236" i="9" s="1"/>
  <c r="AO48" i="1"/>
  <c r="AO62" i="1" s="1"/>
  <c r="N765" i="1"/>
  <c r="N757" i="1"/>
  <c r="K816" i="1"/>
  <c r="C615" i="1"/>
  <c r="V815" i="1"/>
  <c r="E372" i="9"/>
  <c r="BY48" i="1"/>
  <c r="BY62" i="1" s="1"/>
  <c r="BV48" i="1"/>
  <c r="BV62" i="1" s="1"/>
  <c r="AX48" i="1"/>
  <c r="AX62" i="1" s="1"/>
  <c r="AT48" i="1"/>
  <c r="AT62" i="1" s="1"/>
  <c r="N48" i="1"/>
  <c r="N62" i="1" s="1"/>
  <c r="F48" i="1"/>
  <c r="F62" i="1" s="1"/>
  <c r="B441" i="1"/>
  <c r="B10" i="4"/>
  <c r="M816" i="1"/>
  <c r="I372" i="9" l="1"/>
  <c r="R48" i="1"/>
  <c r="R62" i="1" s="1"/>
  <c r="D76" i="9" s="1"/>
  <c r="BB48" i="1"/>
  <c r="BB62" i="1" s="1"/>
  <c r="AA48" i="1"/>
  <c r="AA62" i="1" s="1"/>
  <c r="F108" i="9" s="1"/>
  <c r="BM48" i="1"/>
  <c r="BM62" i="1" s="1"/>
  <c r="AU48" i="1"/>
  <c r="AU62" i="1" s="1"/>
  <c r="F90" i="9"/>
  <c r="N769" i="1"/>
  <c r="F13" i="6"/>
  <c r="U48" i="1"/>
  <c r="U62" i="1" s="1"/>
  <c r="G76" i="9" s="1"/>
  <c r="C33" i="8"/>
  <c r="BR71" i="10"/>
  <c r="C563" i="10" s="1"/>
  <c r="X71" i="10"/>
  <c r="AI48" i="1"/>
  <c r="AI62" i="1" s="1"/>
  <c r="E766" i="1" s="1"/>
  <c r="N743" i="1"/>
  <c r="AF48" i="1"/>
  <c r="AF62" i="1" s="1"/>
  <c r="E763" i="1" s="1"/>
  <c r="BJ48" i="1"/>
  <c r="BJ62" i="1" s="1"/>
  <c r="C48" i="1"/>
  <c r="C62" i="1" s="1"/>
  <c r="E734" i="1" s="1"/>
  <c r="AY48" i="1"/>
  <c r="AY62" i="1" s="1"/>
  <c r="E782" i="1" s="1"/>
  <c r="AK48" i="1"/>
  <c r="AK62" i="1" s="1"/>
  <c r="E768" i="1" s="1"/>
  <c r="N740" i="1"/>
  <c r="C27" i="5"/>
  <c r="E781" i="10"/>
  <c r="CE52" i="10"/>
  <c r="AG71" i="10"/>
  <c r="M763" i="10" s="1"/>
  <c r="E757" i="10"/>
  <c r="G10" i="4"/>
  <c r="AD48" i="1"/>
  <c r="AD62" i="1" s="1"/>
  <c r="BD48" i="1"/>
  <c r="BD62" i="1" s="1"/>
  <c r="G236" i="9" s="1"/>
  <c r="AH48" i="1"/>
  <c r="AH62" i="1" s="1"/>
  <c r="BL48" i="1"/>
  <c r="BL62" i="1" s="1"/>
  <c r="BW48" i="1"/>
  <c r="BW62" i="1" s="1"/>
  <c r="E806" i="1" s="1"/>
  <c r="BA48" i="1"/>
  <c r="BA62" i="1" s="1"/>
  <c r="D816" i="1"/>
  <c r="AS48" i="1"/>
  <c r="AS62" i="1" s="1"/>
  <c r="C204" i="9" s="1"/>
  <c r="CE67" i="10"/>
  <c r="C433" i="10" s="1"/>
  <c r="L48" i="1"/>
  <c r="L62" i="1" s="1"/>
  <c r="E743" i="1" s="1"/>
  <c r="E801" i="10"/>
  <c r="F814" i="10"/>
  <c r="AN48" i="1"/>
  <c r="AN62" i="1" s="1"/>
  <c r="E172" i="9" s="1"/>
  <c r="BN48" i="1"/>
  <c r="BN62" i="1" s="1"/>
  <c r="CC48" i="1"/>
  <c r="CC62" i="1" s="1"/>
  <c r="E812" i="1" s="1"/>
  <c r="AP48" i="1"/>
  <c r="AP62" i="1" s="1"/>
  <c r="BT48" i="1"/>
  <c r="BT62" i="1" s="1"/>
  <c r="E803" i="1" s="1"/>
  <c r="Q48" i="1"/>
  <c r="Q62" i="1" s="1"/>
  <c r="X48" i="1"/>
  <c r="X62" i="1" s="1"/>
  <c r="N777" i="1"/>
  <c r="E736" i="10"/>
  <c r="E738" i="10"/>
  <c r="N748" i="1"/>
  <c r="W48" i="1"/>
  <c r="W62" i="1" s="1"/>
  <c r="I76" i="9" s="1"/>
  <c r="V48" i="1"/>
  <c r="V62" i="1" s="1"/>
  <c r="AL48" i="1"/>
  <c r="AL62" i="1" s="1"/>
  <c r="C172" i="9" s="1"/>
  <c r="AV48" i="1"/>
  <c r="AV62" i="1" s="1"/>
  <c r="E779" i="1" s="1"/>
  <c r="BF48" i="1"/>
  <c r="BF62" i="1" s="1"/>
  <c r="I236" i="9" s="1"/>
  <c r="BR48" i="1"/>
  <c r="BR62" i="1" s="1"/>
  <c r="G300" i="9" s="1"/>
  <c r="CA48" i="1"/>
  <c r="CA62" i="1" s="1"/>
  <c r="I332" i="9" s="1"/>
  <c r="BO48" i="1"/>
  <c r="BO62" i="1" s="1"/>
  <c r="D300" i="9" s="1"/>
  <c r="AG48" i="1"/>
  <c r="AG62" i="1" s="1"/>
  <c r="E140" i="9" s="1"/>
  <c r="BU48" i="1"/>
  <c r="BU62" i="1" s="1"/>
  <c r="C332" i="9" s="1"/>
  <c r="BS48" i="1"/>
  <c r="BS62" i="1" s="1"/>
  <c r="E802" i="1" s="1"/>
  <c r="E792" i="1"/>
  <c r="I366" i="9"/>
  <c r="J48" i="1"/>
  <c r="J62" i="1" s="1"/>
  <c r="E741" i="1" s="1"/>
  <c r="Z48" i="1"/>
  <c r="Z62" i="1" s="1"/>
  <c r="E757" i="1" s="1"/>
  <c r="AJ48" i="1"/>
  <c r="AJ62" i="1" s="1"/>
  <c r="E767" i="1" s="1"/>
  <c r="AR48" i="1"/>
  <c r="AR62" i="1" s="1"/>
  <c r="I172" i="9" s="1"/>
  <c r="AZ48" i="1"/>
  <c r="AZ62" i="1" s="1"/>
  <c r="C236" i="9" s="1"/>
  <c r="BH48" i="1"/>
  <c r="BH62" i="1" s="1"/>
  <c r="E791" i="1" s="1"/>
  <c r="BP48" i="1"/>
  <c r="BP62" i="1" s="1"/>
  <c r="E799" i="1" s="1"/>
  <c r="BX48" i="1"/>
  <c r="BX62" i="1" s="1"/>
  <c r="E807" i="1" s="1"/>
  <c r="K48" i="1"/>
  <c r="K62" i="1" s="1"/>
  <c r="E742" i="1" s="1"/>
  <c r="BG48" i="1"/>
  <c r="BG62" i="1" s="1"/>
  <c r="C268" i="9" s="1"/>
  <c r="I48" i="1"/>
  <c r="I62" i="1" s="1"/>
  <c r="E740" i="1" s="1"/>
  <c r="AW48" i="1"/>
  <c r="AW62" i="1" s="1"/>
  <c r="E780" i="1" s="1"/>
  <c r="E48" i="1"/>
  <c r="E62" i="1" s="1"/>
  <c r="E12" i="9" s="1"/>
  <c r="BQ48" i="1"/>
  <c r="BQ62" i="1" s="1"/>
  <c r="F300" i="9" s="1"/>
  <c r="O48" i="1"/>
  <c r="O62" i="1" s="1"/>
  <c r="E746" i="1" s="1"/>
  <c r="G48" i="1"/>
  <c r="G62" i="1" s="1"/>
  <c r="G12" i="9" s="1"/>
  <c r="CF77" i="1"/>
  <c r="G612" i="1"/>
  <c r="I381" i="9"/>
  <c r="N762" i="1"/>
  <c r="D815" i="1"/>
  <c r="C430" i="1"/>
  <c r="G816" i="1"/>
  <c r="N752" i="1"/>
  <c r="F815" i="1"/>
  <c r="P816" i="1"/>
  <c r="C464" i="1"/>
  <c r="E749" i="1"/>
  <c r="E787" i="1"/>
  <c r="H300" i="9"/>
  <c r="E752" i="1"/>
  <c r="N736" i="1"/>
  <c r="I300" i="9"/>
  <c r="E776" i="1"/>
  <c r="E737" i="1"/>
  <c r="C12" i="9"/>
  <c r="E788" i="1"/>
  <c r="E44" i="9"/>
  <c r="I140" i="9"/>
  <c r="D368" i="1"/>
  <c r="C120" i="8" s="1"/>
  <c r="C119" i="8"/>
  <c r="D330" i="1"/>
  <c r="C86" i="8" s="1"/>
  <c r="F8" i="6"/>
  <c r="C417" i="1"/>
  <c r="C560" i="10"/>
  <c r="C627" i="10"/>
  <c r="B560" i="1"/>
  <c r="C626" i="10"/>
  <c r="C704" i="10"/>
  <c r="C532" i="10"/>
  <c r="G532" i="10" s="1"/>
  <c r="B532" i="1"/>
  <c r="E769" i="10"/>
  <c r="T814" i="10"/>
  <c r="H814" i="10"/>
  <c r="R814" i="10"/>
  <c r="P814" i="10"/>
  <c r="C646" i="10"/>
  <c r="C571" i="10"/>
  <c r="B571" i="1"/>
  <c r="C625" i="10"/>
  <c r="C544" i="10"/>
  <c r="B544" i="1"/>
  <c r="C623" i="10"/>
  <c r="C562" i="10"/>
  <c r="B562" i="1"/>
  <c r="C670" i="10"/>
  <c r="C498" i="10"/>
  <c r="B498" i="1"/>
  <c r="C639" i="10"/>
  <c r="C564" i="10"/>
  <c r="B564" i="1"/>
  <c r="C614" i="10"/>
  <c r="C550" i="10"/>
  <c r="B550" i="1"/>
  <c r="C647" i="10"/>
  <c r="C572" i="10"/>
  <c r="B572" i="1"/>
  <c r="C508" i="10"/>
  <c r="G508" i="10" s="1"/>
  <c r="C680" i="10"/>
  <c r="B508" i="1"/>
  <c r="C698" i="10"/>
  <c r="C526" i="10"/>
  <c r="B526" i="1"/>
  <c r="C642" i="10"/>
  <c r="C567" i="10"/>
  <c r="B567" i="1"/>
  <c r="C641" i="10"/>
  <c r="C566" i="10"/>
  <c r="B566" i="1"/>
  <c r="C701" i="10"/>
  <c r="C529" i="10"/>
  <c r="B529" i="1"/>
  <c r="C685" i="10"/>
  <c r="C513" i="10"/>
  <c r="G513" i="10" s="1"/>
  <c r="B513" i="1"/>
  <c r="C644" i="10"/>
  <c r="C569" i="10"/>
  <c r="B569" i="1"/>
  <c r="C697" i="10"/>
  <c r="C525" i="10"/>
  <c r="G525" i="10" s="1"/>
  <c r="B525" i="1"/>
  <c r="C637" i="10"/>
  <c r="C557" i="10"/>
  <c r="B557" i="1"/>
  <c r="C708" i="10"/>
  <c r="C536" i="10"/>
  <c r="G536" i="10" s="1"/>
  <c r="B536" i="1"/>
  <c r="C634" i="10"/>
  <c r="C554" i="10"/>
  <c r="B554" i="1"/>
  <c r="C683" i="10"/>
  <c r="C511" i="10"/>
  <c r="B511" i="1"/>
  <c r="C62" i="10"/>
  <c r="CE48" i="10"/>
  <c r="C632" i="10"/>
  <c r="C547" i="10"/>
  <c r="B547" i="1"/>
  <c r="C629" i="10"/>
  <c r="C551" i="10"/>
  <c r="B551" i="1"/>
  <c r="C542" i="10"/>
  <c r="C631" i="10"/>
  <c r="B542" i="1"/>
  <c r="C677" i="10"/>
  <c r="C505" i="10"/>
  <c r="B505" i="1"/>
  <c r="C497" i="10"/>
  <c r="G497" i="10" s="1"/>
  <c r="C669" i="10"/>
  <c r="B497" i="1"/>
  <c r="C689" i="10"/>
  <c r="C517" i="10"/>
  <c r="G517" i="10" s="1"/>
  <c r="B517" i="1"/>
  <c r="C552" i="10"/>
  <c r="C618" i="10"/>
  <c r="B552" i="1"/>
  <c r="C678" i="10"/>
  <c r="C506" i="10"/>
  <c r="G506" i="10" s="1"/>
  <c r="B506" i="1"/>
  <c r="E797" i="10"/>
  <c r="E761" i="10"/>
  <c r="M754" i="10"/>
  <c r="M784" i="10"/>
  <c r="M789" i="10"/>
  <c r="M797" i="10"/>
  <c r="C695" i="10"/>
  <c r="C523" i="10"/>
  <c r="G523" i="10" s="1"/>
  <c r="B523" i="1"/>
  <c r="C700" i="10"/>
  <c r="C528" i="10"/>
  <c r="G528" i="10" s="1"/>
  <c r="B528" i="1"/>
  <c r="C630" i="10"/>
  <c r="C546" i="10"/>
  <c r="B546" i="1"/>
  <c r="C699" i="10"/>
  <c r="C527" i="10"/>
  <c r="G527" i="10" s="1"/>
  <c r="B527" i="1"/>
  <c r="C633" i="10"/>
  <c r="C548" i="10"/>
  <c r="B548" i="1"/>
  <c r="C706" i="10"/>
  <c r="C534" i="10"/>
  <c r="G534" i="10" s="1"/>
  <c r="B534" i="1"/>
  <c r="C671" i="10"/>
  <c r="C499" i="10"/>
  <c r="G499" i="10" s="1"/>
  <c r="B499" i="1"/>
  <c r="C635" i="10"/>
  <c r="C556" i="10"/>
  <c r="B556" i="1"/>
  <c r="C574" i="10"/>
  <c r="C620" i="10"/>
  <c r="B574" i="1"/>
  <c r="C682" i="10"/>
  <c r="C510" i="10"/>
  <c r="G510" i="10" s="1"/>
  <c r="B510" i="1"/>
  <c r="C690" i="10"/>
  <c r="C518" i="10"/>
  <c r="B518" i="1"/>
  <c r="C628" i="10"/>
  <c r="C545" i="10"/>
  <c r="G545" i="10" s="1"/>
  <c r="B545" i="1"/>
  <c r="C693" i="10"/>
  <c r="C521" i="10"/>
  <c r="B521" i="1"/>
  <c r="C673" i="10"/>
  <c r="C501" i="10"/>
  <c r="G501" i="10" s="1"/>
  <c r="B501" i="1"/>
  <c r="C705" i="10"/>
  <c r="C533" i="10"/>
  <c r="G533" i="10" s="1"/>
  <c r="B533" i="1"/>
  <c r="C640" i="10"/>
  <c r="C565" i="10"/>
  <c r="B565" i="1"/>
  <c r="C711" i="10"/>
  <c r="C539" i="10"/>
  <c r="G539" i="10" s="1"/>
  <c r="B539" i="1"/>
  <c r="C692" i="10"/>
  <c r="C520" i="10"/>
  <c r="G520" i="10" s="1"/>
  <c r="B520" i="1"/>
  <c r="C538" i="10"/>
  <c r="G538" i="10" s="1"/>
  <c r="C710" i="10"/>
  <c r="B538" i="1"/>
  <c r="C616" i="10"/>
  <c r="C543" i="10"/>
  <c r="B543" i="1"/>
  <c r="C686" i="10"/>
  <c r="C514" i="10"/>
  <c r="B514" i="1"/>
  <c r="C672" i="10"/>
  <c r="C500" i="10"/>
  <c r="G500" i="10" s="1"/>
  <c r="B500" i="1"/>
  <c r="C696" i="10"/>
  <c r="C524" i="10"/>
  <c r="B524" i="1"/>
  <c r="C707" i="10"/>
  <c r="C535" i="10"/>
  <c r="G535" i="10" s="1"/>
  <c r="B535" i="1"/>
  <c r="C636" i="10"/>
  <c r="C553" i="10"/>
  <c r="B553" i="1"/>
  <c r="C549" i="10"/>
  <c r="C624" i="10"/>
  <c r="B549" i="1"/>
  <c r="C645" i="10"/>
  <c r="C570" i="10"/>
  <c r="B570" i="1"/>
  <c r="M737" i="10"/>
  <c r="M751" i="10"/>
  <c r="M772" i="10"/>
  <c r="M788" i="10"/>
  <c r="C617" i="10"/>
  <c r="C555" i="10"/>
  <c r="B555" i="1"/>
  <c r="C684" i="10"/>
  <c r="C512" i="10"/>
  <c r="B512" i="1"/>
  <c r="C702" i="10"/>
  <c r="C530" i="10"/>
  <c r="G530" i="10" s="1"/>
  <c r="B530" i="1"/>
  <c r="C619" i="10"/>
  <c r="C559" i="10"/>
  <c r="B559" i="1"/>
  <c r="C688" i="10"/>
  <c r="C516" i="10"/>
  <c r="G516" i="10" s="1"/>
  <c r="B516" i="1"/>
  <c r="C674" i="10"/>
  <c r="C502" i="10"/>
  <c r="G502" i="10" s="1"/>
  <c r="B502" i="1"/>
  <c r="C703" i="10"/>
  <c r="C531" i="10"/>
  <c r="G531" i="10" s="1"/>
  <c r="B531" i="1"/>
  <c r="C712" i="10"/>
  <c r="C540" i="10"/>
  <c r="G540" i="10" s="1"/>
  <c r="B540" i="1"/>
  <c r="C638" i="10"/>
  <c r="C558" i="10"/>
  <c r="B558" i="1"/>
  <c r="C675" i="10"/>
  <c r="C503" i="10"/>
  <c r="G503" i="10" s="1"/>
  <c r="B503" i="1"/>
  <c r="C687" i="10"/>
  <c r="C515" i="10"/>
  <c r="G515" i="10" s="1"/>
  <c r="B515" i="1"/>
  <c r="C691" i="10"/>
  <c r="C519" i="10"/>
  <c r="G519" i="10" s="1"/>
  <c r="B519" i="1"/>
  <c r="C621" i="10"/>
  <c r="C561" i="10"/>
  <c r="B561" i="1"/>
  <c r="C709" i="10"/>
  <c r="C537" i="10"/>
  <c r="G537" i="10" s="1"/>
  <c r="B537" i="1"/>
  <c r="C681" i="10"/>
  <c r="C509" i="10"/>
  <c r="B509" i="1"/>
  <c r="C713" i="10"/>
  <c r="C541" i="10"/>
  <c r="B541" i="1"/>
  <c r="C622" i="10"/>
  <c r="C573" i="10"/>
  <c r="B573" i="1"/>
  <c r="C643" i="10"/>
  <c r="C568" i="10"/>
  <c r="B568" i="1"/>
  <c r="C676" i="10"/>
  <c r="C504" i="10"/>
  <c r="G504" i="10" s="1"/>
  <c r="B504" i="1"/>
  <c r="C694" i="10"/>
  <c r="C522" i="10"/>
  <c r="B522" i="1"/>
  <c r="I268" i="9"/>
  <c r="C44" i="9"/>
  <c r="E373" i="9"/>
  <c r="C575" i="1"/>
  <c r="E762" i="1"/>
  <c r="C140" i="9"/>
  <c r="E752" i="10"/>
  <c r="C14" i="5"/>
  <c r="D428" i="1"/>
  <c r="D612" i="1"/>
  <c r="CF76" i="1"/>
  <c r="BO52" i="1" s="1"/>
  <c r="BO67" i="1" s="1"/>
  <c r="E796" i="1"/>
  <c r="E795" i="1"/>
  <c r="H268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D332" i="9"/>
  <c r="E805" i="1"/>
  <c r="E781" i="1"/>
  <c r="H204" i="9"/>
  <c r="G44" i="9"/>
  <c r="E745" i="1"/>
  <c r="E236" i="9"/>
  <c r="E785" i="1"/>
  <c r="E801" i="1"/>
  <c r="B446" i="1"/>
  <c r="D242" i="1"/>
  <c r="E779" i="10"/>
  <c r="E795" i="10"/>
  <c r="F12" i="9"/>
  <c r="G140" i="9"/>
  <c r="E332" i="9"/>
  <c r="E736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778" i="1"/>
  <c r="E204" i="9"/>
  <c r="F7" i="6"/>
  <c r="E204" i="1"/>
  <c r="C468" i="1"/>
  <c r="I383" i="9"/>
  <c r="S816" i="1"/>
  <c r="D22" i="7"/>
  <c r="C40" i="5"/>
  <c r="N815" i="10"/>
  <c r="C420" i="1"/>
  <c r="B28" i="4"/>
  <c r="N772" i="1"/>
  <c r="F186" i="9"/>
  <c r="E763" i="10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140" i="9" l="1"/>
  <c r="E804" i="1"/>
  <c r="B563" i="1"/>
  <c r="E783" i="1"/>
  <c r="E771" i="1"/>
  <c r="D44" i="9"/>
  <c r="M800" i="10"/>
  <c r="E754" i="1"/>
  <c r="E789" i="1"/>
  <c r="E775" i="1"/>
  <c r="E769" i="1"/>
  <c r="BO71" i="1"/>
  <c r="D309" i="9" s="1"/>
  <c r="E798" i="1"/>
  <c r="E810" i="1"/>
  <c r="E300" i="9"/>
  <c r="E764" i="1"/>
  <c r="H140" i="9"/>
  <c r="F204" i="9"/>
  <c r="F332" i="9"/>
  <c r="E738" i="1"/>
  <c r="E108" i="9"/>
  <c r="E800" i="1"/>
  <c r="D268" i="9"/>
  <c r="E790" i="1"/>
  <c r="G204" i="9"/>
  <c r="H44" i="9"/>
  <c r="I12" i="9"/>
  <c r="AW52" i="1"/>
  <c r="AW67" i="1" s="1"/>
  <c r="AW71" i="1" s="1"/>
  <c r="G213" i="9" s="1"/>
  <c r="BE52" i="1"/>
  <c r="BE67" i="1" s="1"/>
  <c r="BE71" i="1" s="1"/>
  <c r="C614" i="1" s="1"/>
  <c r="D615" i="1" s="1"/>
  <c r="D684" i="1" s="1"/>
  <c r="AM52" i="1"/>
  <c r="AM67" i="1" s="1"/>
  <c r="J770" i="1" s="1"/>
  <c r="BY52" i="1"/>
  <c r="BY67" i="1" s="1"/>
  <c r="BY71" i="1" s="1"/>
  <c r="G341" i="9" s="1"/>
  <c r="AK52" i="1"/>
  <c r="AK67" i="1" s="1"/>
  <c r="AK71" i="1" s="1"/>
  <c r="C530" i="1" s="1"/>
  <c r="G530" i="1" s="1"/>
  <c r="AA52" i="1"/>
  <c r="AA67" i="1" s="1"/>
  <c r="AA71" i="1" s="1"/>
  <c r="C520" i="1" s="1"/>
  <c r="G520" i="1" s="1"/>
  <c r="M52" i="1"/>
  <c r="M67" i="1" s="1"/>
  <c r="M71" i="1" s="1"/>
  <c r="C506" i="1" s="1"/>
  <c r="G506" i="1" s="1"/>
  <c r="F52" i="1"/>
  <c r="F67" i="1" s="1"/>
  <c r="F71" i="1" s="1"/>
  <c r="F21" i="9" s="1"/>
  <c r="G52" i="1"/>
  <c r="G67" i="1" s="1"/>
  <c r="G71" i="1" s="1"/>
  <c r="G21" i="9" s="1"/>
  <c r="D52" i="1"/>
  <c r="D67" i="1" s="1"/>
  <c r="D71" i="1" s="1"/>
  <c r="D21" i="9" s="1"/>
  <c r="BN52" i="1"/>
  <c r="BN67" i="1" s="1"/>
  <c r="BN71" i="1" s="1"/>
  <c r="C619" i="1" s="1"/>
  <c r="BM52" i="1"/>
  <c r="BM67" i="1" s="1"/>
  <c r="BM71" i="1" s="1"/>
  <c r="C638" i="1" s="1"/>
  <c r="BQ52" i="1"/>
  <c r="BQ67" i="1" s="1"/>
  <c r="BQ71" i="1" s="1"/>
  <c r="C623" i="1" s="1"/>
  <c r="BR52" i="1"/>
  <c r="BR67" i="1" s="1"/>
  <c r="BR71" i="1" s="1"/>
  <c r="C563" i="1" s="1"/>
  <c r="CB52" i="1"/>
  <c r="CB67" i="1" s="1"/>
  <c r="J811" i="1" s="1"/>
  <c r="BD52" i="1"/>
  <c r="BD67" i="1" s="1"/>
  <c r="BD71" i="1" s="1"/>
  <c r="C549" i="1" s="1"/>
  <c r="AX52" i="1"/>
  <c r="AX67" i="1" s="1"/>
  <c r="AX71" i="1" s="1"/>
  <c r="C616" i="1" s="1"/>
  <c r="BV52" i="1"/>
  <c r="BV67" i="1" s="1"/>
  <c r="BV71" i="1" s="1"/>
  <c r="D341" i="9" s="1"/>
  <c r="T52" i="1"/>
  <c r="T67" i="1" s="1"/>
  <c r="T71" i="1" s="1"/>
  <c r="AY52" i="1"/>
  <c r="AY67" i="1" s="1"/>
  <c r="AY71" i="1" s="1"/>
  <c r="I213" i="9" s="1"/>
  <c r="BF52" i="1"/>
  <c r="BF67" i="1" s="1"/>
  <c r="BF71" i="1" s="1"/>
  <c r="C629" i="1" s="1"/>
  <c r="BP52" i="1"/>
  <c r="BP67" i="1" s="1"/>
  <c r="E305" i="9" s="1"/>
  <c r="H172" i="9"/>
  <c r="AF52" i="1"/>
  <c r="AF67" i="1" s="1"/>
  <c r="AF71" i="1" s="1"/>
  <c r="D149" i="9" s="1"/>
  <c r="BX52" i="1"/>
  <c r="BX67" i="1" s="1"/>
  <c r="BX71" i="1" s="1"/>
  <c r="C644" i="1" s="1"/>
  <c r="P52" i="1"/>
  <c r="P67" i="1" s="1"/>
  <c r="J747" i="1" s="1"/>
  <c r="BT52" i="1"/>
  <c r="BT67" i="1" s="1"/>
  <c r="AJ52" i="1"/>
  <c r="AJ67" i="1" s="1"/>
  <c r="AJ71" i="1" s="1"/>
  <c r="C701" i="1" s="1"/>
  <c r="AB52" i="1"/>
  <c r="AB67" i="1" s="1"/>
  <c r="J759" i="1" s="1"/>
  <c r="V52" i="1"/>
  <c r="V67" i="1" s="1"/>
  <c r="H81" i="9" s="1"/>
  <c r="H52" i="1"/>
  <c r="H67" i="1" s="1"/>
  <c r="H71" i="1" s="1"/>
  <c r="J799" i="1"/>
  <c r="AN52" i="1"/>
  <c r="AN67" i="1" s="1"/>
  <c r="E177" i="9" s="1"/>
  <c r="J52" i="1"/>
  <c r="J67" i="1" s="1"/>
  <c r="J741" i="1" s="1"/>
  <c r="AG52" i="1"/>
  <c r="AG67" i="1" s="1"/>
  <c r="E145" i="9" s="1"/>
  <c r="AH52" i="1"/>
  <c r="AH67" i="1" s="1"/>
  <c r="J765" i="1" s="1"/>
  <c r="CE62" i="1"/>
  <c r="CE48" i="1"/>
  <c r="E744" i="1"/>
  <c r="D108" i="9"/>
  <c r="E756" i="1"/>
  <c r="E811" i="1"/>
  <c r="G524" i="10"/>
  <c r="H524" i="10" s="1"/>
  <c r="G518" i="10"/>
  <c r="H518" i="10" s="1"/>
  <c r="G546" i="10"/>
  <c r="H546" i="10"/>
  <c r="G550" i="10"/>
  <c r="H550" i="10" s="1"/>
  <c r="G544" i="10"/>
  <c r="H544" i="10" s="1"/>
  <c r="G522" i="10"/>
  <c r="H522" i="10" s="1"/>
  <c r="G505" i="10"/>
  <c r="H505" i="10" s="1"/>
  <c r="G512" i="10"/>
  <c r="H512" i="10"/>
  <c r="G511" i="10"/>
  <c r="H511" i="10"/>
  <c r="C648" i="10"/>
  <c r="M716" i="10" s="1"/>
  <c r="D615" i="10"/>
  <c r="CE62" i="10"/>
  <c r="E815" i="10" s="1"/>
  <c r="C71" i="10"/>
  <c r="G526" i="10"/>
  <c r="H526" i="10" s="1"/>
  <c r="E733" i="10"/>
  <c r="G509" i="10"/>
  <c r="H509" i="10" s="1"/>
  <c r="G514" i="10"/>
  <c r="H514" i="10"/>
  <c r="G521" i="10"/>
  <c r="H521" i="10"/>
  <c r="G529" i="10"/>
  <c r="H529" i="10" s="1"/>
  <c r="G498" i="10"/>
  <c r="H498" i="10" s="1"/>
  <c r="F76" i="9"/>
  <c r="E751" i="1"/>
  <c r="J798" i="1"/>
  <c r="D305" i="9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C535" i="1" s="1"/>
  <c r="G535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C541" i="1" s="1"/>
  <c r="AL52" i="1"/>
  <c r="AL67" i="1" s="1"/>
  <c r="AL71" i="1" s="1"/>
  <c r="C703" i="1" s="1"/>
  <c r="CC52" i="1"/>
  <c r="CC67" i="1" s="1"/>
  <c r="CC71" i="1" s="1"/>
  <c r="C574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C700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G53" i="9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C539" i="1" s="1"/>
  <c r="G539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H53" i="9" s="1"/>
  <c r="BW52" i="1"/>
  <c r="BW67" i="1" s="1"/>
  <c r="BW71" i="1" s="1"/>
  <c r="C643" i="1" s="1"/>
  <c r="BI52" i="1"/>
  <c r="BI67" i="1" s="1"/>
  <c r="BI71" i="1" s="1"/>
  <c r="K52" i="1"/>
  <c r="K67" i="1" s="1"/>
  <c r="K71" i="1" s="1"/>
  <c r="D465" i="1"/>
  <c r="F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F277" i="9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D341" i="1"/>
  <c r="C481" i="1" s="1"/>
  <c r="C50" i="8"/>
  <c r="C627" i="1"/>
  <c r="C560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G209" i="9"/>
  <c r="J780" i="1"/>
  <c r="D177" i="9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H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J758" i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369" i="9" l="1"/>
  <c r="J744" i="1"/>
  <c r="C642" i="1"/>
  <c r="CB71" i="1"/>
  <c r="C373" i="9" s="1"/>
  <c r="J797" i="1"/>
  <c r="C309" i="9"/>
  <c r="F81" i="9"/>
  <c r="J767" i="1"/>
  <c r="C305" i="9"/>
  <c r="C559" i="1"/>
  <c r="J751" i="1"/>
  <c r="F117" i="9"/>
  <c r="P71" i="1"/>
  <c r="C509" i="1" s="1"/>
  <c r="G509" i="1" s="1"/>
  <c r="C542" i="1"/>
  <c r="C631" i="1"/>
  <c r="F113" i="9"/>
  <c r="I49" i="9"/>
  <c r="J801" i="1"/>
  <c r="D17" i="9"/>
  <c r="H241" i="9"/>
  <c r="J805" i="1"/>
  <c r="C669" i="1"/>
  <c r="G305" i="9"/>
  <c r="J735" i="1"/>
  <c r="J788" i="1"/>
  <c r="D337" i="9"/>
  <c r="C626" i="1"/>
  <c r="C692" i="1"/>
  <c r="C497" i="1"/>
  <c r="G497" i="1" s="1"/>
  <c r="C567" i="1"/>
  <c r="G309" i="9"/>
  <c r="H245" i="9"/>
  <c r="C678" i="1"/>
  <c r="AM71" i="1"/>
  <c r="C532" i="1" s="1"/>
  <c r="G532" i="1" s="1"/>
  <c r="H17" i="9"/>
  <c r="F53" i="9"/>
  <c r="F49" i="9"/>
  <c r="C702" i="1"/>
  <c r="I149" i="9"/>
  <c r="C569" i="1"/>
  <c r="C550" i="1"/>
  <c r="G550" i="1" s="1"/>
  <c r="C707" i="1"/>
  <c r="C624" i="1"/>
  <c r="C645" i="1"/>
  <c r="BP71" i="1"/>
  <c r="E309" i="9" s="1"/>
  <c r="J787" i="1"/>
  <c r="C529" i="1"/>
  <c r="G529" i="1" s="1"/>
  <c r="C181" i="9"/>
  <c r="J737" i="1"/>
  <c r="D704" i="1"/>
  <c r="J808" i="1"/>
  <c r="I273" i="9"/>
  <c r="C508" i="1"/>
  <c r="G508" i="1" s="1"/>
  <c r="J768" i="1"/>
  <c r="C528" i="1"/>
  <c r="G528" i="1" s="1"/>
  <c r="C570" i="1"/>
  <c r="D628" i="1"/>
  <c r="E21" i="9"/>
  <c r="J789" i="1"/>
  <c r="C617" i="1"/>
  <c r="C544" i="1"/>
  <c r="G544" i="1" s="1"/>
  <c r="C500" i="1"/>
  <c r="G500" i="1" s="1"/>
  <c r="G149" i="9"/>
  <c r="C620" i="1"/>
  <c r="D706" i="1"/>
  <c r="D644" i="1"/>
  <c r="C558" i="1"/>
  <c r="C671" i="1"/>
  <c r="C568" i="1"/>
  <c r="C625" i="1"/>
  <c r="G181" i="9"/>
  <c r="G337" i="9"/>
  <c r="I145" i="9"/>
  <c r="D711" i="1"/>
  <c r="J796" i="1"/>
  <c r="C499" i="1"/>
  <c r="G499" i="1" s="1"/>
  <c r="I117" i="9"/>
  <c r="C688" i="1"/>
  <c r="C697" i="1"/>
  <c r="C547" i="1"/>
  <c r="H209" i="9"/>
  <c r="J763" i="1"/>
  <c r="C531" i="1"/>
  <c r="G531" i="1" s="1"/>
  <c r="C632" i="1"/>
  <c r="D145" i="9"/>
  <c r="I245" i="9"/>
  <c r="D630" i="1"/>
  <c r="D623" i="1"/>
  <c r="D687" i="1"/>
  <c r="F309" i="9"/>
  <c r="D213" i="9"/>
  <c r="D622" i="1"/>
  <c r="D676" i="1"/>
  <c r="D631" i="1"/>
  <c r="D705" i="1"/>
  <c r="D639" i="1"/>
  <c r="D645" i="1"/>
  <c r="C679" i="1"/>
  <c r="D699" i="1"/>
  <c r="D682" i="1"/>
  <c r="D675" i="1"/>
  <c r="D686" i="1"/>
  <c r="D700" i="1"/>
  <c r="D692" i="1"/>
  <c r="C695" i="1"/>
  <c r="C555" i="1"/>
  <c r="C672" i="1"/>
  <c r="I85" i="9"/>
  <c r="H213" i="9"/>
  <c r="J781" i="1"/>
  <c r="C562" i="1"/>
  <c r="E341" i="9"/>
  <c r="F17" i="9"/>
  <c r="F305" i="9"/>
  <c r="C551" i="1"/>
  <c r="C543" i="1"/>
  <c r="I209" i="9"/>
  <c r="D373" i="9"/>
  <c r="G17" i="9"/>
  <c r="H149" i="9"/>
  <c r="F337" i="9"/>
  <c r="G245" i="9"/>
  <c r="I277" i="9"/>
  <c r="I241" i="9"/>
  <c r="H145" i="9"/>
  <c r="G241" i="9"/>
  <c r="J800" i="1"/>
  <c r="C670" i="1"/>
  <c r="J782" i="1"/>
  <c r="J738" i="1"/>
  <c r="C245" i="9"/>
  <c r="J807" i="1"/>
  <c r="J739" i="1"/>
  <c r="F341" i="9"/>
  <c r="C507" i="1"/>
  <c r="G507" i="1" s="1"/>
  <c r="C711" i="1"/>
  <c r="D681" i="1"/>
  <c r="D618" i="1"/>
  <c r="D625" i="1"/>
  <c r="D693" i="1"/>
  <c r="D624" i="1"/>
  <c r="D679" i="1"/>
  <c r="D683" i="1"/>
  <c r="D688" i="1"/>
  <c r="D695" i="1"/>
  <c r="D708" i="1"/>
  <c r="D619" i="1"/>
  <c r="D646" i="1"/>
  <c r="D643" i="1"/>
  <c r="D633" i="1"/>
  <c r="D680" i="1"/>
  <c r="D641" i="1"/>
  <c r="D668" i="1"/>
  <c r="D626" i="1"/>
  <c r="D710" i="1"/>
  <c r="D672" i="1"/>
  <c r="D696" i="1"/>
  <c r="D678" i="1"/>
  <c r="D701" i="1"/>
  <c r="D712" i="1"/>
  <c r="D689" i="1"/>
  <c r="D621" i="1"/>
  <c r="D640" i="1"/>
  <c r="D627" i="1"/>
  <c r="D677" i="1"/>
  <c r="D670" i="1"/>
  <c r="D673" i="1"/>
  <c r="D703" i="1"/>
  <c r="D691" i="1"/>
  <c r="D638" i="1"/>
  <c r="D669" i="1"/>
  <c r="D634" i="1"/>
  <c r="D620" i="1"/>
  <c r="D671" i="1"/>
  <c r="D629" i="1"/>
  <c r="F213" i="9"/>
  <c r="C545" i="1"/>
  <c r="G545" i="1" s="1"/>
  <c r="D635" i="1"/>
  <c r="D616" i="1"/>
  <c r="D647" i="1"/>
  <c r="D698" i="1"/>
  <c r="D694" i="1"/>
  <c r="D713" i="1"/>
  <c r="D637" i="1"/>
  <c r="D702" i="1"/>
  <c r="D707" i="1"/>
  <c r="D636" i="1"/>
  <c r="D690" i="1"/>
  <c r="D709" i="1"/>
  <c r="D685" i="1"/>
  <c r="D716" i="1"/>
  <c r="D697" i="1"/>
  <c r="D674" i="1"/>
  <c r="D617" i="1"/>
  <c r="D642" i="1"/>
  <c r="D632" i="1"/>
  <c r="C680" i="1"/>
  <c r="H117" i="9"/>
  <c r="C525" i="1"/>
  <c r="G525" i="1" s="1"/>
  <c r="C713" i="1"/>
  <c r="E815" i="1"/>
  <c r="C694" i="1"/>
  <c r="C536" i="1"/>
  <c r="G536" i="1" s="1"/>
  <c r="H181" i="9"/>
  <c r="C708" i="1"/>
  <c r="D117" i="9"/>
  <c r="C690" i="1"/>
  <c r="C518" i="1"/>
  <c r="G518" i="1" s="1"/>
  <c r="C501" i="1"/>
  <c r="G501" i="1" s="1"/>
  <c r="H21" i="9"/>
  <c r="C673" i="1"/>
  <c r="H277" i="9"/>
  <c r="C557" i="1"/>
  <c r="C637" i="1"/>
  <c r="C502" i="1"/>
  <c r="G502" i="1" s="1"/>
  <c r="C676" i="1"/>
  <c r="D53" i="9"/>
  <c r="C504" i="1"/>
  <c r="G504" i="1" s="1"/>
  <c r="F181" i="9"/>
  <c r="C706" i="1"/>
  <c r="C534" i="1"/>
  <c r="G534" i="1" s="1"/>
  <c r="I341" i="9"/>
  <c r="C519" i="1"/>
  <c r="G519" i="1" s="1"/>
  <c r="I181" i="9"/>
  <c r="J764" i="1"/>
  <c r="AG71" i="1"/>
  <c r="C524" i="1"/>
  <c r="C696" i="1"/>
  <c r="C149" i="9"/>
  <c r="C554" i="1"/>
  <c r="E277" i="9"/>
  <c r="C634" i="1"/>
  <c r="C682" i="1"/>
  <c r="C85" i="9"/>
  <c r="C510" i="1"/>
  <c r="G510" i="1" s="1"/>
  <c r="C710" i="1"/>
  <c r="C213" i="9"/>
  <c r="C538" i="1"/>
  <c r="G538" i="1" s="1"/>
  <c r="C639" i="1"/>
  <c r="H309" i="9"/>
  <c r="C564" i="1"/>
  <c r="G85" i="9"/>
  <c r="C686" i="1"/>
  <c r="C514" i="1"/>
  <c r="G514" i="1" s="1"/>
  <c r="C572" i="1"/>
  <c r="E117" i="9"/>
  <c r="C709" i="1"/>
  <c r="C49" i="9"/>
  <c r="J71" i="1"/>
  <c r="I21" i="9"/>
  <c r="C277" i="9"/>
  <c r="C552" i="1"/>
  <c r="C546" i="1"/>
  <c r="G546" i="1" s="1"/>
  <c r="C630" i="1"/>
  <c r="D245" i="9"/>
  <c r="C511" i="1"/>
  <c r="C683" i="1"/>
  <c r="D85" i="9"/>
  <c r="C540" i="1"/>
  <c r="G540" i="1" s="1"/>
  <c r="C712" i="1"/>
  <c r="E213" i="9"/>
  <c r="C618" i="1"/>
  <c r="D277" i="9"/>
  <c r="C553" i="1"/>
  <c r="J753" i="1"/>
  <c r="V71" i="1"/>
  <c r="C517" i="1"/>
  <c r="G517" i="1" s="1"/>
  <c r="C117" i="9"/>
  <c r="C689" i="1"/>
  <c r="C641" i="1"/>
  <c r="C341" i="9"/>
  <c r="C566" i="1"/>
  <c r="C677" i="1"/>
  <c r="E53" i="9"/>
  <c r="C505" i="1"/>
  <c r="F145" i="9"/>
  <c r="AH71" i="1"/>
  <c r="J771" i="1"/>
  <c r="AN71" i="1"/>
  <c r="G113" i="9"/>
  <c r="AB71" i="1"/>
  <c r="J803" i="1"/>
  <c r="BT71" i="1"/>
  <c r="I305" i="9"/>
  <c r="I364" i="9"/>
  <c r="E816" i="1"/>
  <c r="C428" i="1"/>
  <c r="H498" i="1"/>
  <c r="E814" i="10"/>
  <c r="D710" i="10"/>
  <c r="D706" i="10"/>
  <c r="D702" i="10"/>
  <c r="D698" i="10"/>
  <c r="D694" i="10"/>
  <c r="D690" i="10"/>
  <c r="D686" i="10"/>
  <c r="D705" i="10"/>
  <c r="D704" i="10"/>
  <c r="D703" i="10"/>
  <c r="D689" i="10"/>
  <c r="D688" i="10"/>
  <c r="D687" i="10"/>
  <c r="D684" i="10"/>
  <c r="D680" i="10"/>
  <c r="D716" i="10"/>
  <c r="D701" i="10"/>
  <c r="D700" i="10"/>
  <c r="D699" i="10"/>
  <c r="D685" i="10"/>
  <c r="D713" i="10"/>
  <c r="D712" i="10"/>
  <c r="D711" i="10"/>
  <c r="D697" i="10"/>
  <c r="D696" i="10"/>
  <c r="D695" i="10"/>
  <c r="D682" i="10"/>
  <c r="D678" i="10"/>
  <c r="D692" i="10"/>
  <c r="D679" i="10"/>
  <c r="D675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709" i="10"/>
  <c r="D707" i="10"/>
  <c r="D681" i="10"/>
  <c r="D676" i="10"/>
  <c r="D672" i="10"/>
  <c r="D668" i="10"/>
  <c r="D693" i="10"/>
  <c r="D691" i="10"/>
  <c r="D683" i="10"/>
  <c r="D673" i="10"/>
  <c r="D669" i="10"/>
  <c r="D670" i="10"/>
  <c r="D647" i="10"/>
  <c r="D645" i="10"/>
  <c r="D630" i="10"/>
  <c r="D625" i="10"/>
  <c r="D624" i="10"/>
  <c r="D677" i="10"/>
  <c r="D674" i="10"/>
  <c r="D628" i="10"/>
  <c r="D622" i="10"/>
  <c r="D620" i="10"/>
  <c r="D618" i="10"/>
  <c r="D616" i="10"/>
  <c r="D646" i="10"/>
  <c r="D627" i="10"/>
  <c r="D708" i="10"/>
  <c r="D629" i="10"/>
  <c r="D626" i="10"/>
  <c r="D621" i="10"/>
  <c r="D619" i="10"/>
  <c r="D617" i="10"/>
  <c r="D623" i="10"/>
  <c r="C428" i="10"/>
  <c r="C441" i="10" s="1"/>
  <c r="CE71" i="10"/>
  <c r="C668" i="10"/>
  <c r="C715" i="10" s="1"/>
  <c r="C496" i="10"/>
  <c r="B496" i="1"/>
  <c r="M733" i="10"/>
  <c r="M814" i="10" s="1"/>
  <c r="C145" i="9"/>
  <c r="J762" i="1"/>
  <c r="J740" i="1"/>
  <c r="I17" i="9"/>
  <c r="J806" i="1"/>
  <c r="E337" i="9"/>
  <c r="J790" i="1"/>
  <c r="C273" i="9"/>
  <c r="C681" i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F515" i="1"/>
  <c r="H515" i="1"/>
  <c r="F522" i="1"/>
  <c r="H522" i="1" s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622" i="1" l="1"/>
  <c r="C621" i="1"/>
  <c r="D181" i="9"/>
  <c r="C573" i="1"/>
  <c r="I53" i="9"/>
  <c r="C704" i="1"/>
  <c r="C561" i="1"/>
  <c r="H544" i="1"/>
  <c r="H550" i="1"/>
  <c r="E623" i="1"/>
  <c r="E716" i="1" s="1"/>
  <c r="H518" i="1"/>
  <c r="H512" i="1"/>
  <c r="H509" i="1"/>
  <c r="H546" i="1"/>
  <c r="D715" i="1"/>
  <c r="H514" i="1"/>
  <c r="C496" i="1"/>
  <c r="G496" i="1" s="1"/>
  <c r="C668" i="1"/>
  <c r="C21" i="9"/>
  <c r="C640" i="1"/>
  <c r="C565" i="1"/>
  <c r="I309" i="9"/>
  <c r="C705" i="1"/>
  <c r="E181" i="9"/>
  <c r="C533" i="1"/>
  <c r="G533" i="1" s="1"/>
  <c r="G505" i="1"/>
  <c r="H505" i="1" s="1"/>
  <c r="G524" i="1"/>
  <c r="H524" i="1" s="1"/>
  <c r="C526" i="1"/>
  <c r="E149" i="9"/>
  <c r="C698" i="1"/>
  <c r="C515" i="1"/>
  <c r="G515" i="1" s="1"/>
  <c r="H85" i="9"/>
  <c r="C687" i="1"/>
  <c r="C521" i="1"/>
  <c r="G521" i="1" s="1"/>
  <c r="G117" i="9"/>
  <c r="C693" i="1"/>
  <c r="C699" i="1"/>
  <c r="F149" i="9"/>
  <c r="C527" i="1"/>
  <c r="G527" i="1" s="1"/>
  <c r="C675" i="1"/>
  <c r="C503" i="1"/>
  <c r="G503" i="1" s="1"/>
  <c r="C53" i="9"/>
  <c r="G511" i="1"/>
  <c r="H511" i="1" s="1"/>
  <c r="D715" i="10"/>
  <c r="E623" i="10"/>
  <c r="G496" i="10"/>
  <c r="H496" i="10"/>
  <c r="C716" i="10"/>
  <c r="M815" i="10"/>
  <c r="E612" i="10"/>
  <c r="J734" i="1"/>
  <c r="J815" i="1" s="1"/>
  <c r="CE67" i="1"/>
  <c r="CE71" i="1" s="1"/>
  <c r="I373" i="9" s="1"/>
  <c r="C17" i="9"/>
  <c r="J733" i="10"/>
  <c r="J814" i="10" s="1"/>
  <c r="H545" i="1"/>
  <c r="F545" i="1"/>
  <c r="H525" i="1"/>
  <c r="F525" i="1"/>
  <c r="F529" i="1"/>
  <c r="H529" i="1" s="1"/>
  <c r="C146" i="8"/>
  <c r="D396" i="1"/>
  <c r="C151" i="8" s="1"/>
  <c r="F521" i="1"/>
  <c r="H535" i="1"/>
  <c r="F535" i="1"/>
  <c r="H533" i="1"/>
  <c r="F533" i="1"/>
  <c r="Z733" i="10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Y816" i="1" s="1"/>
  <c r="H521" i="1"/>
  <c r="C716" i="1"/>
  <c r="G526" i="1"/>
  <c r="H526" i="1" s="1"/>
  <c r="C715" i="1"/>
  <c r="E612" i="1"/>
  <c r="E716" i="10"/>
  <c r="E711" i="10"/>
  <c r="E707" i="10"/>
  <c r="E703" i="10"/>
  <c r="E699" i="10"/>
  <c r="E695" i="10"/>
  <c r="E691" i="10"/>
  <c r="E687" i="10"/>
  <c r="E702" i="10"/>
  <c r="E701" i="10"/>
  <c r="E700" i="10"/>
  <c r="E686" i="10"/>
  <c r="E685" i="10"/>
  <c r="E681" i="10"/>
  <c r="E677" i="10"/>
  <c r="E713" i="10"/>
  <c r="E712" i="10"/>
  <c r="E698" i="10"/>
  <c r="E697" i="10"/>
  <c r="E696" i="10"/>
  <c r="E710" i="10"/>
  <c r="E709" i="10"/>
  <c r="E708" i="10"/>
  <c r="E694" i="10"/>
  <c r="E693" i="10"/>
  <c r="E692" i="10"/>
  <c r="E683" i="10"/>
  <c r="E679" i="10"/>
  <c r="E690" i="10"/>
  <c r="E688" i="10"/>
  <c r="E676" i="10"/>
  <c r="E672" i="10"/>
  <c r="E668" i="10"/>
  <c r="E705" i="10"/>
  <c r="E684" i="10"/>
  <c r="E678" i="10"/>
  <c r="E673" i="10"/>
  <c r="E669" i="10"/>
  <c r="E689" i="10"/>
  <c r="E680" i="10"/>
  <c r="E674" i="10"/>
  <c r="E670" i="10"/>
  <c r="E647" i="10"/>
  <c r="E646" i="10"/>
  <c r="E645" i="10"/>
  <c r="E706" i="10"/>
  <c r="E643" i="10"/>
  <c r="E641" i="10"/>
  <c r="E639" i="10"/>
  <c r="E637" i="10"/>
  <c r="E635" i="10"/>
  <c r="E633" i="10"/>
  <c r="E628" i="10"/>
  <c r="E704" i="10"/>
  <c r="E671" i="10"/>
  <c r="E631" i="10"/>
  <c r="E627" i="10"/>
  <c r="E682" i="10"/>
  <c r="E675" i="10"/>
  <c r="E644" i="10"/>
  <c r="E642" i="10"/>
  <c r="E640" i="10"/>
  <c r="E638" i="10"/>
  <c r="E636" i="10"/>
  <c r="E634" i="10"/>
  <c r="E632" i="10"/>
  <c r="E629" i="10"/>
  <c r="E626" i="10"/>
  <c r="E625" i="10"/>
  <c r="E630" i="10"/>
  <c r="E624" i="10"/>
  <c r="C433" i="1"/>
  <c r="C441" i="1" s="1"/>
  <c r="J816" i="1"/>
  <c r="I369" i="9"/>
  <c r="J815" i="10"/>
  <c r="E693" i="1" l="1"/>
  <c r="E691" i="1"/>
  <c r="E696" i="1"/>
  <c r="E705" i="1"/>
  <c r="E683" i="1"/>
  <c r="E646" i="1"/>
  <c r="E712" i="1"/>
  <c r="E642" i="1"/>
  <c r="E678" i="1"/>
  <c r="E704" i="1"/>
  <c r="E638" i="1"/>
  <c r="E685" i="1"/>
  <c r="E682" i="1"/>
  <c r="E708" i="1"/>
  <c r="E670" i="1"/>
  <c r="E636" i="1"/>
  <c r="E629" i="1"/>
  <c r="E679" i="1"/>
  <c r="E713" i="1"/>
  <c r="E698" i="1"/>
  <c r="E702" i="1"/>
  <c r="E626" i="1"/>
  <c r="E647" i="1"/>
  <c r="E635" i="1"/>
  <c r="E627" i="1"/>
  <c r="E711" i="1"/>
  <c r="E645" i="1"/>
  <c r="E700" i="1"/>
  <c r="E676" i="1"/>
  <c r="E689" i="1"/>
  <c r="E625" i="1"/>
  <c r="E639" i="1"/>
  <c r="E692" i="1"/>
  <c r="E695" i="1"/>
  <c r="E633" i="1"/>
  <c r="E632" i="1"/>
  <c r="E671" i="1"/>
  <c r="E686" i="1"/>
  <c r="E669" i="1"/>
  <c r="E687" i="1"/>
  <c r="E641" i="1"/>
  <c r="E707" i="1"/>
  <c r="E624" i="1"/>
  <c r="F624" i="1" s="1"/>
  <c r="E701" i="1"/>
  <c r="E631" i="1"/>
  <c r="E706" i="1"/>
  <c r="E674" i="1"/>
  <c r="E634" i="1"/>
  <c r="E690" i="1"/>
  <c r="E668" i="1"/>
  <c r="E694" i="1"/>
  <c r="E628" i="1"/>
  <c r="E673" i="1"/>
  <c r="E710" i="1"/>
  <c r="E681" i="1"/>
  <c r="E688" i="1"/>
  <c r="E675" i="1"/>
  <c r="E684" i="1"/>
  <c r="E640" i="1"/>
  <c r="E643" i="1"/>
  <c r="E630" i="1"/>
  <c r="E697" i="1"/>
  <c r="E637" i="1"/>
  <c r="E699" i="1"/>
  <c r="E672" i="1"/>
  <c r="E644" i="1"/>
  <c r="E703" i="1"/>
  <c r="E709" i="1"/>
  <c r="E677" i="1"/>
  <c r="E680" i="1"/>
  <c r="E715" i="10"/>
  <c r="F624" i="10"/>
  <c r="F689" i="1" l="1"/>
  <c r="F675" i="1"/>
  <c r="F711" i="1"/>
  <c r="F634" i="1"/>
  <c r="F676" i="1"/>
  <c r="F704" i="1"/>
  <c r="F627" i="1"/>
  <c r="F700" i="1"/>
  <c r="F674" i="1"/>
  <c r="F713" i="1"/>
  <c r="F709" i="1"/>
  <c r="F683" i="1"/>
  <c r="F625" i="1"/>
  <c r="F643" i="1"/>
  <c r="F681" i="1"/>
  <c r="F680" i="1"/>
  <c r="F703" i="1"/>
  <c r="F631" i="1"/>
  <c r="F687" i="1"/>
  <c r="F696" i="1"/>
  <c r="F640" i="1"/>
  <c r="F707" i="1"/>
  <c r="F671" i="1"/>
  <c r="F688" i="1"/>
  <c r="F708" i="1"/>
  <c r="F679" i="1"/>
  <c r="F682" i="1"/>
  <c r="F630" i="1"/>
  <c r="F692" i="1"/>
  <c r="F712" i="1"/>
  <c r="F701" i="1"/>
  <c r="F633" i="1"/>
  <c r="F686" i="1"/>
  <c r="F690" i="1"/>
  <c r="F698" i="1"/>
  <c r="F647" i="1"/>
  <c r="F702" i="1"/>
  <c r="F669" i="1"/>
  <c r="F699" i="1"/>
  <c r="F693" i="1"/>
  <c r="F626" i="1"/>
  <c r="F637" i="1"/>
  <c r="F678" i="1"/>
  <c r="F677" i="1"/>
  <c r="F635" i="1"/>
  <c r="F705" i="1"/>
  <c r="F716" i="1"/>
  <c r="F629" i="1"/>
  <c r="F645" i="1"/>
  <c r="F706" i="1"/>
  <c r="F710" i="1"/>
  <c r="F684" i="1"/>
  <c r="F668" i="1"/>
  <c r="F646" i="1"/>
  <c r="F691" i="1"/>
  <c r="F697" i="1"/>
  <c r="F636" i="1"/>
  <c r="F638" i="1"/>
  <c r="F632" i="1"/>
  <c r="F642" i="1"/>
  <c r="F672" i="1"/>
  <c r="F644" i="1"/>
  <c r="F694" i="1"/>
  <c r="F639" i="1"/>
  <c r="F673" i="1"/>
  <c r="F685" i="1"/>
  <c r="F641" i="1"/>
  <c r="F695" i="1"/>
  <c r="F670" i="1"/>
  <c r="F628" i="1"/>
  <c r="E715" i="1"/>
  <c r="F712" i="10"/>
  <c r="F708" i="10"/>
  <c r="F704" i="10"/>
  <c r="F700" i="10"/>
  <c r="F696" i="10"/>
  <c r="F692" i="10"/>
  <c r="F688" i="10"/>
  <c r="F716" i="10"/>
  <c r="F713" i="10"/>
  <c r="F699" i="10"/>
  <c r="F698" i="10"/>
  <c r="F697" i="10"/>
  <c r="F682" i="10"/>
  <c r="F678" i="10"/>
  <c r="F711" i="10"/>
  <c r="F710" i="10"/>
  <c r="F709" i="10"/>
  <c r="F695" i="10"/>
  <c r="F694" i="10"/>
  <c r="F693" i="10"/>
  <c r="F707" i="10"/>
  <c r="F706" i="10"/>
  <c r="F705" i="10"/>
  <c r="F691" i="10"/>
  <c r="F690" i="10"/>
  <c r="F689" i="10"/>
  <c r="F684" i="10"/>
  <c r="F680" i="10"/>
  <c r="F686" i="10"/>
  <c r="F681" i="10"/>
  <c r="F673" i="10"/>
  <c r="F669" i="10"/>
  <c r="F703" i="10"/>
  <c r="F701" i="10"/>
  <c r="F683" i="10"/>
  <c r="F674" i="10"/>
  <c r="F670" i="10"/>
  <c r="F647" i="10"/>
  <c r="F646" i="10"/>
  <c r="F645" i="10"/>
  <c r="F687" i="10"/>
  <c r="F685" i="10"/>
  <c r="F677" i="10"/>
  <c r="F675" i="10"/>
  <c r="F671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27" i="10"/>
  <c r="F668" i="10"/>
  <c r="F629" i="10"/>
  <c r="F626" i="10"/>
  <c r="F702" i="10"/>
  <c r="F679" i="10"/>
  <c r="F672" i="10"/>
  <c r="F630" i="10"/>
  <c r="F625" i="10"/>
  <c r="F628" i="10"/>
  <c r="F676" i="10"/>
  <c r="F715" i="1" l="1"/>
  <c r="G625" i="1"/>
  <c r="F715" i="10"/>
  <c r="G625" i="10"/>
  <c r="G688" i="1" l="1"/>
  <c r="G683" i="1"/>
  <c r="G676" i="1"/>
  <c r="G691" i="1"/>
  <c r="G639" i="1"/>
  <c r="G671" i="1"/>
  <c r="G679" i="1"/>
  <c r="G705" i="1"/>
  <c r="G677" i="1"/>
  <c r="G687" i="1"/>
  <c r="G675" i="1"/>
  <c r="G627" i="1"/>
  <c r="G686" i="1"/>
  <c r="G637" i="1"/>
  <c r="G626" i="1"/>
  <c r="G645" i="1"/>
  <c r="G702" i="1"/>
  <c r="G644" i="1"/>
  <c r="G704" i="1"/>
  <c r="G694" i="1"/>
  <c r="G693" i="1"/>
  <c r="G631" i="1"/>
  <c r="G681" i="1"/>
  <c r="G670" i="1"/>
  <c r="G682" i="1"/>
  <c r="G635" i="1"/>
  <c r="G642" i="1"/>
  <c r="G629" i="1"/>
  <c r="G685" i="1"/>
  <c r="G680" i="1"/>
  <c r="G706" i="1"/>
  <c r="G636" i="1"/>
  <c r="G710" i="1"/>
  <c r="G690" i="1"/>
  <c r="G700" i="1"/>
  <c r="G692" i="1"/>
  <c r="G668" i="1"/>
  <c r="G678" i="1"/>
  <c r="G701" i="1"/>
  <c r="G684" i="1"/>
  <c r="G672" i="1"/>
  <c r="G643" i="1"/>
  <c r="G630" i="1"/>
  <c r="G707" i="1"/>
  <c r="G633" i="1"/>
  <c r="G698" i="1"/>
  <c r="G674" i="1"/>
  <c r="G689" i="1"/>
  <c r="G640" i="1"/>
  <c r="G669" i="1"/>
  <c r="G638" i="1"/>
  <c r="G697" i="1"/>
  <c r="G708" i="1"/>
  <c r="G703" i="1"/>
  <c r="G646" i="1"/>
  <c r="G713" i="1"/>
  <c r="G628" i="1"/>
  <c r="G699" i="1"/>
  <c r="G634" i="1"/>
  <c r="G641" i="1"/>
  <c r="G696" i="1"/>
  <c r="G673" i="1"/>
  <c r="G632" i="1"/>
  <c r="G695" i="1"/>
  <c r="G712" i="1"/>
  <c r="G716" i="1"/>
  <c r="G709" i="1"/>
  <c r="G647" i="1"/>
  <c r="G711" i="1"/>
  <c r="G713" i="10"/>
  <c r="G709" i="10"/>
  <c r="G705" i="10"/>
  <c r="G701" i="10"/>
  <c r="G697" i="10"/>
  <c r="G693" i="10"/>
  <c r="G689" i="10"/>
  <c r="G685" i="10"/>
  <c r="G712" i="10"/>
  <c r="G711" i="10"/>
  <c r="G710" i="10"/>
  <c r="G696" i="10"/>
  <c r="G695" i="10"/>
  <c r="G694" i="10"/>
  <c r="G683" i="10"/>
  <c r="G679" i="10"/>
  <c r="G708" i="10"/>
  <c r="G707" i="10"/>
  <c r="G706" i="10"/>
  <c r="G692" i="10"/>
  <c r="G691" i="10"/>
  <c r="G690" i="10"/>
  <c r="G684" i="10"/>
  <c r="G704" i="10"/>
  <c r="G703" i="10"/>
  <c r="G702" i="10"/>
  <c r="G688" i="10"/>
  <c r="G687" i="10"/>
  <c r="G686" i="10"/>
  <c r="G681" i="10"/>
  <c r="G677" i="10"/>
  <c r="G716" i="10"/>
  <c r="G678" i="10"/>
  <c r="G674" i="10"/>
  <c r="G670" i="10"/>
  <c r="G647" i="10"/>
  <c r="G646" i="10"/>
  <c r="G645" i="10"/>
  <c r="G699" i="10"/>
  <c r="G680" i="10"/>
  <c r="G675" i="10"/>
  <c r="G671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82" i="10"/>
  <c r="G676" i="10"/>
  <c r="G672" i="10"/>
  <c r="G668" i="10"/>
  <c r="G698" i="10"/>
  <c r="G629" i="10"/>
  <c r="G626" i="10"/>
  <c r="G630" i="10"/>
  <c r="G669" i="10"/>
  <c r="G628" i="10"/>
  <c r="H628" i="10" s="1"/>
  <c r="G673" i="10"/>
  <c r="G700" i="10"/>
  <c r="G627" i="10"/>
  <c r="G715" i="1" l="1"/>
  <c r="H628" i="1"/>
  <c r="G715" i="10"/>
  <c r="H710" i="10"/>
  <c r="H706" i="10"/>
  <c r="H702" i="10"/>
  <c r="H698" i="10"/>
  <c r="H694" i="10"/>
  <c r="H690" i="10"/>
  <c r="H686" i="10"/>
  <c r="H709" i="10"/>
  <c r="H708" i="10"/>
  <c r="H707" i="10"/>
  <c r="H693" i="10"/>
  <c r="H692" i="10"/>
  <c r="H691" i="10"/>
  <c r="H684" i="10"/>
  <c r="H680" i="10"/>
  <c r="H705" i="10"/>
  <c r="H704" i="10"/>
  <c r="H703" i="10"/>
  <c r="H689" i="10"/>
  <c r="H688" i="10"/>
  <c r="H687" i="10"/>
  <c r="H716" i="10"/>
  <c r="H701" i="10"/>
  <c r="H700" i="10"/>
  <c r="H699" i="10"/>
  <c r="H685" i="10"/>
  <c r="H682" i="10"/>
  <c r="H678" i="10"/>
  <c r="H713" i="10"/>
  <c r="H711" i="10"/>
  <c r="H683" i="10"/>
  <c r="H675" i="10"/>
  <c r="H671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7" i="10"/>
  <c r="H695" i="10"/>
  <c r="H677" i="10"/>
  <c r="H676" i="10"/>
  <c r="H672" i="10"/>
  <c r="H668" i="10"/>
  <c r="H712" i="10"/>
  <c r="H679" i="10"/>
  <c r="H673" i="10"/>
  <c r="H669" i="10"/>
  <c r="H674" i="10"/>
  <c r="H696" i="10"/>
  <c r="H646" i="10"/>
  <c r="H681" i="10"/>
  <c r="H647" i="10"/>
  <c r="H645" i="10"/>
  <c r="H670" i="10"/>
  <c r="H629" i="10"/>
  <c r="H672" i="1" l="1"/>
  <c r="H639" i="1"/>
  <c r="H697" i="1"/>
  <c r="H688" i="1"/>
  <c r="H694" i="1"/>
  <c r="H702" i="1"/>
  <c r="H687" i="1"/>
  <c r="H711" i="1"/>
  <c r="H674" i="1"/>
  <c r="H631" i="1"/>
  <c r="H710" i="1"/>
  <c r="H713" i="1"/>
  <c r="H691" i="1"/>
  <c r="H641" i="1"/>
  <c r="H642" i="1"/>
  <c r="H671" i="1"/>
  <c r="H696" i="1"/>
  <c r="H684" i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78" i="1"/>
  <c r="H681" i="1"/>
  <c r="H708" i="1"/>
  <c r="H693" i="1"/>
  <c r="H692" i="1"/>
  <c r="H716" i="1"/>
  <c r="H640" i="1"/>
  <c r="H700" i="1"/>
  <c r="H677" i="1"/>
  <c r="H683" i="1"/>
  <c r="H633" i="1"/>
  <c r="H680" i="1"/>
  <c r="H675" i="1"/>
  <c r="H647" i="1"/>
  <c r="H682" i="1"/>
  <c r="H638" i="1"/>
  <c r="H636" i="1"/>
  <c r="H698" i="1"/>
  <c r="H634" i="1"/>
  <c r="H706" i="1"/>
  <c r="H703" i="1"/>
  <c r="H679" i="1"/>
  <c r="H686" i="1"/>
  <c r="H632" i="1"/>
  <c r="H676" i="1"/>
  <c r="H668" i="1"/>
  <c r="H669" i="1"/>
  <c r="H646" i="1"/>
  <c r="H630" i="1"/>
  <c r="H712" i="1"/>
  <c r="H707" i="1"/>
  <c r="H685" i="1"/>
  <c r="H689" i="1"/>
  <c r="H715" i="10"/>
  <c r="I629" i="10"/>
  <c r="H715" i="1" l="1"/>
  <c r="I629" i="1"/>
  <c r="I716" i="10"/>
  <c r="I711" i="10"/>
  <c r="I707" i="10"/>
  <c r="I703" i="10"/>
  <c r="I699" i="10"/>
  <c r="I695" i="10"/>
  <c r="I691" i="10"/>
  <c r="I687" i="10"/>
  <c r="I706" i="10"/>
  <c r="I705" i="10"/>
  <c r="I704" i="10"/>
  <c r="I690" i="10"/>
  <c r="I689" i="10"/>
  <c r="I688" i="10"/>
  <c r="I681" i="10"/>
  <c r="I677" i="10"/>
  <c r="I702" i="10"/>
  <c r="I701" i="10"/>
  <c r="I700" i="10"/>
  <c r="I686" i="10"/>
  <c r="I685" i="10"/>
  <c r="I713" i="10"/>
  <c r="I712" i="10"/>
  <c r="I698" i="10"/>
  <c r="I697" i="10"/>
  <c r="I696" i="10"/>
  <c r="I683" i="10"/>
  <c r="I679" i="10"/>
  <c r="I709" i="10"/>
  <c r="I684" i="10"/>
  <c r="I680" i="10"/>
  <c r="I676" i="10"/>
  <c r="I672" i="10"/>
  <c r="I668" i="10"/>
  <c r="I693" i="10"/>
  <c r="I682" i="10"/>
  <c r="I673" i="10"/>
  <c r="I669" i="10"/>
  <c r="I710" i="10"/>
  <c r="I708" i="10"/>
  <c r="I674" i="10"/>
  <c r="I670" i="10"/>
  <c r="I647" i="10"/>
  <c r="I646" i="10"/>
  <c r="I645" i="10"/>
  <c r="I671" i="10"/>
  <c r="I630" i="10"/>
  <c r="I675" i="10"/>
  <c r="I644" i="10"/>
  <c r="I642" i="10"/>
  <c r="I640" i="10"/>
  <c r="I638" i="10"/>
  <c r="I636" i="10"/>
  <c r="I634" i="10"/>
  <c r="I632" i="10"/>
  <c r="I694" i="10"/>
  <c r="I639" i="10"/>
  <c r="I631" i="10"/>
  <c r="I678" i="10"/>
  <c r="I637" i="10"/>
  <c r="I692" i="10"/>
  <c r="I643" i="10"/>
  <c r="I635" i="10"/>
  <c r="I641" i="10"/>
  <c r="I633" i="10"/>
  <c r="I645" i="1" l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7" i="1"/>
  <c r="I706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33" i="1"/>
  <c r="I715" i="10"/>
  <c r="J630" i="10"/>
  <c r="I715" i="1" l="1"/>
  <c r="J630" i="1"/>
  <c r="J712" i="10"/>
  <c r="J708" i="10"/>
  <c r="J704" i="10"/>
  <c r="J700" i="10"/>
  <c r="J696" i="10"/>
  <c r="J692" i="10"/>
  <c r="J688" i="10"/>
  <c r="J703" i="10"/>
  <c r="J702" i="10"/>
  <c r="J701" i="10"/>
  <c r="J687" i="10"/>
  <c r="J686" i="10"/>
  <c r="J685" i="10"/>
  <c r="J682" i="10"/>
  <c r="J678" i="10"/>
  <c r="J716" i="10"/>
  <c r="J713" i="10"/>
  <c r="J699" i="10"/>
  <c r="J698" i="10"/>
  <c r="J697" i="10"/>
  <c r="J711" i="10"/>
  <c r="J710" i="10"/>
  <c r="J709" i="10"/>
  <c r="J695" i="10"/>
  <c r="J694" i="10"/>
  <c r="J693" i="10"/>
  <c r="J684" i="10"/>
  <c r="J680" i="10"/>
  <c r="J707" i="10"/>
  <c r="J705" i="10"/>
  <c r="J677" i="10"/>
  <c r="J673" i="10"/>
  <c r="J669" i="10"/>
  <c r="J691" i="10"/>
  <c r="J689" i="10"/>
  <c r="J679" i="10"/>
  <c r="J674" i="10"/>
  <c r="J670" i="10"/>
  <c r="J647" i="10"/>
  <c r="J646" i="10"/>
  <c r="J645" i="10"/>
  <c r="J706" i="10"/>
  <c r="J681" i="10"/>
  <c r="J675" i="10"/>
  <c r="J671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0" i="10"/>
  <c r="J683" i="10"/>
  <c r="J668" i="10"/>
  <c r="J672" i="10"/>
  <c r="J676" i="10"/>
  <c r="K644" i="10" l="1"/>
  <c r="K713" i="10" s="1"/>
  <c r="J679" i="1"/>
  <c r="J683" i="1"/>
  <c r="J692" i="1"/>
  <c r="J671" i="1"/>
  <c r="J668" i="1"/>
  <c r="J706" i="1"/>
  <c r="J680" i="1"/>
  <c r="J701" i="1"/>
  <c r="J704" i="1"/>
  <c r="J642" i="1"/>
  <c r="J640" i="1"/>
  <c r="J646" i="1"/>
  <c r="J699" i="1"/>
  <c r="J673" i="1"/>
  <c r="J675" i="1"/>
  <c r="J696" i="1"/>
  <c r="J711" i="1"/>
  <c r="J688" i="1"/>
  <c r="J710" i="1"/>
  <c r="J634" i="1"/>
  <c r="J674" i="1"/>
  <c r="J705" i="1"/>
  <c r="J631" i="1"/>
  <c r="J708" i="1"/>
  <c r="J639" i="1"/>
  <c r="J697" i="1"/>
  <c r="J693" i="1"/>
  <c r="J682" i="1"/>
  <c r="J716" i="1"/>
  <c r="J703" i="1"/>
  <c r="J694" i="1"/>
  <c r="J678" i="1"/>
  <c r="J645" i="1"/>
  <c r="J689" i="1"/>
  <c r="J633" i="1"/>
  <c r="J638" i="1"/>
  <c r="J691" i="1"/>
  <c r="J686" i="1"/>
  <c r="J702" i="1"/>
  <c r="J687" i="1"/>
  <c r="J643" i="1"/>
  <c r="J712" i="1"/>
  <c r="J685" i="1"/>
  <c r="J644" i="1"/>
  <c r="J635" i="1"/>
  <c r="J672" i="1"/>
  <c r="J670" i="1"/>
  <c r="J636" i="1"/>
  <c r="J637" i="1"/>
  <c r="J632" i="1"/>
  <c r="J676" i="1"/>
  <c r="J709" i="1"/>
  <c r="J647" i="1"/>
  <c r="J713" i="1"/>
  <c r="J641" i="1"/>
  <c r="J690" i="1"/>
  <c r="J669" i="1"/>
  <c r="J700" i="1"/>
  <c r="J698" i="1"/>
  <c r="J684" i="1"/>
  <c r="J681" i="1"/>
  <c r="J677" i="1"/>
  <c r="J707" i="1"/>
  <c r="J695" i="1"/>
  <c r="K705" i="10"/>
  <c r="K701" i="10"/>
  <c r="K697" i="10"/>
  <c r="K693" i="10"/>
  <c r="K689" i="10"/>
  <c r="K685" i="10"/>
  <c r="K700" i="10"/>
  <c r="K699" i="10"/>
  <c r="K698" i="10"/>
  <c r="K683" i="10"/>
  <c r="K679" i="10"/>
  <c r="K712" i="10"/>
  <c r="K711" i="10"/>
  <c r="K696" i="10"/>
  <c r="K695" i="10"/>
  <c r="K694" i="10"/>
  <c r="K684" i="10"/>
  <c r="K708" i="10"/>
  <c r="K707" i="10"/>
  <c r="K706" i="10"/>
  <c r="K691" i="10"/>
  <c r="K690" i="10"/>
  <c r="K681" i="10"/>
  <c r="K677" i="10"/>
  <c r="K703" i="10"/>
  <c r="K682" i="10"/>
  <c r="K674" i="10"/>
  <c r="K687" i="10"/>
  <c r="K675" i="10"/>
  <c r="K671" i="10"/>
  <c r="K704" i="10"/>
  <c r="K702" i="10"/>
  <c r="K678" i="10"/>
  <c r="K676" i="10"/>
  <c r="K668" i="10"/>
  <c r="K715" i="10" s="1"/>
  <c r="K680" i="10"/>
  <c r="K688" i="10"/>
  <c r="K669" i="10"/>
  <c r="K686" i="10"/>
  <c r="K673" i="10"/>
  <c r="J715" i="10"/>
  <c r="L647" i="10"/>
  <c r="K709" i="10" l="1"/>
  <c r="K672" i="10"/>
  <c r="K670" i="10"/>
  <c r="K692" i="10"/>
  <c r="K710" i="10"/>
  <c r="K716" i="10"/>
  <c r="L647" i="1"/>
  <c r="L705" i="1" s="1"/>
  <c r="J715" i="1"/>
  <c r="K644" i="1"/>
  <c r="K716" i="1" s="1"/>
  <c r="L696" i="1"/>
  <c r="L697" i="1"/>
  <c r="L671" i="1"/>
  <c r="L680" i="1"/>
  <c r="L670" i="1"/>
  <c r="L695" i="1"/>
  <c r="L710" i="1"/>
  <c r="L669" i="1"/>
  <c r="L710" i="10"/>
  <c r="M710" i="10" s="1"/>
  <c r="Z776" i="10" s="1"/>
  <c r="L706" i="10"/>
  <c r="M706" i="10" s="1"/>
  <c r="Z772" i="10" s="1"/>
  <c r="L702" i="10"/>
  <c r="M702" i="10" s="1"/>
  <c r="Z768" i="10" s="1"/>
  <c r="L698" i="10"/>
  <c r="M698" i="10" s="1"/>
  <c r="Z764" i="10" s="1"/>
  <c r="L694" i="10"/>
  <c r="M694" i="10" s="1"/>
  <c r="Z760" i="10" s="1"/>
  <c r="L690" i="10"/>
  <c r="M690" i="10" s="1"/>
  <c r="Z756" i="10" s="1"/>
  <c r="L686" i="10"/>
  <c r="M686" i="10" s="1"/>
  <c r="Z752" i="10" s="1"/>
  <c r="L716" i="10"/>
  <c r="L713" i="10"/>
  <c r="M713" i="10" s="1"/>
  <c r="L712" i="10"/>
  <c r="M712" i="10" s="1"/>
  <c r="Z778" i="10" s="1"/>
  <c r="L711" i="10"/>
  <c r="M711" i="10" s="1"/>
  <c r="Z777" i="10" s="1"/>
  <c r="L697" i="10"/>
  <c r="M697" i="10" s="1"/>
  <c r="Z763" i="10" s="1"/>
  <c r="L696" i="10"/>
  <c r="M696" i="10" s="1"/>
  <c r="Z762" i="10" s="1"/>
  <c r="L695" i="10"/>
  <c r="M695" i="10" s="1"/>
  <c r="Z761" i="10" s="1"/>
  <c r="L684" i="10"/>
  <c r="M684" i="10" s="1"/>
  <c r="Z750" i="10" s="1"/>
  <c r="L680" i="10"/>
  <c r="M680" i="10" s="1"/>
  <c r="Z746" i="10" s="1"/>
  <c r="L676" i="10"/>
  <c r="M676" i="10" s="1"/>
  <c r="Z742" i="10" s="1"/>
  <c r="L709" i="10"/>
  <c r="M709" i="10" s="1"/>
  <c r="Z775" i="10" s="1"/>
  <c r="L708" i="10"/>
  <c r="M708" i="10" s="1"/>
  <c r="Z774" i="10" s="1"/>
  <c r="L707" i="10"/>
  <c r="M707" i="10" s="1"/>
  <c r="Z773" i="10" s="1"/>
  <c r="L693" i="10"/>
  <c r="M693" i="10" s="1"/>
  <c r="Z759" i="10" s="1"/>
  <c r="L692" i="10"/>
  <c r="M692" i="10" s="1"/>
  <c r="Z758" i="10" s="1"/>
  <c r="L691" i="10"/>
  <c r="M691" i="10" s="1"/>
  <c r="Z757" i="10" s="1"/>
  <c r="L705" i="10"/>
  <c r="M705" i="10" s="1"/>
  <c r="Z771" i="10" s="1"/>
  <c r="L704" i="10"/>
  <c r="M704" i="10" s="1"/>
  <c r="Z770" i="10" s="1"/>
  <c r="L703" i="10"/>
  <c r="M703" i="10" s="1"/>
  <c r="Z769" i="10" s="1"/>
  <c r="L689" i="10"/>
  <c r="M689" i="10" s="1"/>
  <c r="Z755" i="10" s="1"/>
  <c r="L688" i="10"/>
  <c r="M688" i="10" s="1"/>
  <c r="Z754" i="10" s="1"/>
  <c r="L687" i="10"/>
  <c r="M687" i="10" s="1"/>
  <c r="Z753" i="10" s="1"/>
  <c r="L682" i="10"/>
  <c r="M682" i="10" s="1"/>
  <c r="Z748" i="10" s="1"/>
  <c r="L678" i="10"/>
  <c r="M678" i="10" s="1"/>
  <c r="Z744" i="10" s="1"/>
  <c r="L701" i="10"/>
  <c r="M701" i="10" s="1"/>
  <c r="Z767" i="10" s="1"/>
  <c r="L699" i="10"/>
  <c r="M699" i="10" s="1"/>
  <c r="Z765" i="10" s="1"/>
  <c r="L679" i="10"/>
  <c r="M679" i="10" s="1"/>
  <c r="Z745" i="10" s="1"/>
  <c r="L675" i="10"/>
  <c r="M675" i="10" s="1"/>
  <c r="Z741" i="10" s="1"/>
  <c r="L671" i="10"/>
  <c r="M671" i="10" s="1"/>
  <c r="Z737" i="10" s="1"/>
  <c r="L685" i="10"/>
  <c r="M685" i="10" s="1"/>
  <c r="Z751" i="10" s="1"/>
  <c r="L681" i="10"/>
  <c r="M681" i="10" s="1"/>
  <c r="Z747" i="10" s="1"/>
  <c r="L672" i="10"/>
  <c r="M672" i="10" s="1"/>
  <c r="Z738" i="10" s="1"/>
  <c r="L668" i="10"/>
  <c r="L700" i="10"/>
  <c r="M700" i="10" s="1"/>
  <c r="Z766" i="10" s="1"/>
  <c r="L683" i="10"/>
  <c r="M683" i="10" s="1"/>
  <c r="Z749" i="10" s="1"/>
  <c r="L673" i="10"/>
  <c r="M673" i="10" s="1"/>
  <c r="Z739" i="10" s="1"/>
  <c r="L669" i="10"/>
  <c r="M669" i="10" s="1"/>
  <c r="Z735" i="10" s="1"/>
  <c r="L677" i="10"/>
  <c r="M677" i="10" s="1"/>
  <c r="Z743" i="10" s="1"/>
  <c r="L670" i="10"/>
  <c r="M670" i="10" s="1"/>
  <c r="Z736" i="10" s="1"/>
  <c r="L674" i="10"/>
  <c r="M674" i="10" s="1"/>
  <c r="Z740" i="10" s="1"/>
  <c r="L678" i="1" l="1"/>
  <c r="L703" i="1"/>
  <c r="L701" i="1"/>
  <c r="L700" i="1"/>
  <c r="L685" i="1"/>
  <c r="L690" i="1"/>
  <c r="L694" i="1"/>
  <c r="L692" i="1"/>
  <c r="L668" i="1"/>
  <c r="L708" i="1"/>
  <c r="L711" i="1"/>
  <c r="L698" i="1"/>
  <c r="L677" i="1"/>
  <c r="L716" i="1"/>
  <c r="L689" i="1"/>
  <c r="L683" i="1"/>
  <c r="L699" i="1"/>
  <c r="L713" i="1"/>
  <c r="L675" i="1"/>
  <c r="L684" i="1"/>
  <c r="L681" i="1"/>
  <c r="L686" i="1"/>
  <c r="L674" i="1"/>
  <c r="L688" i="1"/>
  <c r="L679" i="1"/>
  <c r="L676" i="1"/>
  <c r="L673" i="1"/>
  <c r="L691" i="1"/>
  <c r="L682" i="1"/>
  <c r="L712" i="1"/>
  <c r="L693" i="1"/>
  <c r="L707" i="1"/>
  <c r="L704" i="1"/>
  <c r="L687" i="1"/>
  <c r="L706" i="1"/>
  <c r="L672" i="1"/>
  <c r="L709" i="1"/>
  <c r="L702" i="1"/>
  <c r="K713" i="1"/>
  <c r="K700" i="1"/>
  <c r="M700" i="1" s="1"/>
  <c r="K694" i="1"/>
  <c r="K703" i="1"/>
  <c r="M703" i="1" s="1"/>
  <c r="C183" i="9" s="1"/>
  <c r="K711" i="1"/>
  <c r="M711" i="1" s="1"/>
  <c r="K709" i="1"/>
  <c r="K697" i="1"/>
  <c r="M697" i="1" s="1"/>
  <c r="K708" i="1"/>
  <c r="M708" i="1" s="1"/>
  <c r="K705" i="1"/>
  <c r="M705" i="1" s="1"/>
  <c r="K698" i="1"/>
  <c r="M698" i="1" s="1"/>
  <c r="K693" i="1"/>
  <c r="K671" i="1"/>
  <c r="M671" i="1" s="1"/>
  <c r="K681" i="1"/>
  <c r="K678" i="1"/>
  <c r="M678" i="1" s="1"/>
  <c r="K676" i="1"/>
  <c r="K699" i="1"/>
  <c r="K674" i="1"/>
  <c r="M674" i="1" s="1"/>
  <c r="K680" i="1"/>
  <c r="M680" i="1" s="1"/>
  <c r="K685" i="1"/>
  <c r="M685" i="1" s="1"/>
  <c r="Y751" i="1" s="1"/>
  <c r="K675" i="1"/>
  <c r="K679" i="1"/>
  <c r="K672" i="1"/>
  <c r="M672" i="1" s="1"/>
  <c r="K670" i="1"/>
  <c r="M670" i="1" s="1"/>
  <c r="K695" i="1"/>
  <c r="M695" i="1" s="1"/>
  <c r="K707" i="1"/>
  <c r="K696" i="1"/>
  <c r="M696" i="1" s="1"/>
  <c r="K684" i="1"/>
  <c r="M684" i="1" s="1"/>
  <c r="K683" i="1"/>
  <c r="K690" i="1"/>
  <c r="K673" i="1"/>
  <c r="K692" i="1"/>
  <c r="M692" i="1" s="1"/>
  <c r="K704" i="1"/>
  <c r="K701" i="1"/>
  <c r="M701" i="1" s="1"/>
  <c r="K669" i="1"/>
  <c r="M669" i="1" s="1"/>
  <c r="Y735" i="1" s="1"/>
  <c r="K686" i="1"/>
  <c r="K710" i="1"/>
  <c r="M710" i="1" s="1"/>
  <c r="K668" i="1"/>
  <c r="K706" i="1"/>
  <c r="K682" i="1"/>
  <c r="M682" i="1" s="1"/>
  <c r="K712" i="1"/>
  <c r="M712" i="1" s="1"/>
  <c r="Y778" i="1" s="1"/>
  <c r="K688" i="1"/>
  <c r="M688" i="1" s="1"/>
  <c r="K677" i="1"/>
  <c r="M677" i="1" s="1"/>
  <c r="K689" i="1"/>
  <c r="K687" i="1"/>
  <c r="M687" i="1" s="1"/>
  <c r="Y753" i="1" s="1"/>
  <c r="K691" i="1"/>
  <c r="K702" i="1"/>
  <c r="L715" i="10"/>
  <c r="M668" i="10"/>
  <c r="M690" i="1" l="1"/>
  <c r="M689" i="1"/>
  <c r="M694" i="1"/>
  <c r="M679" i="1"/>
  <c r="M681" i="1"/>
  <c r="M704" i="1"/>
  <c r="Y770" i="1" s="1"/>
  <c r="M699" i="1"/>
  <c r="F151" i="9" s="1"/>
  <c r="M683" i="1"/>
  <c r="D87" i="9" s="1"/>
  <c r="M676" i="1"/>
  <c r="D55" i="9" s="1"/>
  <c r="M686" i="1"/>
  <c r="M713" i="1"/>
  <c r="F215" i="9" s="1"/>
  <c r="M675" i="1"/>
  <c r="C55" i="9" s="1"/>
  <c r="M673" i="1"/>
  <c r="H23" i="9" s="1"/>
  <c r="M693" i="1"/>
  <c r="G119" i="9" s="1"/>
  <c r="M706" i="1"/>
  <c r="F183" i="9" s="1"/>
  <c r="L715" i="1"/>
  <c r="M702" i="1"/>
  <c r="Y768" i="1" s="1"/>
  <c r="M709" i="1"/>
  <c r="Y775" i="1" s="1"/>
  <c r="M691" i="1"/>
  <c r="Y757" i="1" s="1"/>
  <c r="M707" i="1"/>
  <c r="Y773" i="1" s="1"/>
  <c r="Y766" i="1"/>
  <c r="G151" i="9"/>
  <c r="Y760" i="1"/>
  <c r="H119" i="9"/>
  <c r="Y744" i="1"/>
  <c r="F55" i="9"/>
  <c r="Y755" i="1"/>
  <c r="C119" i="9"/>
  <c r="K715" i="1"/>
  <c r="Y756" i="1"/>
  <c r="D119" i="9"/>
  <c r="Y745" i="1"/>
  <c r="G55" i="9"/>
  <c r="Y771" i="1"/>
  <c r="E183" i="9"/>
  <c r="C215" i="9"/>
  <c r="Y776" i="1"/>
  <c r="D183" i="9"/>
  <c r="Y761" i="1"/>
  <c r="I119" i="9"/>
  <c r="F23" i="9"/>
  <c r="Y737" i="1"/>
  <c r="H183" i="9"/>
  <c r="Y774" i="1"/>
  <c r="H151" i="9"/>
  <c r="Y767" i="1"/>
  <c r="Y747" i="1"/>
  <c r="I55" i="9"/>
  <c r="Y752" i="1"/>
  <c r="G87" i="9"/>
  <c r="Y758" i="1"/>
  <c r="F119" i="9"/>
  <c r="E87" i="9"/>
  <c r="Y750" i="1"/>
  <c r="E23" i="9"/>
  <c r="Y736" i="1"/>
  <c r="Y742" i="1"/>
  <c r="D151" i="9"/>
  <c r="Y763" i="1"/>
  <c r="I87" i="9"/>
  <c r="Y754" i="1"/>
  <c r="Y740" i="1"/>
  <c r="I23" i="9"/>
  <c r="Y777" i="1"/>
  <c r="D215" i="9"/>
  <c r="Y748" i="1"/>
  <c r="C87" i="9"/>
  <c r="Y743" i="1"/>
  <c r="E55" i="9"/>
  <c r="Y739" i="1"/>
  <c r="C151" i="9"/>
  <c r="Y762" i="1"/>
  <c r="G23" i="9"/>
  <c r="Y738" i="1"/>
  <c r="H55" i="9"/>
  <c r="Y746" i="1"/>
  <c r="E151" i="9"/>
  <c r="Y764" i="1"/>
  <c r="Y769" i="1"/>
  <c r="H87" i="9"/>
  <c r="F87" i="9"/>
  <c r="D23" i="9"/>
  <c r="E215" i="9"/>
  <c r="M668" i="1"/>
  <c r="Y734" i="1" s="1"/>
  <c r="M715" i="10"/>
  <c r="Z815" i="10" s="1"/>
  <c r="Z734" i="10"/>
  <c r="Z814" i="10" s="1"/>
  <c r="Y749" i="1" l="1"/>
  <c r="Y759" i="1"/>
  <c r="Y741" i="1"/>
  <c r="Y765" i="1"/>
  <c r="Y779" i="1"/>
  <c r="G183" i="9"/>
  <c r="Y772" i="1"/>
  <c r="I151" i="9"/>
  <c r="I183" i="9"/>
  <c r="E119" i="9"/>
  <c r="C23" i="9"/>
  <c r="M715" i="1"/>
  <c r="Y815" i="1" l="1"/>
</calcChain>
</file>

<file path=xl/sharedStrings.xml><?xml version="1.0" encoding="utf-8"?>
<sst xmlns="http://schemas.openxmlformats.org/spreadsheetml/2006/main" count="4944" uniqueCount="1286">
  <si>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</si>
  <si>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</si>
  <si>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</si>
  <si>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</si>
  <si>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</si>
  <si>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</si>
  <si>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</si>
  <si>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</si>
  <si>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</si>
  <si>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</si>
  <si>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</si>
  <si>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</si>
  <si>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</si>
  <si>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</si>
  <si>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</si>
  <si>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</si>
  <si>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</si>
  <si>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</si>
  <si>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</si>
  <si>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</si>
  <si>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</si>
  <si>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</si>
  <si>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</si>
  <si>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</si>
  <si>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</si>
  <si>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</si>
  <si>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</si>
  <si>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</si>
  <si>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</si>
  <si>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</si>
  <si>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</si>
  <si>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</si>
  <si>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</si>
  <si>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</si>
  <si>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</si>
  <si>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</si>
  <si>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</si>
  <si>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</si>
  <si>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</si>
  <si>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</si>
  <si>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</si>
  <si>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</si>
  <si>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</si>
  <si>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</si>
  <si>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</si>
  <si>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</si>
  <si>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</si>
  <si>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</si>
  <si>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</si>
  <si>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</si>
  <si>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</si>
  <si>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</si>
  <si>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</si>
  <si>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</si>
  <si>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</si>
  <si>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</si>
  <si>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</si>
  <si>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</si>
  <si>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</si>
  <si>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</si>
  <si>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</si>
  <si>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</si>
  <si>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</si>
  <si>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</si>
  <si>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</si>
  <si>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</si>
  <si>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</si>
  <si>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</si>
  <si>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</si>
  <si>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</si>
  <si>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</si>
  <si>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</si>
  <si>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</si>
  <si>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</si>
  <si>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</si>
  <si>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</si>
  <si>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</si>
  <si>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</si>
  <si>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</si>
  <si>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</si>
  <si>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</si>
  <si>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</si>
  <si>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</si>
  <si>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</si>
  <si>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</si>
  <si>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</si>
  <si>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</si>
  <si>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</si>
  <si>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</si>
  <si>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</si>
  <si>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</si>
  <si>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</si>
  <si>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</si>
  <si>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</si>
  <si>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</si>
  <si>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</si>
  <si>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</si>
  <si>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</si>
  <si>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</si>
  <si>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</si>
  <si>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</si>
  <si>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</si>
  <si>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</si>
  <si>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</si>
  <si>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</si>
  <si>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</si>
  <si>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</si>
  <si>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</si>
  <si>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</si>
  <si>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</si>
  <si>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</si>
  <si>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</si>
  <si>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</si>
  <si>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</si>
  <si>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</si>
  <si>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</si>
  <si>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</si>
  <si>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</si>
  <si>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</si>
  <si>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</si>
  <si>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</si>
  <si>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</si>
  <si>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</si>
  <si>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</si>
  <si>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</si>
  <si>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</si>
  <si>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</si>
  <si>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</si>
  <si>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</si>
  <si>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</si>
  <si>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</si>
  <si>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</si>
  <si>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</si>
  <si>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</si>
  <si>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</si>
  <si>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</si>
  <si>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</si>
  <si>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</si>
  <si>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</si>
  <si>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</si>
  <si>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</si>
  <si>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</si>
  <si>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</si>
  <si>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</si>
  <si>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</si>
  <si>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</si>
  <si>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</si>
  <si>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</si>
  <si>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</si>
  <si>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</si>
  <si>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</si>
  <si>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</si>
  <si>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</si>
  <si>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</si>
  <si>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</si>
  <si>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</si>
  <si>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</si>
  <si>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</si>
  <si>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</si>
  <si>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</si>
  <si>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</si>
  <si>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</si>
  <si>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</si>
  <si>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</si>
  <si>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</si>
  <si>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</si>
  <si>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</si>
  <si>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</si>
  <si>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</si>
  <si>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</si>
  <si>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</si>
  <si>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</si>
  <si>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</si>
  <si>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</si>
  <si>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</si>
  <si>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</si>
  <si>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</si>
  <si>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</si>
  <si>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</si>
  <si>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</si>
  <si>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</si>
  <si>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</si>
  <si>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</si>
  <si>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</si>
  <si>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</si>
  <si>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</si>
  <si>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</si>
  <si>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</si>
  <si>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</si>
  <si>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</si>
  <si>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</si>
  <si>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</si>
  <si>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</si>
  <si>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</si>
  <si>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</si>
  <si>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</si>
  <si>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</si>
  <si>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</si>
  <si>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</si>
  <si>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</si>
  <si>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</si>
  <si>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</si>
  <si>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</si>
  <si>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</si>
  <si>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</si>
  <si>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</si>
  <si>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</si>
  <si>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</si>
  <si>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</si>
  <si>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</si>
  <si>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</si>
  <si>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</si>
  <si>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</si>
  <si>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</si>
  <si>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</si>
  <si>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</si>
  <si>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</si>
  <si>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</si>
  <si>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</si>
  <si>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</si>
  <si>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</si>
  <si>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</si>
  <si>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</si>
  <si>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</si>
  <si>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</si>
  <si>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</si>
  <si>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</si>
  <si>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</si>
  <si>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</si>
  <si>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</si>
  <si>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</si>
  <si>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</si>
  <si>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</si>
  <si>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</si>
  <si>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</si>
  <si>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</si>
  <si>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</si>
  <si>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</si>
  <si>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</si>
  <si>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</si>
  <si>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</si>
  <si>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</si>
  <si>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</si>
  <si>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</si>
  <si>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</si>
  <si>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</si>
  <si>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</si>
  <si>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</si>
  <si>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</si>
  <si>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</si>
  <si>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</si>
  <si>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</si>
  <si>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</si>
  <si>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</si>
  <si>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</si>
  <si>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</si>
  <si>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</si>
  <si>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</si>
  <si>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</si>
  <si>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</si>
  <si>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</si>
  <si>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</si>
  <si>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</si>
  <si>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</si>
  <si>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</si>
  <si>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</si>
  <si>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</si>
  <si>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</si>
  <si>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</si>
  <si>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</si>
  <si>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</si>
  <si>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</si>
  <si>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</si>
  <si>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</si>
  <si>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</si>
  <si>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</si>
  <si>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</si>
  <si>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</si>
  <si>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</si>
  <si>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</si>
  <si>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</si>
  <si>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</si>
  <si>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</si>
  <si>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</si>
  <si>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</si>
  <si>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</si>
  <si>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</si>
  <si>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</si>
  <si>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</si>
  <si>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</si>
  <si>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</si>
  <si>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</si>
  <si>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</si>
  <si>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</si>
  <si>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</si>
  <si>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</si>
  <si>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</si>
  <si>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</si>
  <si>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</si>
  <si>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</si>
  <si>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</si>
  <si>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</si>
  <si>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</si>
  <si>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</si>
  <si>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</si>
  <si>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</si>
  <si>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</si>
  <si>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</si>
  <si>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</si>
  <si>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</si>
  <si>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</si>
  <si>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</si>
  <si>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</si>
  <si>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</si>
  <si>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</si>
  <si>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</si>
  <si>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</si>
  <si>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</si>
  <si>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</si>
  <si>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</si>
  <si>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</si>
  <si>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</si>
  <si>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</si>
  <si>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</si>
  <si>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</si>
  <si>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</si>
  <si>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</si>
  <si>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</si>
  <si>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</si>
  <si>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</si>
  <si>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</si>
  <si>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</si>
  <si>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</si>
  <si>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</si>
  <si>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</si>
  <si>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</si>
  <si>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</si>
  <si>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</si>
  <si>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</si>
  <si>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</si>
  <si>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</si>
  <si>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</si>
  <si>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</si>
  <si>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</si>
  <si>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</si>
  <si>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</si>
  <si>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</si>
  <si>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</si>
  <si>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</si>
  <si>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</si>
  <si>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</si>
  <si>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</si>
  <si>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</si>
  <si>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</si>
  <si>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</si>
  <si>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</si>
  <si>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</si>
  <si>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</si>
  <si>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</si>
  <si>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</si>
  <si>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</si>
  <si>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</si>
  <si>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</si>
  <si>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</si>
  <si>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</si>
  <si>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</si>
  <si>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</si>
  <si>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</si>
  <si>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</si>
  <si>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</si>
  <si>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</si>
  <si>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</si>
  <si>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</si>
  <si>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</si>
  <si>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</si>
  <si>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</si>
  <si>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</si>
  <si>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</si>
  <si>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</si>
  <si>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</si>
  <si>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</si>
  <si>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</si>
  <si>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</si>
  <si>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</si>
  <si>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</si>
  <si>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</si>
  <si>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</si>
  <si>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</si>
  <si>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</si>
  <si>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</si>
  <si>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</si>
  <si>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</si>
  <si>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</si>
  <si>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</si>
  <si>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</si>
  <si>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</si>
  <si>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</si>
  <si>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</si>
  <si>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</si>
  <si>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</si>
  <si>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</si>
  <si>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</si>
  <si>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</si>
  <si>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</si>
  <si>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</si>
  <si>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</si>
  <si>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</si>
  <si>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</si>
  <si>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</si>
  <si>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</si>
  <si>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</si>
  <si>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</si>
  <si>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</si>
  <si>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</si>
  <si>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</si>
  <si>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</si>
  <si>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</si>
  <si>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</si>
  <si>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</si>
  <si>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</si>
  <si>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</si>
  <si>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</si>
  <si>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</si>
  <si>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</si>
  <si>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</si>
  <si>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</si>
  <si>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</si>
  <si>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</si>
  <si>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</si>
  <si>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</si>
  <si>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</si>
  <si>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</si>
  <si>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</si>
  <si>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</si>
  <si>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</si>
  <si>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</si>
  <si>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</si>
  <si>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</si>
  <si>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</si>
  <si>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</si>
  <si>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</si>
  <si>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</si>
  <si>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</si>
  <si>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</si>
  <si>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</si>
  <si>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</si>
  <si>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</si>
  <si>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</si>
  <si>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</si>
  <si>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</si>
  <si>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</si>
  <si>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</si>
  <si>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</si>
  <si>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</si>
  <si>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</si>
  <si>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</si>
  <si>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</si>
  <si>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</si>
  <si>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</si>
  <si>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</si>
  <si>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</si>
  <si>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</si>
  <si>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</si>
  <si>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</si>
  <si>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</si>
  <si>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</si>
  <si>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</si>
  <si>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</si>
  <si>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</si>
  <si>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</si>
  <si>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</si>
  <si>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</si>
  <si>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</si>
  <si>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</si>
  <si>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</si>
  <si>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</si>
  <si>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</si>
  <si>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</si>
  <si>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</si>
  <si>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</si>
  <si>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</si>
  <si>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</si>
  <si>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</si>
  <si>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</si>
  <si>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</si>
  <si>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</si>
  <si>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</si>
  <si>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</si>
  <si>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</si>
  <si>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</si>
  <si>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</si>
  <si>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</si>
  <si>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</si>
  <si>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</si>
  <si>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</si>
  <si>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</si>
  <si>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</si>
  <si>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</si>
  <si>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</si>
  <si>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</si>
  <si>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</si>
  <si>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</si>
  <si>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</si>
  <si>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</si>
  <si>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</si>
  <si>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</si>
  <si>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</si>
  <si>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</si>
  <si>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</si>
  <si>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</si>
  <si>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</si>
  <si>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</si>
  <si>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</si>
  <si>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</si>
  <si>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</si>
  <si>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</si>
  <si>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</si>
  <si>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</si>
  <si>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</si>
  <si>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</si>
  <si>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</si>
  <si>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</si>
  <si>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</si>
  <si>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</si>
  <si>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</si>
  <si>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</si>
  <si>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</si>
  <si>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</si>
  <si>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</si>
  <si>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</si>
  <si>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</si>
  <si>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</si>
  <si>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</si>
  <si>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</si>
  <si>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</si>
  <si>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</si>
  <si>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</si>
  <si>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</si>
  <si>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</si>
  <si>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</si>
  <si>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</si>
  <si>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</si>
  <si>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</si>
  <si>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</si>
  <si>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</si>
  <si>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</si>
  <si>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</si>
  <si>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</si>
  <si>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</si>
  <si>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</si>
  <si>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</si>
  <si>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</si>
  <si>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</si>
  <si>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</si>
  <si>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</si>
  <si>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</si>
  <si>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</si>
  <si>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</si>
  <si>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</si>
  <si>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</si>
  <si>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</si>
  <si>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</si>
  <si>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</si>
  <si>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</si>
  <si>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</si>
  <si>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</si>
  <si>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</si>
  <si>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</si>
  <si>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</si>
  <si>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</si>
  <si>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</si>
  <si>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</si>
  <si>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</si>
  <si>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</si>
  <si>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</si>
  <si>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</si>
  <si>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</si>
  <si>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</si>
  <si>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</si>
  <si>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</si>
  <si>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</si>
  <si>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</si>
  <si>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</si>
  <si>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</si>
  <si>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</si>
  <si>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</si>
  <si>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</si>
  <si>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</si>
  <si>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</si>
  <si>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</si>
  <si>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</si>
  <si>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</si>
  <si>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</si>
  <si>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</si>
  <si>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</si>
  <si>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</si>
  <si>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</si>
  <si>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</si>
  <si>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</si>
  <si>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</si>
  <si>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</si>
  <si>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</si>
  <si>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</si>
  <si>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</si>
  <si>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</si>
  <si>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</si>
  <si>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</si>
  <si>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</si>
  <si>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</si>
  <si>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</si>
  <si>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</si>
  <si>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</si>
  <si>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</si>
  <si>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</si>
  <si>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</si>
  <si>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</si>
  <si>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</si>
  <si>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</si>
  <si>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</si>
  <si>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</si>
  <si>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</si>
  <si>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</si>
  <si>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</si>
  <si>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</si>
  <si>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</si>
  <si>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</si>
  <si>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</si>
  <si>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</si>
  <si>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</si>
  <si>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</si>
  <si>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</si>
  <si>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</si>
  <si>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</si>
  <si>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</si>
  <si>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</si>
  <si>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</si>
  <si>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</si>
  <si>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</si>
  <si>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</si>
  <si>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</si>
  <si>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</si>
  <si>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</si>
  <si>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</si>
  <si>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</si>
  <si>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</si>
  <si>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</si>
  <si>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</si>
  <si>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</si>
  <si>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</si>
  <si>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</si>
  <si>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</si>
  <si>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</si>
  <si>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</si>
  <si>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</si>
  <si>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</si>
  <si>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</si>
  <si>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</si>
  <si>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</si>
  <si>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</si>
  <si>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</si>
  <si>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</si>
  <si>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</si>
  <si>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</si>
  <si>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</si>
  <si>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</si>
  <si>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</si>
  <si>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</si>
  <si>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</si>
  <si>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</si>
  <si>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</si>
  <si>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</si>
  <si>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</si>
  <si>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</si>
  <si>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</si>
  <si>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</si>
  <si>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</si>
  <si>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</si>
  <si>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</si>
  <si>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</si>
  <si>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</si>
  <si>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</si>
  <si>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</si>
  <si>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</si>
  <si>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</si>
  <si>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</si>
  <si>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</si>
  <si>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</si>
  <si>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</si>
  <si>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</si>
  <si>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</si>
  <si>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</si>
  <si>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</si>
  <si>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</si>
  <si>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</si>
  <si>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</si>
  <si>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</si>
  <si>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</si>
  <si>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</si>
  <si>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</si>
  <si>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</si>
  <si>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</si>
  <si>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</si>
  <si>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</si>
  <si>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</si>
  <si>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</si>
  <si>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</si>
  <si>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</si>
  <si>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</si>
  <si>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</si>
  <si>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</si>
  <si>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</si>
  <si>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</si>
  <si>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</si>
  <si>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</si>
  <si>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</si>
  <si>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</si>
  <si>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</si>
  <si>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</si>
  <si>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</si>
  <si>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</si>
  <si>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</si>
  <si>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</si>
  <si>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</si>
  <si>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</si>
  <si>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</si>
  <si>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</si>
  <si>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</si>
  <si>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</si>
  <si>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</si>
  <si>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</si>
  <si>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</si>
  <si>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</si>
  <si>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</si>
  <si>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</si>
  <si>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</si>
  <si>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</si>
  <si>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</si>
  <si>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</si>
  <si>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</si>
  <si>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</si>
  <si>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</si>
  <si>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</si>
  <si>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</si>
  <si>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</si>
  <si>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</si>
  <si>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</si>
  <si>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</si>
  <si>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</si>
  <si>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</si>
  <si>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</si>
  <si>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</si>
  <si>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</si>
  <si>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</si>
  <si>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</si>
  <si>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</si>
  <si>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</si>
  <si>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</si>
  <si>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</si>
  <si>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</si>
  <si>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</si>
  <si>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</si>
  <si>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</si>
  <si>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</si>
  <si>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</si>
  <si>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</si>
  <si>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</si>
  <si>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</si>
  <si>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</si>
  <si>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</si>
  <si>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</si>
  <si>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</si>
  <si>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</si>
  <si>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</si>
  <si>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</si>
  <si>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</si>
  <si>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</si>
  <si>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</si>
  <si>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</si>
  <si>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</si>
  <si>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</si>
  <si>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</si>
  <si>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</si>
  <si>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</si>
  <si>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</si>
  <si>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</si>
  <si>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</si>
  <si>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</si>
  <si>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</si>
  <si>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</si>
  <si>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</si>
  <si>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</si>
  <si>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</si>
  <si>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</si>
  <si>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</si>
  <si>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</si>
  <si>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</si>
  <si>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</si>
  <si>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</si>
  <si>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</si>
  <si>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</si>
  <si>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</si>
  <si>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</si>
  <si>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</si>
  <si>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</si>
  <si>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</si>
  <si>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</si>
  <si>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</si>
  <si>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</si>
  <si>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</si>
  <si>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</si>
  <si>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</si>
  <si>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</si>
  <si>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</si>
  <si>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</si>
  <si>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</si>
  <si>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</si>
  <si>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</si>
  <si>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</si>
  <si>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</si>
  <si>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</si>
  <si>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</si>
  <si>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</si>
  <si>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</si>
  <si>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</si>
  <si>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</si>
  <si>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</si>
  <si>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</si>
  <si>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</si>
  <si>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</si>
  <si>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</si>
  <si>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</si>
  <si>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</si>
  <si>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</si>
  <si>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</si>
  <si>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</si>
  <si>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</si>
  <si>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</si>
  <si>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</si>
  <si>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</si>
  <si>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</si>
  <si>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</si>
  <si>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</si>
  <si>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</si>
  <si>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</si>
  <si>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</si>
  <si>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</si>
  <si>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</si>
  <si>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</si>
  <si>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</si>
  <si>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</si>
  <si>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</si>
  <si>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</si>
  <si>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</si>
  <si>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</si>
  <si>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</si>
  <si>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</si>
  <si>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</si>
  <si>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</si>
  <si>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</si>
  <si>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</si>
  <si>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</si>
  <si>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</si>
  <si>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</si>
  <si>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</si>
  <si>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</si>
  <si>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</si>
  <si>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</si>
  <si>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</si>
  <si>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</si>
  <si>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</si>
  <si>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</si>
  <si>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</si>
  <si>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</si>
  <si>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</si>
  <si>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</si>
  <si>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</si>
  <si>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</si>
  <si>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</si>
  <si>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</si>
  <si>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</si>
  <si>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</si>
  <si>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</si>
  <si>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</si>
  <si>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</si>
  <si>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</si>
  <si>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</si>
  <si>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</si>
  <si>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</si>
  <si>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</si>
  <si>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</si>
  <si>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</si>
  <si>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</si>
  <si>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</si>
  <si>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</si>
  <si>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</si>
  <si>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</si>
  <si>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</si>
  <si>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</si>
  <si>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</si>
  <si>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</si>
  <si>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</si>
  <si>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</si>
  <si>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</si>
  <si>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</si>
  <si>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</si>
  <si>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</si>
  <si>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</si>
  <si>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</si>
  <si>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</si>
  <si>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</si>
  <si>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</si>
  <si>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</si>
  <si>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</si>
  <si>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</si>
  <si>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</si>
  <si>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</si>
  <si>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</si>
  <si>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</si>
  <si>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</si>
  <si>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</si>
  <si>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</si>
  <si>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</si>
  <si>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</si>
  <si>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</si>
  <si>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</si>
  <si>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</si>
  <si>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</si>
  <si>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</si>
  <si>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</si>
  <si>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</si>
  <si>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</si>
  <si>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</si>
  <si>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</si>
  <si>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</si>
  <si>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</si>
  <si>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</si>
  <si>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</si>
  <si>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</si>
  <si>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</si>
  <si>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</si>
  <si>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</si>
  <si>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</si>
  <si>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</si>
  <si>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</si>
  <si>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</si>
  <si>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</si>
  <si>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</si>
  <si>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</si>
  <si>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</si>
  <si>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</si>
  <si>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</si>
  <si>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</si>
  <si>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</si>
  <si>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</si>
  <si>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</si>
  <si>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</si>
  <si>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</si>
  <si>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</si>
  <si>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</si>
  <si>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</si>
  <si>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</si>
  <si>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</si>
  <si>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</si>
  <si>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</si>
  <si>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</si>
  <si>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</si>
  <si>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</si>
  <si>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</si>
  <si>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</si>
  <si>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</si>
  <si>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</si>
  <si>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</si>
  <si>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</si>
  <si>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</si>
  <si>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</si>
  <si>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</si>
  <si>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</si>
  <si>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</si>
  <si>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</si>
  <si>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</si>
  <si>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</si>
  <si>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</si>
  <si>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</si>
  <si>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</si>
  <si>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</si>
  <si>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</si>
  <si>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</si>
  <si>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</si>
  <si>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</si>
  <si>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</si>
  <si>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</si>
  <si>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</si>
  <si>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</si>
  <si>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</si>
  <si>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</si>
  <si>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</si>
  <si>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</si>
  <si>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</si>
  <si>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</si>
  <si>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</si>
  <si>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</si>
  <si>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</si>
  <si>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</si>
  <si>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</si>
  <si>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</si>
  <si>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</si>
  <si>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</si>
  <si>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</si>
  <si>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</si>
  <si>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</si>
  <si>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</si>
  <si>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</si>
  <si>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</si>
  <si>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</si>
  <si>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</si>
  <si>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</si>
  <si>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</si>
  <si>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</si>
  <si>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</si>
  <si>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</si>
  <si>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</si>
  <si>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</si>
  <si>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</si>
  <si>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</si>
  <si>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</si>
  <si>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</si>
  <si>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</si>
  <si>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</si>
  <si>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</si>
  <si>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</si>
  <si>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</si>
  <si>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</si>
  <si>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</si>
  <si>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</si>
  <si>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</si>
  <si>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</si>
  <si>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</si>
  <si>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</si>
  <si>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</si>
  <si>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</si>
  <si>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</si>
  <si>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</si>
  <si>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</si>
  <si>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</si>
  <si>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</si>
  <si>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</si>
  <si>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</si>
  <si>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</si>
  <si>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</si>
  <si>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</si>
  <si>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</si>
  <si>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</si>
  <si>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</si>
  <si>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</si>
  <si>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</si>
  <si>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</si>
  <si>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</si>
  <si>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</si>
  <si>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</si>
  <si>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</si>
  <si>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</si>
  <si>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</si>
  <si>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</si>
  <si>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</si>
  <si>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</si>
  <si>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</si>
  <si>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</si>
  <si>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</si>
  <si>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</si>
  <si>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</si>
  <si>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</si>
  <si>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</si>
  <si>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</si>
  <si>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</si>
  <si>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</si>
  <si>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</si>
  <si>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</si>
  <si>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</si>
  <si>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</si>
  <si>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</si>
  <si>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</si>
  <si>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</si>
  <si>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</si>
  <si>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</si>
  <si>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</si>
  <si>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</si>
  <si>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</si>
  <si>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</si>
  <si>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</si>
  <si>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</si>
  <si>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</si>
  <si>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</si>
  <si>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</si>
  <si>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</si>
  <si>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</si>
  <si>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</si>
  <si>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</si>
  <si>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</si>
  <si>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</si>
  <si>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</si>
  <si>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</si>
  <si>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</si>
  <si>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</si>
  <si>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</si>
  <si>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</si>
  <si>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</si>
  <si>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</si>
  <si>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</si>
  <si>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</si>
  <si>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</si>
  <si>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</si>
  <si>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</si>
  <si>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</si>
  <si>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</si>
  <si>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</si>
  <si>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</si>
  <si>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</si>
  <si>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</si>
  <si>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</si>
  <si>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</si>
  <si>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</si>
  <si>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</si>
  <si>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</si>
  <si>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</si>
  <si>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</si>
  <si>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</si>
  <si>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</si>
  <si>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</si>
  <si>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</si>
  <si>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</si>
  <si>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</si>
  <si>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</si>
  <si>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</si>
  <si>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</si>
  <si>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</si>
  <si>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</si>
  <si>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</si>
  <si>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</si>
  <si>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</si>
  <si>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</si>
  <si>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</si>
  <si>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</si>
  <si>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</si>
  <si>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</si>
  <si>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</si>
  <si>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</si>
  <si>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</si>
  <si>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</si>
  <si>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</si>
  <si>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</si>
  <si>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</si>
  <si>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</si>
  <si>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</si>
  <si>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</si>
  <si>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</si>
  <si>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</si>
  <si>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</si>
  <si>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</si>
  <si>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</si>
  <si>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</si>
  <si>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</si>
  <si>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</si>
  <si>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</si>
  <si>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</si>
  <si>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</si>
  <si>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</si>
  <si>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</si>
  <si>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</si>
  <si>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</si>
  <si>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</si>
  <si>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</si>
  <si>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</si>
  <si>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</si>
  <si>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</si>
  <si>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</si>
  <si>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</si>
  <si>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</si>
  <si>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</si>
  <si>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</si>
  <si>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</si>
  <si>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</si>
  <si>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</si>
  <si>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</si>
  <si>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</si>
  <si>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</si>
  <si>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</si>
  <si>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</si>
  <si>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</si>
  <si>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</si>
  <si>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</si>
  <si>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</si>
  <si>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</si>
  <si>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</si>
  <si>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</si>
  <si>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</si>
  <si>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</si>
  <si>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</si>
  <si>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</si>
  <si>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</si>
  <si>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</si>
  <si>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</si>
  <si>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</si>
  <si>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</si>
  <si>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</si>
  <si>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</si>
  <si>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</si>
  <si>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</si>
  <si>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</si>
  <si>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</si>
  <si>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</si>
  <si>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</si>
  <si>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</si>
  <si>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</si>
  <si>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</si>
  <si>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</si>
  <si>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</si>
  <si>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</si>
  <si>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</si>
  <si>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</si>
  <si>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</si>
  <si>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</si>
  <si>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</si>
  <si>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</si>
  <si>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</si>
  <si>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</si>
  <si>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</si>
  <si>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</si>
  <si>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</si>
  <si>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</si>
  <si>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</si>
  <si>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</si>
  <si>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</si>
  <si>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</si>
  <si>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</si>
  <si>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</si>
  <si>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</si>
  <si>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</si>
  <si>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</si>
  <si>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</si>
  <si>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</si>
  <si>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</si>
  <si>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</si>
  <si>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</si>
  <si>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</si>
  <si>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</si>
  <si>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</si>
  <si>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</si>
  <si>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</si>
  <si>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</si>
  <si>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</si>
  <si>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</si>
  <si>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</si>
  <si>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</si>
  <si>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</si>
  <si>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</si>
  <si>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</si>
  <si>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</si>
  <si>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</si>
  <si>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</si>
  <si>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</si>
  <si>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</si>
  <si>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</si>
  <si>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</si>
  <si>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</si>
  <si>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</si>
  <si>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</si>
  <si>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</si>
  <si>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</si>
  <si>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096</t>
  </si>
  <si>
    <t>Skyline Health</t>
  </si>
  <si>
    <t>211 Skyline Drive</t>
  </si>
  <si>
    <t>PO Box 99</t>
  </si>
  <si>
    <t>White Salmon, WA  98672</t>
  </si>
  <si>
    <t>Klickitat</t>
  </si>
  <si>
    <t>Robb Kimmes</t>
  </si>
  <si>
    <t>Brenda Schneider</t>
  </si>
  <si>
    <t>Juliet Pouillon</t>
  </si>
  <si>
    <t>509-637-2901</t>
  </si>
  <si>
    <t>509-493-4607</t>
  </si>
  <si>
    <t>X</t>
  </si>
  <si>
    <t>12/31/2021</t>
  </si>
  <si>
    <t>Julieit Pouillon</t>
  </si>
  <si>
    <t>509-493-1101</t>
  </si>
  <si>
    <t>Volume decreased.  Swing bed coordinator has set hours.</t>
  </si>
  <si>
    <t>Volume increased.  Minimum staffing both years.</t>
  </si>
  <si>
    <t>Volume increased.  Flat expense for 24/7 coverage.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</si>
</sst>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09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699</v>
          </cell>
          <cell r="F59"/>
          <cell r="G59"/>
          <cell r="H59"/>
          <cell r="I59"/>
          <cell r="J59"/>
          <cell r="K59"/>
          <cell r="L59">
            <v>1514</v>
          </cell>
          <cell r="M59"/>
          <cell r="N59"/>
          <cell r="O59"/>
          <cell r="P59">
            <v>379</v>
          </cell>
          <cell r="Q59"/>
          <cell r="R59"/>
          <cell r="U59">
            <v>30798</v>
          </cell>
          <cell r="V59"/>
          <cell r="W59"/>
          <cell r="X59"/>
          <cell r="Y59">
            <v>8624</v>
          </cell>
          <cell r="Z59"/>
          <cell r="AA59"/>
          <cell r="AC59">
            <v>1004</v>
          </cell>
          <cell r="AD59"/>
          <cell r="AE59">
            <v>8542</v>
          </cell>
          <cell r="AF59"/>
          <cell r="AG59">
            <v>3567</v>
          </cell>
          <cell r="AH59"/>
          <cell r="AI59"/>
          <cell r="AJ59">
            <v>2544</v>
          </cell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7173</v>
          </cell>
          <cell r="AZ59"/>
          <cell r="BA59"/>
          <cell r="BE59">
            <v>60463</v>
          </cell>
        </row>
        <row r="71">
          <cell r="C71">
            <v>785</v>
          </cell>
          <cell r="D71">
            <v>0</v>
          </cell>
          <cell r="E71">
            <v>2836160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50192</v>
          </cell>
          <cell r="M71">
            <v>0</v>
          </cell>
          <cell r="N71">
            <v>0</v>
          </cell>
          <cell r="O71">
            <v>0</v>
          </cell>
          <cell r="P71">
            <v>688783</v>
          </cell>
          <cell r="Q71">
            <v>0</v>
          </cell>
          <cell r="R71">
            <v>392073</v>
          </cell>
          <cell r="S71">
            <v>169217</v>
          </cell>
          <cell r="T71">
            <v>0</v>
          </cell>
          <cell r="U71">
            <v>1093589</v>
          </cell>
          <cell r="V71">
            <v>0</v>
          </cell>
          <cell r="W71">
            <v>0</v>
          </cell>
          <cell r="X71">
            <v>0</v>
          </cell>
          <cell r="Y71">
            <v>1406673</v>
          </cell>
          <cell r="Z71">
            <v>0</v>
          </cell>
          <cell r="AA71">
            <v>0</v>
          </cell>
          <cell r="AB71">
            <v>666878</v>
          </cell>
          <cell r="AC71">
            <v>147226</v>
          </cell>
          <cell r="AD71">
            <v>0</v>
          </cell>
          <cell r="AE71">
            <v>931231</v>
          </cell>
          <cell r="AF71">
            <v>0</v>
          </cell>
          <cell r="AG71">
            <v>2173798</v>
          </cell>
          <cell r="AH71">
            <v>0</v>
          </cell>
          <cell r="AI71">
            <v>0</v>
          </cell>
          <cell r="AJ71">
            <v>1014417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343033</v>
          </cell>
          <cell r="AZ71">
            <v>0</v>
          </cell>
          <cell r="BA71">
            <v>7920</v>
          </cell>
          <cell r="BB71">
            <v>0</v>
          </cell>
          <cell r="BC71">
            <v>0</v>
          </cell>
          <cell r="BD71">
            <v>134941</v>
          </cell>
          <cell r="BE71">
            <v>627046</v>
          </cell>
          <cell r="BF71">
            <v>273331</v>
          </cell>
          <cell r="BG71">
            <v>0</v>
          </cell>
          <cell r="BH71">
            <v>1100134</v>
          </cell>
          <cell r="BI71">
            <v>0</v>
          </cell>
          <cell r="BJ71">
            <v>458507</v>
          </cell>
          <cell r="BK71">
            <v>390610</v>
          </cell>
          <cell r="BL71">
            <v>0</v>
          </cell>
          <cell r="BM71">
            <v>0</v>
          </cell>
          <cell r="BN71">
            <v>443327</v>
          </cell>
          <cell r="BO71">
            <v>0</v>
          </cell>
          <cell r="BP71">
            <v>208649</v>
          </cell>
          <cell r="BQ71">
            <v>0</v>
          </cell>
          <cell r="BR71">
            <v>230063</v>
          </cell>
          <cell r="BS71">
            <v>0</v>
          </cell>
          <cell r="BT71">
            <v>0</v>
          </cell>
          <cell r="BU71">
            <v>0</v>
          </cell>
          <cell r="BV71">
            <v>234063</v>
          </cell>
          <cell r="BW71">
            <v>0</v>
          </cell>
          <cell r="BX71">
            <v>141792</v>
          </cell>
          <cell r="BY71">
            <v>477819</v>
          </cell>
          <cell r="BZ71">
            <v>0</v>
          </cell>
          <cell r="CA71">
            <v>48023</v>
          </cell>
          <cell r="CB71">
            <v>62032</v>
          </cell>
          <cell r="CC71">
            <v>972213</v>
          </cell>
          <cell r="CD71">
            <v>1112935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67" transitionEvaluation="1" transitionEntry="1" codeName="Sheet1">
    <pageSetUpPr autoPageBreaks="0" fitToPage="1"/>
  </sheetPr>
  <dimension ref="A1:CF817"/>
  <sheetViews>
    <sheetView showGridLines="0" tabSelected="1" topLeftCell="A67" zoomScale="60" zoomScaleNormal="60" workbookViewId="0">
      <pane xSplit="1" topLeftCell="B1" activePane="topRight" state="frozen"/>
      <selection activeCell="A55" sqref="A55"/>
      <selection pane="topRight" activeCell="B1" sqref="B1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2392361.5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565077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9287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118945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101258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120397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64936</v>
      </c>
      <c r="AC48" s="195">
        <f>ROUND(((B48/CE61)*AC61),0)</f>
        <v>35319</v>
      </c>
      <c r="AD48" s="195">
        <f>ROUND(((B48/CE61)*AD61),0)</f>
        <v>0</v>
      </c>
      <c r="AE48" s="195">
        <f>ROUND(((B48/CE61)*AE61),0)</f>
        <v>216302</v>
      </c>
      <c r="AF48" s="195">
        <f>ROUND(((B48/CE61)*AF61),0)</f>
        <v>0</v>
      </c>
      <c r="AG48" s="195">
        <f>ROUND(((B48/CE61)*AG61),0)</f>
        <v>117332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269219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51084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31843</v>
      </c>
      <c r="BE48" s="195">
        <f>ROUND(((B48/CE61)*BE61),0)</f>
        <v>73404</v>
      </c>
      <c r="BF48" s="195">
        <f>ROUND(((B48/CE61)*BF61),0)</f>
        <v>58021</v>
      </c>
      <c r="BG48" s="195">
        <f>ROUND(((B48/CE61)*BG61),0)</f>
        <v>0</v>
      </c>
      <c r="BH48" s="195">
        <f>ROUND(((B48/CE61)*BH61),0)</f>
        <v>101068</v>
      </c>
      <c r="BI48" s="195">
        <f>ROUND(((B48/CE61)*BI61),0)</f>
        <v>0</v>
      </c>
      <c r="BJ48" s="195">
        <f>ROUND(((B48/CE61)*BJ61),0)</f>
        <v>69029</v>
      </c>
      <c r="BK48" s="195">
        <f>ROUND(((B48/CE61)*BK61),0)</f>
        <v>61695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54778</v>
      </c>
      <c r="BO48" s="195">
        <f>ROUND(((B48/CE61)*BO61),0)</f>
        <v>0</v>
      </c>
      <c r="BP48" s="195">
        <f>ROUND(((B48/CE61)*BP61),0)</f>
        <v>23415</v>
      </c>
      <c r="BQ48" s="195">
        <f>ROUND(((B48/CE61)*BQ61),0)</f>
        <v>0</v>
      </c>
      <c r="BR48" s="195">
        <f>ROUND(((B48/CE61)*BR61),0)</f>
        <v>36935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21206</v>
      </c>
      <c r="BW48" s="195">
        <f>ROUND(((B48/CE61)*BW61),0)</f>
        <v>0</v>
      </c>
      <c r="BX48" s="195">
        <f>ROUND(((B48/CE61)*BX61),0)</f>
        <v>32214</v>
      </c>
      <c r="BY48" s="195">
        <f>ROUND(((B48/CE61)*BY61),0)</f>
        <v>103667</v>
      </c>
      <c r="BZ48" s="195">
        <f>ROUND(((B48/CE61)*BZ61),0)</f>
        <v>0</v>
      </c>
      <c r="CA48" s="195">
        <f>ROUND(((B48/CE61)*CA61),0)</f>
        <v>3167</v>
      </c>
      <c r="CB48" s="195">
        <f>ROUND(((B48/CE61)*CB61),0)</f>
        <v>15381</v>
      </c>
      <c r="CC48" s="195">
        <f>ROUND(((B48/CE61)*CC61),0)</f>
        <v>37384</v>
      </c>
      <c r="CD48" s="195"/>
      <c r="CE48" s="195">
        <f>SUM(C48:CD48)</f>
        <v>2392363</v>
      </c>
    </row>
    <row r="49" spans="1:84" ht="12.65" customHeight="1" x14ac:dyDescent="0.35">
      <c r="A49" s="175" t="s">
        <v>206</v>
      </c>
      <c r="B49" s="195">
        <f>B47+B48</f>
        <v>2392361.5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1283639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197303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74535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22320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95019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11209</v>
      </c>
      <c r="AC52" s="195">
        <f>ROUND((B52/(CE76+CF76)*AC76),0)</f>
        <v>6815</v>
      </c>
      <c r="AD52" s="195">
        <f>ROUND((B52/(CE76+CF76)*AD76),0)</f>
        <v>0</v>
      </c>
      <c r="AE52" s="195">
        <f>ROUND((B52/(CE76+CF76)*AE76),0)</f>
        <v>63659</v>
      </c>
      <c r="AF52" s="195">
        <f>ROUND((B52/(CE76+CF76)*AF76),0)</f>
        <v>0</v>
      </c>
      <c r="AG52" s="195">
        <f>ROUND((B52/(CE76+CF76)*AG76),0)</f>
        <v>112769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104412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52216</v>
      </c>
      <c r="AZ52" s="195">
        <f>ROUND((B52/(CE76+CF76)*AZ76),0)</f>
        <v>0</v>
      </c>
      <c r="BA52" s="195">
        <f>ROUND((B52/(CE76+CF76)*BA76),0)</f>
        <v>3046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124369</v>
      </c>
      <c r="BF52" s="195">
        <f>ROUND((B52/(CE76+CF76)*BF76),0)</f>
        <v>15348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366369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19879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14372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1283640</v>
      </c>
    </row>
    <row r="53" spans="1:84" ht="12.65" customHeight="1" x14ac:dyDescent="0.35">
      <c r="A53" s="175" t="s">
        <v>206</v>
      </c>
      <c r="B53" s="195">
        <f>B51+B52</f>
        <v>1283639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568</v>
      </c>
      <c r="F59" s="184"/>
      <c r="G59" s="184"/>
      <c r="H59" s="184"/>
      <c r="I59" s="184"/>
      <c r="J59" s="184"/>
      <c r="K59" s="184"/>
      <c r="L59" s="184">
        <v>1168</v>
      </c>
      <c r="M59" s="184"/>
      <c r="N59" s="184"/>
      <c r="O59" s="184"/>
      <c r="P59" s="185">
        <v>419</v>
      </c>
      <c r="Q59" s="185"/>
      <c r="R59" s="185">
        <v>16780</v>
      </c>
      <c r="S59" s="248"/>
      <c r="T59" s="248"/>
      <c r="U59" s="224">
        <v>27226</v>
      </c>
      <c r="V59" s="185"/>
      <c r="W59" s="185"/>
      <c r="X59" s="185"/>
      <c r="Y59" s="185">
        <v>8335</v>
      </c>
      <c r="Z59" s="185"/>
      <c r="AA59" s="185"/>
      <c r="AB59" s="248"/>
      <c r="AC59" s="185">
        <v>933</v>
      </c>
      <c r="AD59" s="185"/>
      <c r="AE59" s="185">
        <v>7805</v>
      </c>
      <c r="AF59" s="185"/>
      <c r="AG59" s="185">
        <v>3453</v>
      </c>
      <c r="AH59" s="185"/>
      <c r="AI59" s="185"/>
      <c r="AJ59" s="185">
        <v>4051</v>
      </c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5485</v>
      </c>
      <c r="AZ59" s="185"/>
      <c r="BA59" s="248"/>
      <c r="BB59" s="248"/>
      <c r="BC59" s="248"/>
      <c r="BD59" s="248"/>
      <c r="BE59" s="185">
        <v>65736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/>
      <c r="D60" s="187"/>
      <c r="E60" s="187">
        <f>19.87+3.02</f>
        <v>22.89</v>
      </c>
      <c r="F60" s="223"/>
      <c r="G60" s="187"/>
      <c r="H60" s="187"/>
      <c r="I60" s="187"/>
      <c r="J60" s="223"/>
      <c r="K60" s="187"/>
      <c r="L60" s="187">
        <v>0.83</v>
      </c>
      <c r="M60" s="187"/>
      <c r="N60" s="187"/>
      <c r="O60" s="187"/>
      <c r="P60" s="221">
        <f>4.95+0.12</f>
        <v>5.07</v>
      </c>
      <c r="Q60" s="221"/>
      <c r="R60" s="221"/>
      <c r="S60" s="221"/>
      <c r="T60" s="221"/>
      <c r="U60" s="221">
        <v>5.03</v>
      </c>
      <c r="V60" s="221"/>
      <c r="W60" s="221"/>
      <c r="X60" s="221"/>
      <c r="Y60" s="221">
        <v>5.47</v>
      </c>
      <c r="Z60" s="221"/>
      <c r="AA60" s="221"/>
      <c r="AB60" s="221">
        <v>2.4</v>
      </c>
      <c r="AC60" s="221">
        <v>1.48</v>
      </c>
      <c r="AD60" s="221"/>
      <c r="AE60" s="221">
        <v>987</v>
      </c>
      <c r="AF60" s="221"/>
      <c r="AG60" s="221">
        <v>5.08</v>
      </c>
      <c r="AH60" s="221"/>
      <c r="AI60" s="221"/>
      <c r="AJ60" s="221">
        <v>11.4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4.49</v>
      </c>
      <c r="AZ60" s="221"/>
      <c r="BA60" s="221"/>
      <c r="BB60" s="221"/>
      <c r="BC60" s="221"/>
      <c r="BD60" s="221"/>
      <c r="BE60" s="221">
        <v>3.71</v>
      </c>
      <c r="BF60" s="221">
        <v>5.97</v>
      </c>
      <c r="BG60" s="221"/>
      <c r="BH60" s="221">
        <v>4.1399999999999997</v>
      </c>
      <c r="BI60" s="221"/>
      <c r="BJ60" s="221">
        <v>2.48</v>
      </c>
      <c r="BK60" s="221">
        <v>5.59</v>
      </c>
      <c r="BL60" s="221"/>
      <c r="BM60" s="221"/>
      <c r="BN60" s="221">
        <v>1.08</v>
      </c>
      <c r="BO60" s="221"/>
      <c r="BP60" s="221">
        <v>0.98</v>
      </c>
      <c r="BQ60" s="221"/>
      <c r="BR60" s="221">
        <v>1.82</v>
      </c>
      <c r="BS60" s="221"/>
      <c r="BT60" s="221"/>
      <c r="BU60" s="221"/>
      <c r="BV60" s="221">
        <v>2.0299999999999998</v>
      </c>
      <c r="BW60" s="221"/>
      <c r="BX60" s="221">
        <v>1.23</v>
      </c>
      <c r="BY60" s="221">
        <f>2.4+1.01</f>
        <v>3.41</v>
      </c>
      <c r="BZ60" s="221"/>
      <c r="CA60" s="221">
        <v>0.13</v>
      </c>
      <c r="CB60" s="221">
        <v>1</v>
      </c>
      <c r="CC60" s="221">
        <f>0.66+0.96</f>
        <v>1.62</v>
      </c>
      <c r="CD60" s="249" t="s">
        <v>221</v>
      </c>
      <c r="CE60" s="251">
        <f t="shared" ref="CE60:CE70" si="0">SUM(C60:CD60)</f>
        <v>1086.3300000000002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f>1506720+631195</f>
        <v>2137915</v>
      </c>
      <c r="F61" s="185"/>
      <c r="G61" s="184"/>
      <c r="H61" s="184"/>
      <c r="I61" s="185"/>
      <c r="J61" s="185"/>
      <c r="K61" s="185"/>
      <c r="L61" s="185">
        <v>35137</v>
      </c>
      <c r="M61" s="184"/>
      <c r="N61" s="184"/>
      <c r="O61" s="184"/>
      <c r="P61" s="185">
        <f>437034+12982</f>
        <v>450016</v>
      </c>
      <c r="Q61" s="185"/>
      <c r="R61" s="185"/>
      <c r="S61" s="185"/>
      <c r="T61" s="185"/>
      <c r="U61" s="185">
        <v>383101</v>
      </c>
      <c r="V61" s="185"/>
      <c r="W61" s="185"/>
      <c r="X61" s="185"/>
      <c r="Y61" s="185">
        <v>455512</v>
      </c>
      <c r="Z61" s="185"/>
      <c r="AA61" s="185"/>
      <c r="AB61" s="185">
        <v>245678</v>
      </c>
      <c r="AC61" s="185">
        <v>133626</v>
      </c>
      <c r="AD61" s="185"/>
      <c r="AE61" s="185">
        <v>818360</v>
      </c>
      <c r="AF61" s="185"/>
      <c r="AG61" s="185">
        <v>443915</v>
      </c>
      <c r="AH61" s="185"/>
      <c r="AI61" s="185"/>
      <c r="AJ61" s="185">
        <v>1018565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193270</v>
      </c>
      <c r="AZ61" s="185"/>
      <c r="BA61" s="185"/>
      <c r="BB61" s="185"/>
      <c r="BC61" s="185"/>
      <c r="BD61" s="185">
        <v>120476</v>
      </c>
      <c r="BE61" s="185">
        <v>277716</v>
      </c>
      <c r="BF61" s="185">
        <v>219516</v>
      </c>
      <c r="BG61" s="185"/>
      <c r="BH61" s="185">
        <v>382380</v>
      </c>
      <c r="BI61" s="185"/>
      <c r="BJ61" s="185">
        <v>261164</v>
      </c>
      <c r="BK61" s="185">
        <v>233416</v>
      </c>
      <c r="BL61" s="185"/>
      <c r="BM61" s="185"/>
      <c r="BN61" s="185">
        <v>207247</v>
      </c>
      <c r="BO61" s="185"/>
      <c r="BP61" s="185">
        <v>88588</v>
      </c>
      <c r="BQ61" s="185"/>
      <c r="BR61" s="185">
        <v>139740</v>
      </c>
      <c r="BS61" s="185"/>
      <c r="BT61" s="185"/>
      <c r="BU61" s="185"/>
      <c r="BV61" s="185">
        <v>80231</v>
      </c>
      <c r="BW61" s="185"/>
      <c r="BX61" s="185">
        <v>121879</v>
      </c>
      <c r="BY61" s="185">
        <f>272750+119464</f>
        <v>392214</v>
      </c>
      <c r="BZ61" s="185"/>
      <c r="CA61" s="185">
        <v>11981</v>
      </c>
      <c r="CB61" s="185">
        <v>58192</v>
      </c>
      <c r="CC61" s="185">
        <f>40843+100595</f>
        <v>141438</v>
      </c>
      <c r="CD61" s="249" t="s">
        <v>221</v>
      </c>
      <c r="CE61" s="195">
        <f t="shared" si="0"/>
        <v>9051273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565077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9287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118945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101258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120397</v>
      </c>
      <c r="Z62" s="195">
        <f t="shared" si="1"/>
        <v>0</v>
      </c>
      <c r="AA62" s="195">
        <f t="shared" si="1"/>
        <v>0</v>
      </c>
      <c r="AB62" s="195">
        <f t="shared" si="1"/>
        <v>64936</v>
      </c>
      <c r="AC62" s="195">
        <f t="shared" si="1"/>
        <v>35319</v>
      </c>
      <c r="AD62" s="195">
        <f t="shared" si="1"/>
        <v>0</v>
      </c>
      <c r="AE62" s="195">
        <f t="shared" si="1"/>
        <v>216302</v>
      </c>
      <c r="AF62" s="195">
        <f t="shared" si="1"/>
        <v>0</v>
      </c>
      <c r="AG62" s="195">
        <f t="shared" si="1"/>
        <v>117332</v>
      </c>
      <c r="AH62" s="195">
        <f t="shared" si="1"/>
        <v>0</v>
      </c>
      <c r="AI62" s="195">
        <f t="shared" si="1"/>
        <v>0</v>
      </c>
      <c r="AJ62" s="195">
        <f t="shared" si="1"/>
        <v>269219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51084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31843</v>
      </c>
      <c r="BE62" s="195">
        <f t="shared" si="1"/>
        <v>73404</v>
      </c>
      <c r="BF62" s="195">
        <f t="shared" si="1"/>
        <v>58021</v>
      </c>
      <c r="BG62" s="195">
        <f t="shared" si="1"/>
        <v>0</v>
      </c>
      <c r="BH62" s="195">
        <f t="shared" si="1"/>
        <v>101068</v>
      </c>
      <c r="BI62" s="195">
        <f t="shared" si="1"/>
        <v>0</v>
      </c>
      <c r="BJ62" s="195">
        <f t="shared" si="1"/>
        <v>69029</v>
      </c>
      <c r="BK62" s="195">
        <f t="shared" si="1"/>
        <v>61695</v>
      </c>
      <c r="BL62" s="195">
        <f t="shared" si="1"/>
        <v>0</v>
      </c>
      <c r="BM62" s="195">
        <f t="shared" si="1"/>
        <v>0</v>
      </c>
      <c r="BN62" s="195">
        <f t="shared" si="1"/>
        <v>54778</v>
      </c>
      <c r="BO62" s="195">
        <f t="shared" ref="BO62:CC62" si="2">ROUND(BO47+BO48,0)</f>
        <v>0</v>
      </c>
      <c r="BP62" s="195">
        <f t="shared" si="2"/>
        <v>23415</v>
      </c>
      <c r="BQ62" s="195">
        <f t="shared" si="2"/>
        <v>0</v>
      </c>
      <c r="BR62" s="195">
        <f t="shared" si="2"/>
        <v>36935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21206</v>
      </c>
      <c r="BW62" s="195">
        <f t="shared" si="2"/>
        <v>0</v>
      </c>
      <c r="BX62" s="195">
        <f t="shared" si="2"/>
        <v>32214</v>
      </c>
      <c r="BY62" s="195">
        <f t="shared" si="2"/>
        <v>103667</v>
      </c>
      <c r="BZ62" s="195">
        <f t="shared" si="2"/>
        <v>0</v>
      </c>
      <c r="CA62" s="195">
        <f t="shared" si="2"/>
        <v>3167</v>
      </c>
      <c r="CB62" s="195">
        <f t="shared" si="2"/>
        <v>15381</v>
      </c>
      <c r="CC62" s="195">
        <f t="shared" si="2"/>
        <v>37384</v>
      </c>
      <c r="CD62" s="249" t="s">
        <v>221</v>
      </c>
      <c r="CE62" s="195">
        <f t="shared" si="0"/>
        <v>2392363</v>
      </c>
      <c r="CF62" s="252"/>
    </row>
    <row r="63" spans="1:84" ht="12.65" customHeight="1" x14ac:dyDescent="0.35">
      <c r="A63" s="171" t="s">
        <v>236</v>
      </c>
      <c r="B63" s="175"/>
      <c r="C63" s="184"/>
      <c r="D63" s="184"/>
      <c r="E63" s="184">
        <v>5722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391463</v>
      </c>
      <c r="S63" s="185"/>
      <c r="T63" s="185"/>
      <c r="U63" s="185">
        <v>10800</v>
      </c>
      <c r="V63" s="185"/>
      <c r="W63" s="185"/>
      <c r="X63" s="185"/>
      <c r="Y63" s="185">
        <v>245299</v>
      </c>
      <c r="Z63" s="185"/>
      <c r="AA63" s="185"/>
      <c r="AB63" s="185"/>
      <c r="AC63" s="185"/>
      <c r="AD63" s="185"/>
      <c r="AE63" s="185"/>
      <c r="AF63" s="185"/>
      <c r="AG63" s="185">
        <v>1385450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2038734</v>
      </c>
      <c r="CF63" s="252"/>
    </row>
    <row r="64" spans="1:84" ht="12.65" customHeight="1" x14ac:dyDescent="0.35">
      <c r="A64" s="171" t="s">
        <v>237</v>
      </c>
      <c r="B64" s="175"/>
      <c r="C64" s="184"/>
      <c r="D64" s="184"/>
      <c r="E64" s="185">
        <v>54933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43326</v>
      </c>
      <c r="Q64" s="185"/>
      <c r="R64" s="185">
        <v>1302</v>
      </c>
      <c r="S64" s="185">
        <f>186182-26889</f>
        <v>159293</v>
      </c>
      <c r="T64" s="185"/>
      <c r="U64" s="185">
        <v>337384</v>
      </c>
      <c r="V64" s="185"/>
      <c r="W64" s="185"/>
      <c r="X64" s="185"/>
      <c r="Y64" s="185">
        <v>45181</v>
      </c>
      <c r="Z64" s="185"/>
      <c r="AA64" s="185"/>
      <c r="AB64" s="185">
        <v>493598</v>
      </c>
      <c r="AC64" s="185">
        <v>2496</v>
      </c>
      <c r="AD64" s="185"/>
      <c r="AE64" s="185">
        <v>12633</v>
      </c>
      <c r="AF64" s="185"/>
      <c r="AG64" s="185">
        <v>41611</v>
      </c>
      <c r="AH64" s="185"/>
      <c r="AI64" s="185"/>
      <c r="AJ64" s="185">
        <v>124498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116577</v>
      </c>
      <c r="AZ64" s="185"/>
      <c r="BA64" s="185">
        <v>7115</v>
      </c>
      <c r="BB64" s="185"/>
      <c r="BC64" s="185"/>
      <c r="BD64" s="185">
        <v>895</v>
      </c>
      <c r="BE64" s="185">
        <v>25197</v>
      </c>
      <c r="BF64" s="185">
        <v>25905</v>
      </c>
      <c r="BG64" s="185"/>
      <c r="BH64" s="185">
        <v>25709</v>
      </c>
      <c r="BI64" s="185"/>
      <c r="BJ64" s="185">
        <v>18</v>
      </c>
      <c r="BK64" s="185">
        <v>12530</v>
      </c>
      <c r="BL64" s="185"/>
      <c r="BM64" s="185"/>
      <c r="BN64" s="185">
        <v>3931</v>
      </c>
      <c r="BO64" s="185"/>
      <c r="BP64" s="185">
        <v>6383</v>
      </c>
      <c r="BQ64" s="185"/>
      <c r="BR64" s="185">
        <v>2913</v>
      </c>
      <c r="BS64" s="185"/>
      <c r="BT64" s="185"/>
      <c r="BU64" s="185"/>
      <c r="BV64" s="185">
        <v>2141</v>
      </c>
      <c r="BW64" s="185"/>
      <c r="BX64" s="185"/>
      <c r="BY64" s="185">
        <f>584+6387</f>
        <v>6971</v>
      </c>
      <c r="BZ64" s="185"/>
      <c r="CA64" s="185"/>
      <c r="CB64" s="185">
        <v>889</v>
      </c>
      <c r="CC64" s="185">
        <f>30+64+44003-895</f>
        <v>43202</v>
      </c>
      <c r="CD64" s="249" t="s">
        <v>221</v>
      </c>
      <c r="CE64" s="195">
        <f t="shared" si="0"/>
        <v>1596631</v>
      </c>
      <c r="CF64" s="252"/>
    </row>
    <row r="65" spans="1:84" ht="12.65" customHeight="1" x14ac:dyDescent="0.3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880</v>
      </c>
      <c r="Q65" s="185"/>
      <c r="R65" s="185">
        <v>-135</v>
      </c>
      <c r="S65" s="185"/>
      <c r="T65" s="185"/>
      <c r="U65" s="185"/>
      <c r="V65" s="185"/>
      <c r="W65" s="185"/>
      <c r="X65" s="185"/>
      <c r="Y65" s="185">
        <v>5588</v>
      </c>
      <c r="Z65" s="185"/>
      <c r="AA65" s="185"/>
      <c r="AB65" s="185"/>
      <c r="AC65" s="185"/>
      <c r="AD65" s="185"/>
      <c r="AE65" s="185">
        <v>3242</v>
      </c>
      <c r="AF65" s="185"/>
      <c r="AG65" s="185">
        <v>960</v>
      </c>
      <c r="AH65" s="185"/>
      <c r="AI65" s="185"/>
      <c r="AJ65" s="185">
        <v>2467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195032</v>
      </c>
      <c r="BF65" s="185"/>
      <c r="BG65" s="185"/>
      <c r="BH65" s="185">
        <v>79373</v>
      </c>
      <c r="BI65" s="185"/>
      <c r="BJ65" s="185"/>
      <c r="BK65" s="185"/>
      <c r="BL65" s="185"/>
      <c r="BM65" s="185"/>
      <c r="BN65" s="185">
        <f>960+4117</f>
        <v>5077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2480</v>
      </c>
      <c r="BZ65" s="185"/>
      <c r="CA65" s="185"/>
      <c r="CB65" s="185"/>
      <c r="CC65" s="185"/>
      <c r="CD65" s="249" t="s">
        <v>221</v>
      </c>
      <c r="CE65" s="195">
        <f t="shared" si="0"/>
        <v>294964</v>
      </c>
      <c r="CF65" s="252"/>
    </row>
    <row r="66" spans="1:84" ht="12.65" customHeight="1" x14ac:dyDescent="0.35">
      <c r="A66" s="171" t="s">
        <v>239</v>
      </c>
      <c r="B66" s="175"/>
      <c r="C66" s="184"/>
      <c r="D66" s="184"/>
      <c r="E66" s="184">
        <v>262043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94418</v>
      </c>
      <c r="Q66" s="185"/>
      <c r="R66" s="185">
        <v>1787</v>
      </c>
      <c r="S66" s="184"/>
      <c r="T66" s="184"/>
      <c r="U66" s="185">
        <v>525691</v>
      </c>
      <c r="V66" s="185"/>
      <c r="W66" s="185"/>
      <c r="X66" s="185"/>
      <c r="Y66" s="185">
        <v>565395</v>
      </c>
      <c r="Z66" s="185"/>
      <c r="AA66" s="185"/>
      <c r="AB66" s="185">
        <v>65066</v>
      </c>
      <c r="AC66" s="185">
        <v>5748</v>
      </c>
      <c r="AD66" s="185"/>
      <c r="AE66" s="185">
        <v>12125</v>
      </c>
      <c r="AF66" s="185"/>
      <c r="AG66" s="185">
        <v>48974</v>
      </c>
      <c r="AH66" s="185"/>
      <c r="AI66" s="185"/>
      <c r="AJ66" s="185">
        <v>13972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2413</v>
      </c>
      <c r="AZ66" s="185"/>
      <c r="BA66" s="185"/>
      <c r="BB66" s="185"/>
      <c r="BC66" s="185"/>
      <c r="BD66" s="185"/>
      <c r="BE66" s="185">
        <v>114951</v>
      </c>
      <c r="BF66" s="185"/>
      <c r="BG66" s="185"/>
      <c r="BH66" s="185">
        <f>73690+478468</f>
        <v>552158</v>
      </c>
      <c r="BI66" s="185"/>
      <c r="BJ66" s="185">
        <v>141739</v>
      </c>
      <c r="BK66" s="185">
        <v>44548</v>
      </c>
      <c r="BL66" s="185"/>
      <c r="BM66" s="185"/>
      <c r="BN66" s="185">
        <v>47392</v>
      </c>
      <c r="BO66" s="185"/>
      <c r="BP66" s="185">
        <v>107934</v>
      </c>
      <c r="BQ66" s="185"/>
      <c r="BR66" s="185">
        <v>55491</v>
      </c>
      <c r="BS66" s="185"/>
      <c r="BT66" s="185"/>
      <c r="BU66" s="185"/>
      <c r="BV66" s="185">
        <v>130757</v>
      </c>
      <c r="BW66" s="185"/>
      <c r="BX66" s="185"/>
      <c r="BY66" s="185"/>
      <c r="BZ66" s="185"/>
      <c r="CA66" s="185"/>
      <c r="CB66" s="185">
        <v>325</v>
      </c>
      <c r="CC66" s="185">
        <f>12078+9994</f>
        <v>22072</v>
      </c>
      <c r="CD66" s="249" t="s">
        <v>221</v>
      </c>
      <c r="CE66" s="195">
        <f t="shared" si="0"/>
        <v>2814999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197303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74535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22320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95019</v>
      </c>
      <c r="Z67" s="195">
        <f t="shared" si="3"/>
        <v>0</v>
      </c>
      <c r="AA67" s="195">
        <f t="shared" si="3"/>
        <v>0</v>
      </c>
      <c r="AB67" s="195">
        <f t="shared" si="3"/>
        <v>11209</v>
      </c>
      <c r="AC67" s="195">
        <f t="shared" si="3"/>
        <v>6815</v>
      </c>
      <c r="AD67" s="195">
        <f t="shared" si="3"/>
        <v>0</v>
      </c>
      <c r="AE67" s="195">
        <f t="shared" si="3"/>
        <v>63659</v>
      </c>
      <c r="AF67" s="195">
        <f t="shared" si="3"/>
        <v>0</v>
      </c>
      <c r="AG67" s="195">
        <f t="shared" si="3"/>
        <v>112769</v>
      </c>
      <c r="AH67" s="195">
        <f t="shared" si="3"/>
        <v>0</v>
      </c>
      <c r="AI67" s="195">
        <f t="shared" si="3"/>
        <v>0</v>
      </c>
      <c r="AJ67" s="195">
        <f t="shared" si="3"/>
        <v>104412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52216</v>
      </c>
      <c r="AZ67" s="195">
        <f>ROUND(AZ51+AZ52,0)</f>
        <v>0</v>
      </c>
      <c r="BA67" s="195">
        <f>ROUND(BA51+BA52,0)</f>
        <v>3046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124369</v>
      </c>
      <c r="BF67" s="195">
        <f t="shared" si="3"/>
        <v>15348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366369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19879</v>
      </c>
      <c r="BW67" s="195">
        <f t="shared" si="4"/>
        <v>0</v>
      </c>
      <c r="BX67" s="195">
        <f t="shared" si="4"/>
        <v>0</v>
      </c>
      <c r="BY67" s="195">
        <f t="shared" si="4"/>
        <v>14372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1283640</v>
      </c>
      <c r="CF67" s="252"/>
    </row>
    <row r="68" spans="1:84" ht="12.65" customHeight="1" x14ac:dyDescent="0.35">
      <c r="A68" s="171" t="s">
        <v>240</v>
      </c>
      <c r="B68" s="175"/>
      <c r="C68" s="184"/>
      <c r="D68" s="184"/>
      <c r="E68" s="184">
        <v>1891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>
        <v>1802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>
        <v>1738</v>
      </c>
      <c r="AD68" s="185"/>
      <c r="AE68" s="185"/>
      <c r="AF68" s="185"/>
      <c r="AG68" s="185"/>
      <c r="AH68" s="185"/>
      <c r="AI68" s="185"/>
      <c r="AJ68" s="185">
        <v>75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2571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>
        <v>2980</v>
      </c>
      <c r="BL68" s="185"/>
      <c r="BM68" s="185"/>
      <c r="BN68" s="185">
        <v>1821</v>
      </c>
      <c r="BO68" s="185"/>
      <c r="BP68" s="185"/>
      <c r="BQ68" s="185"/>
      <c r="BR68" s="185"/>
      <c r="BS68" s="185"/>
      <c r="BT68" s="185"/>
      <c r="BU68" s="185"/>
      <c r="BV68" s="185">
        <v>838</v>
      </c>
      <c r="BW68" s="185"/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13716</v>
      </c>
      <c r="CF68" s="252"/>
    </row>
    <row r="69" spans="1:84" ht="12.65" customHeight="1" x14ac:dyDescent="0.35">
      <c r="A69" s="171" t="s">
        <v>241</v>
      </c>
      <c r="B69" s="175"/>
      <c r="C69" s="184"/>
      <c r="D69" s="184"/>
      <c r="E69" s="185">
        <f>7015+11457</f>
        <v>18472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2603</v>
      </c>
      <c r="Q69" s="185"/>
      <c r="R69" s="224"/>
      <c r="S69" s="185">
        <v>1465</v>
      </c>
      <c r="T69" s="184"/>
      <c r="U69" s="185">
        <f>6950+975</f>
        <v>7925</v>
      </c>
      <c r="V69" s="185"/>
      <c r="W69" s="184"/>
      <c r="X69" s="185"/>
      <c r="Y69" s="185">
        <v>4961</v>
      </c>
      <c r="Z69" s="185"/>
      <c r="AA69" s="185"/>
      <c r="AB69" s="185">
        <v>15866</v>
      </c>
      <c r="AC69" s="185">
        <v>137</v>
      </c>
      <c r="AD69" s="185"/>
      <c r="AE69" s="185">
        <v>3183</v>
      </c>
      <c r="AF69" s="185"/>
      <c r="AG69" s="185">
        <v>2859</v>
      </c>
      <c r="AH69" s="185"/>
      <c r="AI69" s="185"/>
      <c r="AJ69" s="185">
        <v>13932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122</v>
      </c>
      <c r="AZ69" s="185"/>
      <c r="BA69" s="185"/>
      <c r="BB69" s="185"/>
      <c r="BC69" s="185"/>
      <c r="BD69" s="185"/>
      <c r="BE69" s="185">
        <v>8014</v>
      </c>
      <c r="BF69" s="185">
        <v>65</v>
      </c>
      <c r="BG69" s="185"/>
      <c r="BH69" s="224">
        <v>622</v>
      </c>
      <c r="BI69" s="185"/>
      <c r="BJ69" s="185">
        <v>61</v>
      </c>
      <c r="BK69" s="185">
        <v>373</v>
      </c>
      <c r="BL69" s="185"/>
      <c r="BM69" s="185"/>
      <c r="BN69" s="185">
        <f>28415+17927</f>
        <v>46342</v>
      </c>
      <c r="BO69" s="185"/>
      <c r="BP69" s="185">
        <v>1505</v>
      </c>
      <c r="BQ69" s="185"/>
      <c r="BR69" s="185">
        <v>995</v>
      </c>
      <c r="BS69" s="185"/>
      <c r="BT69" s="185"/>
      <c r="BU69" s="185"/>
      <c r="BV69" s="185">
        <v>2360</v>
      </c>
      <c r="BW69" s="185"/>
      <c r="BX69" s="185">
        <v>7230</v>
      </c>
      <c r="BY69" s="185">
        <v>1170</v>
      </c>
      <c r="BZ69" s="185"/>
      <c r="CA69" s="185">
        <v>1115</v>
      </c>
      <c r="CB69" s="185">
        <v>1004</v>
      </c>
      <c r="CC69" s="185">
        <f>1919+1227+24</f>
        <v>3170</v>
      </c>
      <c r="CD69" s="188">
        <v>1453734</v>
      </c>
      <c r="CE69" s="195">
        <f t="shared" si="0"/>
        <v>1599285</v>
      </c>
      <c r="CF69" s="252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228148</v>
      </c>
      <c r="CE70" s="195">
        <f t="shared" si="0"/>
        <v>228148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3243356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44424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784723</v>
      </c>
      <c r="Q71" s="195">
        <f t="shared" si="5"/>
        <v>0</v>
      </c>
      <c r="R71" s="195">
        <f t="shared" si="5"/>
        <v>394417</v>
      </c>
      <c r="S71" s="195">
        <f t="shared" si="5"/>
        <v>162560</v>
      </c>
      <c r="T71" s="195">
        <f t="shared" si="5"/>
        <v>0</v>
      </c>
      <c r="U71" s="195">
        <f t="shared" si="5"/>
        <v>1388479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1537352</v>
      </c>
      <c r="Z71" s="195">
        <f t="shared" si="5"/>
        <v>0</v>
      </c>
      <c r="AA71" s="195">
        <f t="shared" si="5"/>
        <v>0</v>
      </c>
      <c r="AB71" s="195">
        <f t="shared" si="5"/>
        <v>896353</v>
      </c>
      <c r="AC71" s="195">
        <f t="shared" si="5"/>
        <v>185879</v>
      </c>
      <c r="AD71" s="195">
        <f t="shared" si="5"/>
        <v>0</v>
      </c>
      <c r="AE71" s="195">
        <f t="shared" si="5"/>
        <v>1129504</v>
      </c>
      <c r="AF71" s="195">
        <f t="shared" si="5"/>
        <v>0</v>
      </c>
      <c r="AG71" s="195">
        <f t="shared" si="5"/>
        <v>2153870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1547140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418253</v>
      </c>
      <c r="AZ71" s="195">
        <f t="shared" si="6"/>
        <v>0</v>
      </c>
      <c r="BA71" s="195">
        <f t="shared" si="6"/>
        <v>10161</v>
      </c>
      <c r="BB71" s="195">
        <f t="shared" si="6"/>
        <v>0</v>
      </c>
      <c r="BC71" s="195">
        <f t="shared" si="6"/>
        <v>0</v>
      </c>
      <c r="BD71" s="195">
        <f t="shared" si="6"/>
        <v>153214</v>
      </c>
      <c r="BE71" s="195">
        <f t="shared" si="6"/>
        <v>818683</v>
      </c>
      <c r="BF71" s="195">
        <f t="shared" si="6"/>
        <v>318855</v>
      </c>
      <c r="BG71" s="195">
        <f t="shared" si="6"/>
        <v>0</v>
      </c>
      <c r="BH71" s="195">
        <f t="shared" si="6"/>
        <v>1141310</v>
      </c>
      <c r="BI71" s="195">
        <f t="shared" si="6"/>
        <v>0</v>
      </c>
      <c r="BJ71" s="195">
        <f t="shared" si="6"/>
        <v>472011</v>
      </c>
      <c r="BK71" s="195">
        <f t="shared" si="6"/>
        <v>355542</v>
      </c>
      <c r="BL71" s="195">
        <f t="shared" si="6"/>
        <v>0</v>
      </c>
      <c r="BM71" s="195">
        <f t="shared" si="6"/>
        <v>0</v>
      </c>
      <c r="BN71" s="195">
        <f t="shared" si="6"/>
        <v>732957</v>
      </c>
      <c r="BO71" s="195">
        <f t="shared" si="6"/>
        <v>0</v>
      </c>
      <c r="BP71" s="195">
        <f t="shared" ref="BP71:CC71" si="7">SUM(BP61:BP69)-BP70</f>
        <v>227825</v>
      </c>
      <c r="BQ71" s="195">
        <f t="shared" si="7"/>
        <v>0</v>
      </c>
      <c r="BR71" s="195">
        <f t="shared" si="7"/>
        <v>236074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257412</v>
      </c>
      <c r="BW71" s="195">
        <f t="shared" si="7"/>
        <v>0</v>
      </c>
      <c r="BX71" s="195">
        <f t="shared" si="7"/>
        <v>161323</v>
      </c>
      <c r="BY71" s="195">
        <f t="shared" si="7"/>
        <v>520874</v>
      </c>
      <c r="BZ71" s="195">
        <f t="shared" si="7"/>
        <v>0</v>
      </c>
      <c r="CA71" s="195">
        <f t="shared" si="7"/>
        <v>16263</v>
      </c>
      <c r="CB71" s="195">
        <f t="shared" si="7"/>
        <v>75791</v>
      </c>
      <c r="CC71" s="195">
        <f t="shared" si="7"/>
        <v>247266</v>
      </c>
      <c r="CD71" s="245">
        <f>CD69-CD70</f>
        <v>1225586</v>
      </c>
      <c r="CE71" s="195">
        <f>SUM(CE61:CE69)-CE70</f>
        <v>20857457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1596639</v>
      </c>
      <c r="CF72" s="252"/>
    </row>
    <row r="73" spans="1:84" ht="12.65" customHeight="1" x14ac:dyDescent="0.35">
      <c r="A73" s="171" t="s">
        <v>245</v>
      </c>
      <c r="B73" s="175"/>
      <c r="C73" s="184">
        <v>22590</v>
      </c>
      <c r="D73" s="184"/>
      <c r="E73" s="185">
        <f>1291354+306457-2</f>
        <v>1597809</v>
      </c>
      <c r="F73" s="185"/>
      <c r="G73" s="184"/>
      <c r="H73" s="184"/>
      <c r="I73" s="185"/>
      <c r="J73" s="185"/>
      <c r="K73" s="185"/>
      <c r="L73" s="185">
        <v>2575997</v>
      </c>
      <c r="M73" s="184"/>
      <c r="N73" s="184"/>
      <c r="O73" s="184"/>
      <c r="P73" s="185">
        <v>7113</v>
      </c>
      <c r="Q73" s="185">
        <v>1156</v>
      </c>
      <c r="R73" s="185">
        <v>14821</v>
      </c>
      <c r="S73" s="185">
        <v>110332</v>
      </c>
      <c r="T73" s="185"/>
      <c r="U73" s="185">
        <f>309358+2638</f>
        <v>311996</v>
      </c>
      <c r="V73" s="185"/>
      <c r="W73" s="185"/>
      <c r="X73" s="185"/>
      <c r="Y73" s="185">
        <v>335530</v>
      </c>
      <c r="Z73" s="185"/>
      <c r="AA73" s="185"/>
      <c r="AB73" s="185">
        <v>788217</v>
      </c>
      <c r="AC73" s="185">
        <v>157655</v>
      </c>
      <c r="AD73" s="185"/>
      <c r="AE73" s="185">
        <f>660683+26300</f>
        <v>686983</v>
      </c>
      <c r="AF73" s="185"/>
      <c r="AG73" s="185">
        <v>133402</v>
      </c>
      <c r="AH73" s="185"/>
      <c r="AI73" s="185"/>
      <c r="AJ73" s="185">
        <v>1386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6744987</v>
      </c>
      <c r="CF73" s="252"/>
    </row>
    <row r="74" spans="1:84" ht="12.65" customHeight="1" x14ac:dyDescent="0.35">
      <c r="A74" s="171" t="s">
        <v>246</v>
      </c>
      <c r="B74" s="175"/>
      <c r="C74" s="184">
        <v>3765</v>
      </c>
      <c r="D74" s="184"/>
      <c r="E74" s="185">
        <f>162912+68782</f>
        <v>231694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f>1415383+133219</f>
        <v>1548602</v>
      </c>
      <c r="Q74" s="185">
        <v>20613</v>
      </c>
      <c r="R74" s="185">
        <v>421857</v>
      </c>
      <c r="S74" s="185">
        <v>187721</v>
      </c>
      <c r="T74" s="185"/>
      <c r="U74" s="185">
        <f>2306304+14489-321</f>
        <v>2320472</v>
      </c>
      <c r="V74" s="185"/>
      <c r="W74" s="185"/>
      <c r="X74" s="185"/>
      <c r="Y74" s="185">
        <v>6881776</v>
      </c>
      <c r="Z74" s="185"/>
      <c r="AA74" s="185"/>
      <c r="AB74" s="185">
        <v>2170545</v>
      </c>
      <c r="AC74" s="185">
        <v>565297</v>
      </c>
      <c r="AD74" s="185"/>
      <c r="AE74" s="185">
        <f>1578842+2884</f>
        <v>1581726</v>
      </c>
      <c r="AF74" s="185"/>
      <c r="AG74" s="185">
        <v>4964086</v>
      </c>
      <c r="AH74" s="185"/>
      <c r="AI74" s="185"/>
      <c r="AJ74" s="185">
        <f>1248204.25+80317.5+90021.82</f>
        <v>1418543.57</v>
      </c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22316697.57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26355</v>
      </c>
      <c r="D75" s="195">
        <f t="shared" si="9"/>
        <v>0</v>
      </c>
      <c r="E75" s="195">
        <f t="shared" si="9"/>
        <v>1829503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2575997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1555715</v>
      </c>
      <c r="Q75" s="195">
        <f t="shared" si="9"/>
        <v>21769</v>
      </c>
      <c r="R75" s="195">
        <f t="shared" si="9"/>
        <v>436678</v>
      </c>
      <c r="S75" s="195">
        <f t="shared" si="9"/>
        <v>298053</v>
      </c>
      <c r="T75" s="195">
        <f t="shared" si="9"/>
        <v>0</v>
      </c>
      <c r="U75" s="195">
        <f t="shared" si="9"/>
        <v>2632468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7217306</v>
      </c>
      <c r="Z75" s="195">
        <f t="shared" si="9"/>
        <v>0</v>
      </c>
      <c r="AA75" s="195">
        <f t="shared" si="9"/>
        <v>0</v>
      </c>
      <c r="AB75" s="195">
        <f t="shared" si="9"/>
        <v>2958762</v>
      </c>
      <c r="AC75" s="195">
        <f t="shared" si="9"/>
        <v>722952</v>
      </c>
      <c r="AD75" s="195">
        <f t="shared" si="9"/>
        <v>0</v>
      </c>
      <c r="AE75" s="195">
        <f t="shared" si="9"/>
        <v>2268709</v>
      </c>
      <c r="AF75" s="195">
        <f t="shared" si="9"/>
        <v>0</v>
      </c>
      <c r="AG75" s="195">
        <f t="shared" si="9"/>
        <v>5097488</v>
      </c>
      <c r="AH75" s="195">
        <f t="shared" si="9"/>
        <v>0</v>
      </c>
      <c r="AI75" s="195">
        <f t="shared" si="9"/>
        <v>0</v>
      </c>
      <c r="AJ75" s="195">
        <f t="shared" si="9"/>
        <v>1419929.57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29061684.57</v>
      </c>
      <c r="CF75" s="252"/>
    </row>
    <row r="76" spans="1:84" ht="12.65" customHeight="1" x14ac:dyDescent="0.35">
      <c r="A76" s="171" t="s">
        <v>248</v>
      </c>
      <c r="B76" s="175"/>
      <c r="C76" s="184"/>
      <c r="D76" s="184"/>
      <c r="E76" s="185">
        <v>10104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3260</v>
      </c>
      <c r="AF76" s="185"/>
      <c r="AG76" s="185">
        <v>5775</v>
      </c>
      <c r="AH76" s="185"/>
      <c r="AI76" s="185"/>
      <c r="AJ76" s="185">
        <v>5347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2674</v>
      </c>
      <c r="AZ76" s="185"/>
      <c r="BA76" s="185">
        <v>156</v>
      </c>
      <c r="BB76" s="185"/>
      <c r="BC76" s="185"/>
      <c r="BD76" s="185"/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f>19995-1233</f>
        <v>18762</v>
      </c>
      <c r="BO76" s="185"/>
      <c r="BP76" s="185"/>
      <c r="BQ76" s="185"/>
      <c r="BR76" s="185"/>
      <c r="BS76" s="185"/>
      <c r="BT76" s="185"/>
      <c r="BU76" s="185"/>
      <c r="BV76" s="185">
        <v>1018</v>
      </c>
      <c r="BW76" s="185"/>
      <c r="BX76" s="185"/>
      <c r="BY76" s="185">
        <v>736</v>
      </c>
      <c r="BZ76" s="185"/>
      <c r="CA76" s="185"/>
      <c r="CB76" s="185"/>
      <c r="CC76" s="185"/>
      <c r="CD76" s="249" t="s">
        <v>221</v>
      </c>
      <c r="CE76" s="195">
        <f t="shared" si="8"/>
        <v>65736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5330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155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5485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1221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480</v>
      </c>
      <c r="Q78" s="184"/>
      <c r="R78" s="184"/>
      <c r="S78" s="184"/>
      <c r="T78" s="184"/>
      <c r="U78" s="184">
        <v>368</v>
      </c>
      <c r="V78" s="184"/>
      <c r="W78" s="184"/>
      <c r="X78" s="184"/>
      <c r="Y78" s="184">
        <v>441</v>
      </c>
      <c r="Z78" s="184"/>
      <c r="AA78" s="184"/>
      <c r="AB78" s="184">
        <v>60</v>
      </c>
      <c r="AC78" s="184">
        <v>36</v>
      </c>
      <c r="AD78" s="184"/>
      <c r="AE78" s="184">
        <v>176</v>
      </c>
      <c r="AF78" s="184"/>
      <c r="AG78" s="184">
        <v>968</v>
      </c>
      <c r="AH78" s="184"/>
      <c r="AI78" s="184"/>
      <c r="AJ78" s="184">
        <v>1153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>
        <v>3355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22</v>
      </c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8280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>
        <v>0.06</v>
      </c>
      <c r="CB79" s="184"/>
      <c r="CC79" s="249" t="s">
        <v>221</v>
      </c>
      <c r="CD79" s="249" t="s">
        <v>221</v>
      </c>
      <c r="CE79" s="195">
        <f t="shared" si="8"/>
        <v>0.06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11.48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f>2.29+0.1+0.11</f>
        <v>2.5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2.29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16.27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1280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1281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1282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1278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 t="s">
        <v>1279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148</v>
      </c>
      <c r="D111" s="174">
        <v>568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76</v>
      </c>
      <c r="D112" s="174">
        <v>1168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17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>
        <v>6</v>
      </c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1246925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100</v>
      </c>
      <c r="C138" s="189">
        <v>19</v>
      </c>
      <c r="D138" s="174">
        <v>29</v>
      </c>
      <c r="E138" s="175">
        <f>SUM(B138:D138)</f>
        <v>148</v>
      </c>
    </row>
    <row r="139" spans="1:6" ht="12.65" customHeight="1" x14ac:dyDescent="0.35">
      <c r="A139" s="173" t="s">
        <v>215</v>
      </c>
      <c r="B139" s="174">
        <v>389</v>
      </c>
      <c r="C139" s="189">
        <v>70</v>
      </c>
      <c r="D139" s="174">
        <v>109</v>
      </c>
      <c r="E139" s="175">
        <f>SUM(B139:D139)</f>
        <v>568</v>
      </c>
    </row>
    <row r="140" spans="1:6" ht="12.65" customHeight="1" x14ac:dyDescent="0.35">
      <c r="A140" s="173" t="s">
        <v>298</v>
      </c>
      <c r="B140" s="174">
        <v>7320</v>
      </c>
      <c r="C140" s="174">
        <v>5286</v>
      </c>
      <c r="D140" s="174">
        <v>13968</v>
      </c>
      <c r="E140" s="175">
        <f>SUM(B140:D140)</f>
        <v>26574</v>
      </c>
    </row>
    <row r="141" spans="1:6" ht="12.65" customHeight="1" x14ac:dyDescent="0.35">
      <c r="A141" s="173" t="s">
        <v>245</v>
      </c>
      <c r="B141" s="174">
        <v>1859278</v>
      </c>
      <c r="C141" s="189">
        <v>424958</v>
      </c>
      <c r="D141" s="174">
        <v>637829</v>
      </c>
      <c r="E141" s="175">
        <f>SUM(B141:D141)</f>
        <v>2922065</v>
      </c>
      <c r="F141" s="199"/>
    </row>
    <row r="142" spans="1:6" ht="12.65" customHeight="1" x14ac:dyDescent="0.35">
      <c r="A142" s="173" t="s">
        <v>246</v>
      </c>
      <c r="B142" s="174">
        <v>8059387</v>
      </c>
      <c r="C142" s="189">
        <v>5983651</v>
      </c>
      <c r="D142" s="174">
        <v>8273660</v>
      </c>
      <c r="E142" s="175">
        <f>SUM(B142:D142)</f>
        <v>22316698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63</v>
      </c>
      <c r="C144" s="189">
        <v>1</v>
      </c>
      <c r="D144" s="174">
        <v>12</v>
      </c>
      <c r="E144" s="175">
        <f>SUM(B144:D144)</f>
        <v>76</v>
      </c>
    </row>
    <row r="145" spans="1:5" ht="12.65" customHeight="1" x14ac:dyDescent="0.35">
      <c r="A145" s="173" t="s">
        <v>215</v>
      </c>
      <c r="B145" s="174">
        <v>987</v>
      </c>
      <c r="C145" s="189">
        <v>15</v>
      </c>
      <c r="D145" s="174">
        <v>166</v>
      </c>
      <c r="E145" s="175">
        <f>SUM(B145:D145)</f>
        <v>1168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>
        <v>3704438</v>
      </c>
      <c r="C147" s="189">
        <v>37722</v>
      </c>
      <c r="D147" s="174">
        <v>80762</v>
      </c>
      <c r="E147" s="175">
        <f>SUM(B147:D147)</f>
        <v>3822922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3916730</v>
      </c>
      <c r="C157" s="174">
        <v>3305180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/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/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/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0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/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13716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13716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76866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94892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171758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14334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165363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179697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1102279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1102279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474331</v>
      </c>
      <c r="C195" s="189">
        <v>0</v>
      </c>
      <c r="D195" s="174">
        <v>0</v>
      </c>
      <c r="E195" s="175">
        <f t="shared" ref="E195:E203" si="10">SUM(B195:C195)-D195</f>
        <v>474331</v>
      </c>
    </row>
    <row r="196" spans="1:8" ht="12.65" customHeight="1" x14ac:dyDescent="0.35">
      <c r="A196" s="173" t="s">
        <v>333</v>
      </c>
      <c r="B196" s="174">
        <v>503985</v>
      </c>
      <c r="C196" s="189">
        <v>0</v>
      </c>
      <c r="D196" s="174">
        <v>304123</v>
      </c>
      <c r="E196" s="175">
        <f t="shared" si="10"/>
        <v>199862</v>
      </c>
    </row>
    <row r="197" spans="1:8" ht="12.65" customHeight="1" x14ac:dyDescent="0.35">
      <c r="A197" s="173" t="s">
        <v>334</v>
      </c>
      <c r="B197" s="174">
        <v>18265939</v>
      </c>
      <c r="C197" s="189">
        <v>7542262</v>
      </c>
      <c r="D197" s="174"/>
      <c r="E197" s="175">
        <f t="shared" si="10"/>
        <v>25808201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928389</v>
      </c>
      <c r="C199" s="189">
        <v>5529</v>
      </c>
      <c r="D199" s="174">
        <v>590576</v>
      </c>
      <c r="E199" s="175">
        <f t="shared" si="10"/>
        <v>343342</v>
      </c>
    </row>
    <row r="200" spans="1:8" ht="12.65" customHeight="1" x14ac:dyDescent="0.35">
      <c r="A200" s="173" t="s">
        <v>337</v>
      </c>
      <c r="B200" s="174">
        <v>6070446</v>
      </c>
      <c r="C200" s="189">
        <v>210012</v>
      </c>
      <c r="D200" s="174">
        <v>41285</v>
      </c>
      <c r="E200" s="175">
        <f t="shared" si="10"/>
        <v>6239173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3892726</v>
      </c>
      <c r="C203" s="189">
        <v>3615692</v>
      </c>
      <c r="D203" s="174">
        <v>6504163</v>
      </c>
      <c r="E203" s="175">
        <f t="shared" si="10"/>
        <v>1004255</v>
      </c>
    </row>
    <row r="204" spans="1:8" ht="12.65" customHeight="1" x14ac:dyDescent="0.35">
      <c r="A204" s="173" t="s">
        <v>203</v>
      </c>
      <c r="B204" s="175">
        <f>SUM(B195:B203)</f>
        <v>30135816</v>
      </c>
      <c r="C204" s="191">
        <f>SUM(C195:C203)</f>
        <v>11373495</v>
      </c>
      <c r="D204" s="175">
        <f>SUM(D195:D203)</f>
        <v>7440147</v>
      </c>
      <c r="E204" s="175">
        <f>SUM(E195:E203)</f>
        <v>34069164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198749</v>
      </c>
      <c r="C209" s="189">
        <v>20002</v>
      </c>
      <c r="D209" s="174"/>
      <c r="E209" s="175">
        <f t="shared" ref="E209:E216" si="11">SUM(B209:C209)-D209</f>
        <v>218751</v>
      </c>
      <c r="H209" s="259"/>
    </row>
    <row r="210" spans="1:8" ht="12.65" customHeight="1" x14ac:dyDescent="0.35">
      <c r="A210" s="173" t="s">
        <v>334</v>
      </c>
      <c r="B210" s="174">
        <v>9765269</v>
      </c>
      <c r="C210" s="189">
        <v>1030086</v>
      </c>
      <c r="D210" s="174"/>
      <c r="E210" s="175">
        <f t="shared" si="11"/>
        <v>10795355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406079</v>
      </c>
      <c r="C212" s="189">
        <v>26607</v>
      </c>
      <c r="D212" s="174"/>
      <c r="E212" s="175">
        <f t="shared" si="11"/>
        <v>432686</v>
      </c>
      <c r="H212" s="259"/>
    </row>
    <row r="213" spans="1:8" ht="12.65" customHeight="1" x14ac:dyDescent="0.35">
      <c r="A213" s="173" t="s">
        <v>337</v>
      </c>
      <c r="B213" s="174">
        <v>5350416</v>
      </c>
      <c r="C213" s="189">
        <v>206945</v>
      </c>
      <c r="D213" s="174">
        <v>41285</v>
      </c>
      <c r="E213" s="175">
        <f t="shared" si="11"/>
        <v>5516076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15720513</v>
      </c>
      <c r="C217" s="191">
        <f>SUM(C208:C216)</f>
        <v>1283640</v>
      </c>
      <c r="D217" s="175">
        <f>SUM(D208:D216)</f>
        <v>41285</v>
      </c>
      <c r="E217" s="175">
        <f>SUM(E208:E216)</f>
        <v>16962868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1" t="s">
        <v>1254</v>
      </c>
      <c r="C220" s="341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531394</v>
      </c>
      <c r="D221" s="172">
        <f>C221</f>
        <v>531394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2567270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3327238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83304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3278137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9255949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77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19126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95168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114294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193526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67838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261364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10163001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10324968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9543672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6080964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636842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171408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199221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14795147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>
        <v>1708037</v>
      </c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1708037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474331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199862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25808201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343342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6239173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/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1004255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34069164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16962869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17106295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33609479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1434987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1029893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5483106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v>545000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8492986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88712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19040000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665304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19794016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545000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19249016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5867477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33609479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33609479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6744987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22316698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29061685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531394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9255949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114294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261364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10163001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18898684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228148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>
        <v>1596639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1824787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20723471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9051273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2392363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2038734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1596631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294964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2814999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1283640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13716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171758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179697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1102279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145551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21085605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-362134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f>3238188+1102279</f>
        <v>4340467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3978333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3978333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Skyline Health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148</v>
      </c>
      <c r="C414" s="194">
        <f>E138</f>
        <v>148</v>
      </c>
      <c r="D414" s="179"/>
    </row>
    <row r="415" spans="1:5" ht="12.65" customHeight="1" x14ac:dyDescent="0.35">
      <c r="A415" s="179" t="s">
        <v>464</v>
      </c>
      <c r="B415" s="179">
        <f>D111</f>
        <v>568</v>
      </c>
      <c r="C415" s="179">
        <f>E139</f>
        <v>568</v>
      </c>
      <c r="D415" s="194">
        <f>SUM(C59:H59)+N59</f>
        <v>568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76</v>
      </c>
      <c r="C417" s="194">
        <f>E144</f>
        <v>76</v>
      </c>
      <c r="D417" s="179"/>
    </row>
    <row r="418" spans="1:7" ht="12.65" customHeight="1" x14ac:dyDescent="0.35">
      <c r="A418" s="179" t="s">
        <v>466</v>
      </c>
      <c r="B418" s="179">
        <f>D112</f>
        <v>1168</v>
      </c>
      <c r="C418" s="179">
        <f>E145</f>
        <v>1168</v>
      </c>
      <c r="D418" s="179">
        <f>K59+L59</f>
        <v>1168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9051273</v>
      </c>
      <c r="C427" s="179">
        <f t="shared" ref="C427:C434" si="13">CE61</f>
        <v>9051273</v>
      </c>
      <c r="D427" s="179"/>
    </row>
    <row r="428" spans="1:7" ht="12.65" customHeight="1" x14ac:dyDescent="0.35">
      <c r="A428" s="179" t="s">
        <v>3</v>
      </c>
      <c r="B428" s="179">
        <f t="shared" si="12"/>
        <v>2392363</v>
      </c>
      <c r="C428" s="179">
        <f t="shared" si="13"/>
        <v>2392363</v>
      </c>
      <c r="D428" s="179">
        <f>D173</f>
        <v>0</v>
      </c>
    </row>
    <row r="429" spans="1:7" ht="12.65" customHeight="1" x14ac:dyDescent="0.35">
      <c r="A429" s="179" t="s">
        <v>236</v>
      </c>
      <c r="B429" s="179">
        <f t="shared" si="12"/>
        <v>2038734</v>
      </c>
      <c r="C429" s="179">
        <f t="shared" si="13"/>
        <v>2038734</v>
      </c>
      <c r="D429" s="179"/>
    </row>
    <row r="430" spans="1:7" ht="12.65" customHeight="1" x14ac:dyDescent="0.35">
      <c r="A430" s="179" t="s">
        <v>237</v>
      </c>
      <c r="B430" s="179">
        <f t="shared" si="12"/>
        <v>1596631</v>
      </c>
      <c r="C430" s="179">
        <f t="shared" si="13"/>
        <v>1596631</v>
      </c>
      <c r="D430" s="179"/>
    </row>
    <row r="431" spans="1:7" ht="12.65" customHeight="1" x14ac:dyDescent="0.35">
      <c r="A431" s="179" t="s">
        <v>444</v>
      </c>
      <c r="B431" s="179">
        <f t="shared" si="12"/>
        <v>294964</v>
      </c>
      <c r="C431" s="179">
        <f t="shared" si="13"/>
        <v>294964</v>
      </c>
      <c r="D431" s="179"/>
    </row>
    <row r="432" spans="1:7" ht="12.65" customHeight="1" x14ac:dyDescent="0.35">
      <c r="A432" s="179" t="s">
        <v>445</v>
      </c>
      <c r="B432" s="179">
        <f t="shared" si="12"/>
        <v>2814999</v>
      </c>
      <c r="C432" s="179">
        <f t="shared" si="13"/>
        <v>2814999</v>
      </c>
      <c r="D432" s="179"/>
    </row>
    <row r="433" spans="1:7" ht="12.65" customHeight="1" x14ac:dyDescent="0.35">
      <c r="A433" s="179" t="s">
        <v>6</v>
      </c>
      <c r="B433" s="179">
        <f t="shared" si="12"/>
        <v>1283640</v>
      </c>
      <c r="C433" s="179">
        <f t="shared" si="13"/>
        <v>1283640</v>
      </c>
      <c r="D433" s="179">
        <f>C217</f>
        <v>1283640</v>
      </c>
    </row>
    <row r="434" spans="1:7" ht="12.65" customHeight="1" x14ac:dyDescent="0.35">
      <c r="A434" s="179" t="s">
        <v>474</v>
      </c>
      <c r="B434" s="179">
        <f t="shared" si="12"/>
        <v>13716</v>
      </c>
      <c r="C434" s="179">
        <f t="shared" si="13"/>
        <v>13716</v>
      </c>
      <c r="D434" s="179">
        <f>D177</f>
        <v>13716</v>
      </c>
    </row>
    <row r="435" spans="1:7" ht="12.65" customHeight="1" x14ac:dyDescent="0.35">
      <c r="A435" s="179" t="s">
        <v>447</v>
      </c>
      <c r="B435" s="179">
        <f t="shared" si="12"/>
        <v>171758</v>
      </c>
      <c r="C435" s="179"/>
      <c r="D435" s="179">
        <f>D181</f>
        <v>171758</v>
      </c>
    </row>
    <row r="436" spans="1:7" ht="12.65" customHeight="1" x14ac:dyDescent="0.35">
      <c r="A436" s="179" t="s">
        <v>475</v>
      </c>
      <c r="B436" s="179">
        <f t="shared" si="12"/>
        <v>179697</v>
      </c>
      <c r="C436" s="179"/>
      <c r="D436" s="179">
        <f>D186</f>
        <v>179697</v>
      </c>
    </row>
    <row r="437" spans="1:7" ht="12.65" customHeight="1" x14ac:dyDescent="0.35">
      <c r="A437" s="194" t="s">
        <v>449</v>
      </c>
      <c r="B437" s="194">
        <f t="shared" si="12"/>
        <v>1102279</v>
      </c>
      <c r="C437" s="194"/>
      <c r="D437" s="194">
        <f>D190</f>
        <v>1102279</v>
      </c>
    </row>
    <row r="438" spans="1:7" ht="12.65" customHeight="1" x14ac:dyDescent="0.35">
      <c r="A438" s="194" t="s">
        <v>476</v>
      </c>
      <c r="B438" s="194">
        <f>C386+C387+C388</f>
        <v>1453734</v>
      </c>
      <c r="C438" s="194">
        <f>CD69</f>
        <v>1453734</v>
      </c>
      <c r="D438" s="194">
        <f>D181+D186+D190</f>
        <v>1453734</v>
      </c>
    </row>
    <row r="439" spans="1:7" ht="12.65" customHeight="1" x14ac:dyDescent="0.35">
      <c r="A439" s="179" t="s">
        <v>451</v>
      </c>
      <c r="B439" s="194">
        <f>C389</f>
        <v>145551</v>
      </c>
      <c r="C439" s="194">
        <f>SUM(C69:CC69)</f>
        <v>145551</v>
      </c>
      <c r="D439" s="179"/>
    </row>
    <row r="440" spans="1:7" ht="12.65" customHeight="1" x14ac:dyDescent="0.35">
      <c r="A440" s="179" t="s">
        <v>477</v>
      </c>
      <c r="B440" s="194">
        <f>B438+B439</f>
        <v>1599285</v>
      </c>
      <c r="C440" s="194">
        <f>CE69</f>
        <v>1599285</v>
      </c>
      <c r="D440" s="179"/>
    </row>
    <row r="441" spans="1:7" ht="12.65" customHeight="1" x14ac:dyDescent="0.35">
      <c r="A441" s="179" t="s">
        <v>478</v>
      </c>
      <c r="B441" s="179">
        <f>D390</f>
        <v>21085605</v>
      </c>
      <c r="C441" s="179">
        <f>SUM(C427:C437)+C440</f>
        <v>21085605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531394</v>
      </c>
      <c r="C444" s="179">
        <f>C363</f>
        <v>531394</v>
      </c>
      <c r="D444" s="179"/>
    </row>
    <row r="445" spans="1:7" ht="12.65" customHeight="1" x14ac:dyDescent="0.35">
      <c r="A445" s="179" t="s">
        <v>343</v>
      </c>
      <c r="B445" s="179">
        <f>D229</f>
        <v>9255949</v>
      </c>
      <c r="C445" s="179">
        <f>C364</f>
        <v>9255949</v>
      </c>
      <c r="D445" s="179"/>
    </row>
    <row r="446" spans="1:7" ht="12.65" customHeight="1" x14ac:dyDescent="0.35">
      <c r="A446" s="179" t="s">
        <v>351</v>
      </c>
      <c r="B446" s="179">
        <f>D236</f>
        <v>114294</v>
      </c>
      <c r="C446" s="179">
        <f>C365</f>
        <v>114294</v>
      </c>
      <c r="D446" s="179"/>
    </row>
    <row r="447" spans="1:7" ht="12.65" customHeight="1" x14ac:dyDescent="0.35">
      <c r="A447" s="179" t="s">
        <v>356</v>
      </c>
      <c r="B447" s="179">
        <f>D240</f>
        <v>261364</v>
      </c>
      <c r="C447" s="179">
        <f>C366</f>
        <v>261364</v>
      </c>
      <c r="D447" s="179"/>
    </row>
    <row r="448" spans="1:7" ht="12.65" customHeight="1" x14ac:dyDescent="0.35">
      <c r="A448" s="179" t="s">
        <v>358</v>
      </c>
      <c r="B448" s="179">
        <f>D242</f>
        <v>10163001</v>
      </c>
      <c r="C448" s="179">
        <f>D367</f>
        <v>10163001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77</v>
      </c>
    </row>
    <row r="454" spans="1:7" ht="12.65" customHeight="1" x14ac:dyDescent="0.35">
      <c r="A454" s="179" t="s">
        <v>168</v>
      </c>
      <c r="B454" s="179">
        <f>C233</f>
        <v>19126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95168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228148</v>
      </c>
      <c r="C458" s="194">
        <f>CE70</f>
        <v>228148</v>
      </c>
      <c r="D458" s="194"/>
    </row>
    <row r="459" spans="1:7" ht="12.65" customHeight="1" x14ac:dyDescent="0.35">
      <c r="A459" s="179" t="s">
        <v>244</v>
      </c>
      <c r="B459" s="194">
        <f>C371</f>
        <v>1596639</v>
      </c>
      <c r="C459" s="194">
        <f>CE72</f>
        <v>1596639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6744987</v>
      </c>
      <c r="C463" s="194">
        <f>CE73</f>
        <v>6744987</v>
      </c>
      <c r="D463" s="194">
        <f>E141+E147+E153</f>
        <v>6744987</v>
      </c>
    </row>
    <row r="464" spans="1:7" ht="12.65" customHeight="1" x14ac:dyDescent="0.35">
      <c r="A464" s="179" t="s">
        <v>246</v>
      </c>
      <c r="B464" s="194">
        <f>C360</f>
        <v>22316698</v>
      </c>
      <c r="C464" s="194">
        <f>CE74</f>
        <v>22316697.57</v>
      </c>
      <c r="D464" s="194">
        <f>E142+E148+E154</f>
        <v>22316698</v>
      </c>
    </row>
    <row r="465" spans="1:7" ht="12.65" customHeight="1" x14ac:dyDescent="0.35">
      <c r="A465" s="179" t="s">
        <v>247</v>
      </c>
      <c r="B465" s="194">
        <f>D361</f>
        <v>29061685</v>
      </c>
      <c r="C465" s="194">
        <f>CE75</f>
        <v>29061684.57</v>
      </c>
      <c r="D465" s="194">
        <f>D463+D464</f>
        <v>29061685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474331</v>
      </c>
      <c r="C468" s="179">
        <f>E195</f>
        <v>474331</v>
      </c>
      <c r="D468" s="179"/>
    </row>
    <row r="469" spans="1:7" ht="12.65" customHeight="1" x14ac:dyDescent="0.35">
      <c r="A469" s="179" t="s">
        <v>333</v>
      </c>
      <c r="B469" s="179">
        <f t="shared" si="14"/>
        <v>199862</v>
      </c>
      <c r="C469" s="179">
        <f>E196</f>
        <v>199862</v>
      </c>
      <c r="D469" s="179"/>
    </row>
    <row r="470" spans="1:7" ht="12.65" customHeight="1" x14ac:dyDescent="0.35">
      <c r="A470" s="179" t="s">
        <v>334</v>
      </c>
      <c r="B470" s="179">
        <f t="shared" si="14"/>
        <v>25808201</v>
      </c>
      <c r="C470" s="179">
        <f>E197</f>
        <v>25808201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343342</v>
      </c>
      <c r="C472" s="179">
        <f>E199</f>
        <v>343342</v>
      </c>
      <c r="D472" s="179"/>
    </row>
    <row r="473" spans="1:7" ht="12.65" customHeight="1" x14ac:dyDescent="0.35">
      <c r="A473" s="179" t="s">
        <v>495</v>
      </c>
      <c r="B473" s="179">
        <f t="shared" si="14"/>
        <v>6239173</v>
      </c>
      <c r="C473" s="179">
        <f>SUM(E200:E201)</f>
        <v>6239173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1004255</v>
      </c>
      <c r="C475" s="179">
        <f>E203</f>
        <v>1004255</v>
      </c>
      <c r="D475" s="179"/>
    </row>
    <row r="476" spans="1:7" ht="12.65" customHeight="1" x14ac:dyDescent="0.35">
      <c r="A476" s="179" t="s">
        <v>203</v>
      </c>
      <c r="B476" s="179">
        <f>D275</f>
        <v>34069164</v>
      </c>
      <c r="C476" s="179">
        <f>E204</f>
        <v>34069164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16962869</v>
      </c>
      <c r="C478" s="179">
        <f>E217</f>
        <v>16962868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33609479</v>
      </c>
    </row>
    <row r="482" spans="1:12" ht="12.65" customHeight="1" x14ac:dyDescent="0.35">
      <c r="A482" s="180" t="s">
        <v>499</v>
      </c>
      <c r="C482" s="180">
        <f>D339</f>
        <v>33609479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096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2825274.4</v>
      </c>
      <c r="C498" s="240">
        <f>E71</f>
        <v>3243356</v>
      </c>
      <c r="D498" s="240">
        <f>'Prior Year'!E59</f>
        <v>491</v>
      </c>
      <c r="E498" s="180">
        <f>E59</f>
        <v>568</v>
      </c>
      <c r="F498" s="263">
        <f t="shared" si="15"/>
        <v>5754.1230142566192</v>
      </c>
      <c r="G498" s="263">
        <f t="shared" si="15"/>
        <v>5710.1338028169012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29338</v>
      </c>
      <c r="C505" s="240">
        <f>L71</f>
        <v>44424</v>
      </c>
      <c r="D505" s="240">
        <f>'Prior Year'!L59</f>
        <v>1412</v>
      </c>
      <c r="E505" s="180">
        <f>L59</f>
        <v>1168</v>
      </c>
      <c r="F505" s="263">
        <f t="shared" si="15"/>
        <v>20.777620396600568</v>
      </c>
      <c r="G505" s="263">
        <f t="shared" si="15"/>
        <v>38.034246575342465</v>
      </c>
      <c r="H505" s="265">
        <f t="shared" si="16"/>
        <v>0.83053910165599421</v>
      </c>
      <c r="I505" s="267" t="s">
        <v>1283</v>
      </c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709962</v>
      </c>
      <c r="C509" s="240">
        <f>P71</f>
        <v>784723</v>
      </c>
      <c r="D509" s="240">
        <f>'Prior Year'!P59</f>
        <v>258</v>
      </c>
      <c r="E509" s="180">
        <f>P59</f>
        <v>419</v>
      </c>
      <c r="F509" s="263">
        <f t="shared" si="15"/>
        <v>2751.7906976744184</v>
      </c>
      <c r="G509" s="263">
        <f t="shared" si="15"/>
        <v>1872.8472553699285</v>
      </c>
      <c r="H509" s="265">
        <f t="shared" si="16"/>
        <v>-0.3194078107202335</v>
      </c>
      <c r="I509" s="267" t="s">
        <v>1284</v>
      </c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391809</v>
      </c>
      <c r="C511" s="240">
        <f>R71</f>
        <v>394417</v>
      </c>
      <c r="D511" s="240">
        <f>'Prior Year'!R59</f>
        <v>11812</v>
      </c>
      <c r="E511" s="180">
        <f>R59</f>
        <v>16780</v>
      </c>
      <c r="F511" s="263">
        <f t="shared" si="15"/>
        <v>33.170419911953942</v>
      </c>
      <c r="G511" s="263">
        <f t="shared" si="15"/>
        <v>23.50518474374255</v>
      </c>
      <c r="H511" s="265">
        <f t="shared" si="16"/>
        <v>-0.29138115205856163</v>
      </c>
      <c r="I511" s="267" t="s">
        <v>1285</v>
      </c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183185</v>
      </c>
      <c r="C512" s="240">
        <f>S71</f>
        <v>162560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1176295.8900000001</v>
      </c>
      <c r="C514" s="240">
        <f>U71</f>
        <v>1388479</v>
      </c>
      <c r="D514" s="240">
        <f>'Prior Year'!U59</f>
        <v>25017</v>
      </c>
      <c r="E514" s="180">
        <f>U59</f>
        <v>27226</v>
      </c>
      <c r="F514" s="263">
        <f t="shared" si="17"/>
        <v>47.01986209377624</v>
      </c>
      <c r="G514" s="263">
        <f t="shared" si="17"/>
        <v>50.998273708954677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1360340</v>
      </c>
      <c r="C518" s="240">
        <f>Y71</f>
        <v>1537352</v>
      </c>
      <c r="D518" s="240">
        <f>'Prior Year'!Y59</f>
        <v>7274</v>
      </c>
      <c r="E518" s="180">
        <f>Y59</f>
        <v>8335</v>
      </c>
      <c r="F518" s="263">
        <f t="shared" si="17"/>
        <v>187.01402254605443</v>
      </c>
      <c r="G518" s="263">
        <f t="shared" si="17"/>
        <v>184.44535092981403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862093</v>
      </c>
      <c r="C521" s="240">
        <f>AB71</f>
        <v>896353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160915</v>
      </c>
      <c r="C522" s="240">
        <f>AC71</f>
        <v>185879</v>
      </c>
      <c r="D522" s="240">
        <f>'Prior Year'!AC59</f>
        <v>755</v>
      </c>
      <c r="E522" s="180">
        <f>AC59</f>
        <v>933</v>
      </c>
      <c r="F522" s="263">
        <f t="shared" si="17"/>
        <v>213.13245033112582</v>
      </c>
      <c r="G522" s="263">
        <f t="shared" si="17"/>
        <v>199.2272240085745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854491</v>
      </c>
      <c r="C524" s="240">
        <f>AE71</f>
        <v>1129504</v>
      </c>
      <c r="D524" s="240">
        <f>'Prior Year'!AE59</f>
        <v>5778</v>
      </c>
      <c r="E524" s="180">
        <f>AE59</f>
        <v>7805</v>
      </c>
      <c r="F524" s="263">
        <f t="shared" si="17"/>
        <v>147.88698511595709</v>
      </c>
      <c r="G524" s="263">
        <f t="shared" si="17"/>
        <v>144.71543882126841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2293934</v>
      </c>
      <c r="C526" s="240">
        <f>AG71</f>
        <v>2153870</v>
      </c>
      <c r="D526" s="240">
        <f>'Prior Year'!AG59</f>
        <v>2874</v>
      </c>
      <c r="E526" s="180">
        <f>AG59</f>
        <v>3453</v>
      </c>
      <c r="F526" s="263">
        <f t="shared" si="17"/>
        <v>798.16771050800276</v>
      </c>
      <c r="G526" s="263">
        <f t="shared" si="17"/>
        <v>623.76773819866787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1318720</v>
      </c>
      <c r="C529" s="240">
        <f>AJ71</f>
        <v>1547140</v>
      </c>
      <c r="D529" s="240">
        <f>'Prior Year'!AJ59</f>
        <v>2959</v>
      </c>
      <c r="E529" s="180">
        <f>AJ59</f>
        <v>4051</v>
      </c>
      <c r="F529" s="263">
        <f t="shared" si="18"/>
        <v>445.6640757012504</v>
      </c>
      <c r="G529" s="263">
        <f t="shared" si="18"/>
        <v>381.91557640088865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35270</v>
      </c>
      <c r="C535" s="240">
        <f>AP71</f>
        <v>0</v>
      </c>
      <c r="D535" s="240">
        <f>'Prior Year'!AP59</f>
        <v>118</v>
      </c>
      <c r="E535" s="180">
        <f>AP59</f>
        <v>0</v>
      </c>
      <c r="F535" s="263">
        <f t="shared" si="18"/>
        <v>298.89830508474574</v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420879</v>
      </c>
      <c r="C544" s="240">
        <f>AY71</f>
        <v>418253</v>
      </c>
      <c r="D544" s="240">
        <f>'Prior Year'!AY59</f>
        <v>5857</v>
      </c>
      <c r="E544" s="180">
        <f>AY59</f>
        <v>5485</v>
      </c>
      <c r="F544" s="263">
        <f t="shared" ref="F544:G550" si="19">IF(B544=0,"",IF(D544=0,"",B544/D544))</f>
        <v>71.859142905924529</v>
      </c>
      <c r="G544" s="263">
        <f t="shared" si="19"/>
        <v>76.253965360072925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10853</v>
      </c>
      <c r="C546" s="240">
        <f>BA71</f>
        <v>10161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149355</v>
      </c>
      <c r="C549" s="240">
        <f>BD71</f>
        <v>153214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744472</v>
      </c>
      <c r="C550" s="240">
        <f>BE71</f>
        <v>818683</v>
      </c>
      <c r="D550" s="240">
        <f>'Prior Year'!BE59</f>
        <v>60463</v>
      </c>
      <c r="E550" s="180">
        <f>BE59</f>
        <v>65736</v>
      </c>
      <c r="F550" s="263">
        <f t="shared" si="19"/>
        <v>12.312852488298629</v>
      </c>
      <c r="G550" s="263">
        <f t="shared" si="19"/>
        <v>12.454104295971765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309402</v>
      </c>
      <c r="C551" s="240">
        <f>BF71</f>
        <v>318855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991300</v>
      </c>
      <c r="C553" s="240">
        <f>BH71</f>
        <v>1141310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429296</v>
      </c>
      <c r="C555" s="240">
        <f>BJ71</f>
        <v>472011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336634</v>
      </c>
      <c r="C556" s="240">
        <f>BK71</f>
        <v>355542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0</v>
      </c>
      <c r="C557" s="240">
        <f>BL71</f>
        <v>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760203.73</v>
      </c>
      <c r="C559" s="240">
        <f>BN71</f>
        <v>732957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2210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205630</v>
      </c>
      <c r="C561" s="240">
        <f>BP71</f>
        <v>227825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216830</v>
      </c>
      <c r="C563" s="240">
        <f>BR71</f>
        <v>236074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242959</v>
      </c>
      <c r="C567" s="240">
        <f>BV71</f>
        <v>257412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141537</v>
      </c>
      <c r="C569" s="240">
        <f>BX71</f>
        <v>161323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477544</v>
      </c>
      <c r="C570" s="240">
        <f>BY71</f>
        <v>520874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32721</v>
      </c>
      <c r="C572" s="240">
        <f>CA71</f>
        <v>16263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66456</v>
      </c>
      <c r="C573" s="240">
        <f>CB71</f>
        <v>75791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716892</v>
      </c>
      <c r="C574" s="240">
        <f>CC71</f>
        <v>247266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1117140</v>
      </c>
      <c r="C575" s="240">
        <f>CD71</f>
        <v>1225586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59367</v>
      </c>
      <c r="E612" s="180">
        <f>SUM(C624:D647)+SUM(C668:D713)</f>
        <v>18455548.162969328</v>
      </c>
      <c r="F612" s="180">
        <f>CE64-(AX64+BD64+BE64+BG64+BJ64+BN64+BP64+BQ64+CB64+CC64+CD64)</f>
        <v>1516116</v>
      </c>
      <c r="G612" s="180">
        <f>CE77-(AX77+AY77+BD77+BE77+BG77+BJ77+BN77+BP77+BQ77+CB77+CC77+CD77)</f>
        <v>5485</v>
      </c>
      <c r="H612" s="197">
        <f>CE60-(AX60+AY60+AZ60+BD60+BE60+BG60+BJ60+BN60+BO60+BP60+BQ60+BR60+CB60+CC60+CD60)</f>
        <v>1069.1500000000001</v>
      </c>
      <c r="I612" s="180">
        <f>CE78-(AX78+AY78+AZ78+BD78+BE78+BF78+BG78+BJ78+BN78+BO78+BP78+BQ78+BR78+CB78+CC78+CD78)</f>
        <v>8280</v>
      </c>
      <c r="J612" s="180">
        <f>CE79-(AX79+AY79+AZ79+BA79+BD79+BE79+BF79+BG79+BJ79+BN79+BO79+BP79+BQ79+BR79+CB79+CC79+CD79)</f>
        <v>0.06</v>
      </c>
      <c r="K612" s="180">
        <f>CE75-(AW75+AX75+AY75+AZ75+BA75+BB75+BC75+BD75+BE75+BF75+BG75+BH75+BI75+BJ75+BK75+BL75+BM75+BN75+BO75+BP75+BQ75+BR75+BS75+BT75+BU75+BV75+BW75+BX75+CB75+CC75+CD75)</f>
        <v>29061684.57</v>
      </c>
      <c r="L612" s="197">
        <f>CE80-(AW80+AX80+AY80+AZ80+BA80+BB80+BC80+BD80+BE80+BF80+BG80+BH80+BI80+BJ80+BK80+BL80+BM80+BN80+BO80+BP80+BQ80+BR80+BS80+BT80+BU80+BV80+BW80+BX80+BY80+BZ80+CA80+CB80+CC80+CD80)</f>
        <v>16.27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818683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1225586</v>
      </c>
      <c r="D615" s="266">
        <f>SUM(C614:C615)</f>
        <v>2044269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472011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732957</v>
      </c>
      <c r="D619" s="180">
        <f>(D615/D612)*BN76</f>
        <v>646058.83703067363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247266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227825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75791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2401908.8370306734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153214</v>
      </c>
      <c r="D624" s="180">
        <f>(D615/D612)*BD76</f>
        <v>0</v>
      </c>
      <c r="E624" s="180">
        <f>(E623/E612)*SUM(C624:D624)</f>
        <v>19940.131677866608</v>
      </c>
      <c r="F624" s="180">
        <f>SUM(C624:E624)</f>
        <v>173154.13167786662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418253</v>
      </c>
      <c r="D625" s="180">
        <f>(D615/D612)*AY76</f>
        <v>92077.674566678455</v>
      </c>
      <c r="E625" s="180">
        <f>(E623/E612)*SUM(C625:D625)</f>
        <v>66417.304228817608</v>
      </c>
      <c r="F625" s="180">
        <f>(F624/F612)*AY64</f>
        <v>13314.145625143892</v>
      </c>
      <c r="G625" s="180">
        <f>SUM(C625:F625)</f>
        <v>590062.12442063994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236074</v>
      </c>
      <c r="D626" s="180">
        <f>(D615/D612)*BR76</f>
        <v>0</v>
      </c>
      <c r="E626" s="180">
        <f>(E623/E612)*SUM(C626:D626)</f>
        <v>30723.998105399518</v>
      </c>
      <c r="F626" s="180">
        <f>(F624/F612)*BR64</f>
        <v>332.69089276653335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267130.68899816606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318855</v>
      </c>
      <c r="D629" s="180">
        <f>(D615/D612)*BF76</f>
        <v>27065.464551013189</v>
      </c>
      <c r="E629" s="180">
        <f>(E623/E612)*SUM(C629:D629)</f>
        <v>45020.034808933851</v>
      </c>
      <c r="F629" s="180">
        <f>(F624/F612)*BF64</f>
        <v>2958.5848187837437</v>
      </c>
      <c r="G629" s="180">
        <f>(G625/G612)*BF77</f>
        <v>0</v>
      </c>
      <c r="H629" s="180">
        <f>(H628/H612)*BF60</f>
        <v>1491.6243869607176</v>
      </c>
      <c r="I629" s="180">
        <f>SUM(C629:H629)</f>
        <v>395390.70856569149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10161</v>
      </c>
      <c r="D630" s="180">
        <f>(D615/D612)*BA76</f>
        <v>5371.7715902774271</v>
      </c>
      <c r="E630" s="180">
        <f>(E623/E612)*SUM(C630:D630)</f>
        <v>2021.5222553575875</v>
      </c>
      <c r="F630" s="180">
        <f>(F624/F612)*BA64</f>
        <v>812.59722005969263</v>
      </c>
      <c r="G630" s="180">
        <f>(G625/G612)*BA77</f>
        <v>0</v>
      </c>
      <c r="H630" s="180">
        <f>(H628/H612)*BA60</f>
        <v>0</v>
      </c>
      <c r="I630" s="180">
        <f>(I629/I612)*BA78</f>
        <v>160209.64097076026</v>
      </c>
      <c r="J630" s="180">
        <f>SUM(C630:I630)</f>
        <v>178576.53203645497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355542</v>
      </c>
      <c r="D635" s="180">
        <f>(D615/D612)*BK76</f>
        <v>0</v>
      </c>
      <c r="E635" s="180">
        <f>(E623/E612)*SUM(C635:D635)</f>
        <v>46272.235546438642</v>
      </c>
      <c r="F635" s="180">
        <f>(F624/F612)*BK64</f>
        <v>1431.0390959027334</v>
      </c>
      <c r="G635" s="180">
        <f>(G625/G612)*BK77</f>
        <v>0</v>
      </c>
      <c r="H635" s="180">
        <f>(H628/H612)*BK60</f>
        <v>1396.680121124022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1141310</v>
      </c>
      <c r="D636" s="180">
        <f>(D615/D612)*BH76</f>
        <v>0</v>
      </c>
      <c r="E636" s="180">
        <f>(E623/E612)*SUM(C636:D636)</f>
        <v>148536.50244276592</v>
      </c>
      <c r="F636" s="180">
        <f>(F624/F612)*BH64</f>
        <v>2936.1998496858241</v>
      </c>
      <c r="G636" s="180">
        <f>(G625/G612)*BH77</f>
        <v>0</v>
      </c>
      <c r="H636" s="180">
        <f>(H628/H612)*BH60</f>
        <v>1034.3927909576835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257412</v>
      </c>
      <c r="D642" s="180">
        <f>(D615/D612)*BV76</f>
        <v>35054.253069887316</v>
      </c>
      <c r="E642" s="180">
        <f>(E623/E612)*SUM(C642:D642)</f>
        <v>38063.203085526206</v>
      </c>
      <c r="F642" s="180">
        <f>(F624/F612)*BV64</f>
        <v>244.52152468697145</v>
      </c>
      <c r="G642" s="180">
        <f>(G625/G612)*BV77</f>
        <v>0</v>
      </c>
      <c r="H642" s="180">
        <f>(H628/H612)*BV60</f>
        <v>507.20226223287381</v>
      </c>
      <c r="I642" s="180">
        <f>(I629/I612)*BV78</f>
        <v>1050.5550227590836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161323</v>
      </c>
      <c r="D644" s="180">
        <f>(D615/D612)*BX76</f>
        <v>0</v>
      </c>
      <c r="E644" s="180">
        <f>(E623/E612)*SUM(C644:D644)</f>
        <v>20995.482545122995</v>
      </c>
      <c r="F644" s="180">
        <f>(F624/F612)*BX64</f>
        <v>0</v>
      </c>
      <c r="G644" s="180">
        <f>(G625/G612)*BX77</f>
        <v>0</v>
      </c>
      <c r="H644" s="180">
        <f>(H628/H612)*BX60</f>
        <v>307.31959731351469</v>
      </c>
      <c r="I644" s="180">
        <f>(I629/I612)*BX78</f>
        <v>0</v>
      </c>
      <c r="J644" s="180">
        <f>(J630/J612)*BX79</f>
        <v>0</v>
      </c>
      <c r="K644" s="180">
        <f>SUM(C631:J644)</f>
        <v>2213416.5869544041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520874</v>
      </c>
      <c r="D645" s="180">
        <f>(D615/D612)*BY76</f>
        <v>25343.742887462733</v>
      </c>
      <c r="E645" s="180">
        <f>(E623/E612)*SUM(C645:D645)</f>
        <v>71087.849138871738</v>
      </c>
      <c r="F645" s="180">
        <f>(F624/F612)*BY64</f>
        <v>796.15112031428214</v>
      </c>
      <c r="G645" s="180">
        <f>(G625/G612)*BY77</f>
        <v>0</v>
      </c>
      <c r="H645" s="180">
        <f>(H628/H612)*BY60</f>
        <v>851.99985921876839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16263</v>
      </c>
      <c r="D647" s="180">
        <f>(D615/D612)*CA76</f>
        <v>0</v>
      </c>
      <c r="E647" s="180">
        <f>(E623/E612)*SUM(C647:D647)</f>
        <v>2116.5582876052099</v>
      </c>
      <c r="F647" s="180">
        <f>(F624/F612)*CA64</f>
        <v>0</v>
      </c>
      <c r="G647" s="180">
        <f>(G625/G612)*CA77</f>
        <v>0</v>
      </c>
      <c r="H647" s="180">
        <f>(H628/H612)*CA60</f>
        <v>32.480933049395865</v>
      </c>
      <c r="I647" s="180">
        <f>(I629/I612)*CA78</f>
        <v>0</v>
      </c>
      <c r="J647" s="180">
        <f>(J630/J612)*CA79</f>
        <v>178576.53203645497</v>
      </c>
      <c r="K647" s="180">
        <v>0</v>
      </c>
      <c r="L647" s="180">
        <f>SUM(C645:K647)</f>
        <v>815942.31426297699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7389400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2007.2681612338938</v>
      </c>
      <c r="L668" s="180">
        <f>(L647/L612)*C80</f>
        <v>0</v>
      </c>
      <c r="M668" s="180">
        <f t="shared" ref="M668:M713" si="20">ROUND(SUM(D668:L668),0)</f>
        <v>2007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3243356</v>
      </c>
      <c r="D670" s="180">
        <f>(D615/D612)*E76</f>
        <v>347925.51377027645</v>
      </c>
      <c r="E670" s="180">
        <f>(E623/E612)*SUM(C670:D670)</f>
        <v>467389.57456151163</v>
      </c>
      <c r="F670" s="180">
        <f>(F624/F612)*E64</f>
        <v>6273.8444257960782</v>
      </c>
      <c r="G670" s="180">
        <f>(G625/G612)*E77</f>
        <v>573387.62500674766</v>
      </c>
      <c r="H670" s="180">
        <f>(H628/H612)*E60</f>
        <v>5719.1427500051641</v>
      </c>
      <c r="I670" s="180">
        <f>(I629/I612)*E78</f>
        <v>58305.803763129144</v>
      </c>
      <c r="J670" s="180">
        <f>(J630/J612)*E79</f>
        <v>0</v>
      </c>
      <c r="K670" s="180">
        <f>(K644/K612)*E75</f>
        <v>139339.90221141689</v>
      </c>
      <c r="L670" s="180">
        <f>(L647/L612)*E80</f>
        <v>575723.2801314675</v>
      </c>
      <c r="M670" s="180">
        <f t="shared" si="20"/>
        <v>2174065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44424</v>
      </c>
      <c r="D677" s="180">
        <f>(D615/D612)*L76</f>
        <v>0</v>
      </c>
      <c r="E677" s="180">
        <f>(E623/E612)*SUM(C677:D677)</f>
        <v>5781.5892128496498</v>
      </c>
      <c r="F677" s="180">
        <f>(F624/F612)*L64</f>
        <v>0</v>
      </c>
      <c r="G677" s="180">
        <f>(G625/G612)*L77</f>
        <v>0</v>
      </c>
      <c r="H677" s="180">
        <f>(H628/H612)*L60</f>
        <v>207.37826485383511</v>
      </c>
      <c r="I677" s="180">
        <f>(I629/I612)*L78</f>
        <v>0</v>
      </c>
      <c r="J677" s="180">
        <f>(J630/J612)*L79</f>
        <v>0</v>
      </c>
      <c r="K677" s="180">
        <f>(K644/K612)*L75</f>
        <v>196194.90652756696</v>
      </c>
      <c r="L677" s="180">
        <f>(L647/L612)*L80</f>
        <v>0</v>
      </c>
      <c r="M677" s="180">
        <f t="shared" si="20"/>
        <v>202184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784723</v>
      </c>
      <c r="D681" s="180">
        <f>(D615/D612)*P76</f>
        <v>131436.23179544191</v>
      </c>
      <c r="E681" s="180">
        <f>(E623/E612)*SUM(C681:D681)</f>
        <v>119234.11515849875</v>
      </c>
      <c r="F681" s="180">
        <f>(F624/F612)*P64</f>
        <v>4948.2202609003853</v>
      </c>
      <c r="G681" s="180">
        <f>(G625/G612)*P77</f>
        <v>0</v>
      </c>
      <c r="H681" s="180">
        <f>(H628/H612)*P60</f>
        <v>1266.7563889264386</v>
      </c>
      <c r="I681" s="180">
        <f>(I629/I612)*P78</f>
        <v>22921.200496561825</v>
      </c>
      <c r="J681" s="180">
        <f>(J630/J612)*P79</f>
        <v>0</v>
      </c>
      <c r="K681" s="180">
        <f>(K644/K612)*P75</f>
        <v>118487.46679772291</v>
      </c>
      <c r="L681" s="180">
        <f>(L647/L612)*P80</f>
        <v>125375.27877427428</v>
      </c>
      <c r="M681" s="180">
        <f t="shared" si="20"/>
        <v>523669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1657.985983756427</v>
      </c>
      <c r="L682" s="180">
        <f>(L647/L612)*Q80</f>
        <v>0</v>
      </c>
      <c r="M682" s="180">
        <f t="shared" si="20"/>
        <v>1658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394417</v>
      </c>
      <c r="D683" s="180">
        <f>(D615/D612)*R76</f>
        <v>0</v>
      </c>
      <c r="E683" s="180">
        <f>(E623/E612)*SUM(C683:D683)</f>
        <v>51331.646690179186</v>
      </c>
      <c r="F683" s="180">
        <f>(F624/F612)*R64</f>
        <v>148.70015186475331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33258.57886971331</v>
      </c>
      <c r="L683" s="180">
        <f>(L647/L612)*R80</f>
        <v>0</v>
      </c>
      <c r="M683" s="180">
        <f t="shared" si="20"/>
        <v>84739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162560</v>
      </c>
      <c r="D684" s="180">
        <f>(D615/D612)*S76</f>
        <v>0</v>
      </c>
      <c r="E684" s="180">
        <f>(E623/E612)*SUM(C684:D684)</f>
        <v>21156.47268235276</v>
      </c>
      <c r="F684" s="180">
        <f>(F624/F612)*S64</f>
        <v>18192.698380178303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22700.52351585072</v>
      </c>
      <c r="L684" s="180">
        <f>(L647/L612)*S80</f>
        <v>0</v>
      </c>
      <c r="M684" s="180">
        <f t="shared" si="20"/>
        <v>62050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1388479</v>
      </c>
      <c r="D686" s="180">
        <f>(D615/D612)*U76</f>
        <v>39358.557228763457</v>
      </c>
      <c r="E686" s="180">
        <f>(E623/E612)*SUM(C686:D686)</f>
        <v>185826.81025066209</v>
      </c>
      <c r="F686" s="180">
        <f>(F624/F612)*U64</f>
        <v>38532.29803128873</v>
      </c>
      <c r="G686" s="180">
        <f>(G625/G612)*U77</f>
        <v>0</v>
      </c>
      <c r="H686" s="180">
        <f>(H628/H612)*U60</f>
        <v>1256.7622556804706</v>
      </c>
      <c r="I686" s="180">
        <f>(I629/I612)*U78</f>
        <v>17572.9203806974</v>
      </c>
      <c r="J686" s="180">
        <f>(J630/J612)*U79</f>
        <v>0</v>
      </c>
      <c r="K686" s="180">
        <f>(K644/K612)*U75</f>
        <v>200495.89079366595</v>
      </c>
      <c r="L686" s="180">
        <f>(L647/L612)*U80</f>
        <v>0</v>
      </c>
      <c r="M686" s="180">
        <f t="shared" si="20"/>
        <v>483043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1537352</v>
      </c>
      <c r="D690" s="180">
        <f>(D615/D612)*Y76</f>
        <v>167557.95229673051</v>
      </c>
      <c r="E690" s="180">
        <f>(E623/E612)*SUM(C690:D690)</f>
        <v>221886.57007650792</v>
      </c>
      <c r="F690" s="180">
        <f>(F624/F612)*Y64</f>
        <v>5160.0780041485559</v>
      </c>
      <c r="G690" s="180">
        <f>(G625/G612)*Y77</f>
        <v>0</v>
      </c>
      <c r="H690" s="180">
        <f>(H628/H612)*Y60</f>
        <v>1366.697721386118</v>
      </c>
      <c r="I690" s="180">
        <f>(I629/I612)*Y78</f>
        <v>21058.852956216175</v>
      </c>
      <c r="J690" s="180">
        <f>(J630/J612)*Y79</f>
        <v>0</v>
      </c>
      <c r="K690" s="180">
        <f>(K644/K612)*Y75</f>
        <v>549689.56720479415</v>
      </c>
      <c r="L690" s="180">
        <f>(L647/L612)*Y80</f>
        <v>0</v>
      </c>
      <c r="M690" s="180">
        <f t="shared" si="20"/>
        <v>966720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896353</v>
      </c>
      <c r="D693" s="180">
        <f>(D615/D612)*AB76</f>
        <v>19765.364697559249</v>
      </c>
      <c r="E693" s="180">
        <f>(E623/E612)*SUM(C693:D693)</f>
        <v>119228.79648453246</v>
      </c>
      <c r="F693" s="180">
        <f>(F624/F612)*AB64</f>
        <v>56373.346820382874</v>
      </c>
      <c r="G693" s="180">
        <f>(G625/G612)*AB77</f>
        <v>0</v>
      </c>
      <c r="H693" s="180">
        <f>(H628/H612)*AB60</f>
        <v>599.6479947580774</v>
      </c>
      <c r="I693" s="180">
        <f>(I629/I612)*AB78</f>
        <v>2865.1500620702282</v>
      </c>
      <c r="J693" s="180">
        <f>(J630/J612)*AB79</f>
        <v>0</v>
      </c>
      <c r="K693" s="180">
        <f>(K644/K612)*AB75</f>
        <v>225347.32533745849</v>
      </c>
      <c r="L693" s="180">
        <f>(L647/L612)*AB80</f>
        <v>0</v>
      </c>
      <c r="M693" s="180">
        <f t="shared" si="20"/>
        <v>424180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185879</v>
      </c>
      <c r="D694" s="180">
        <f>(D615/D612)*AC76</f>
        <v>12017.617211582192</v>
      </c>
      <c r="E694" s="180">
        <f>(E623/E612)*SUM(C694:D694)</f>
        <v>25755.378789166214</v>
      </c>
      <c r="F694" s="180">
        <f>(F624/F612)*AC64</f>
        <v>285.06572892044875</v>
      </c>
      <c r="G694" s="180">
        <f>(G625/G612)*AC77</f>
        <v>0</v>
      </c>
      <c r="H694" s="180">
        <f>(H628/H612)*AC60</f>
        <v>369.78293010081444</v>
      </c>
      <c r="I694" s="180">
        <f>(I629/I612)*AC78</f>
        <v>1719.0900372421368</v>
      </c>
      <c r="J694" s="180">
        <f>(J630/J612)*AC79</f>
        <v>0</v>
      </c>
      <c r="K694" s="180">
        <f>(K644/K612)*AC75</f>
        <v>55061.981851654942</v>
      </c>
      <c r="L694" s="180">
        <f>(L647/L612)*AC80</f>
        <v>0</v>
      </c>
      <c r="M694" s="180">
        <f t="shared" si="20"/>
        <v>95209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1129504</v>
      </c>
      <c r="D696" s="180">
        <f>(D615/D612)*AE76</f>
        <v>112256.25246348983</v>
      </c>
      <c r="E696" s="180">
        <f>(E623/E612)*SUM(C696:D696)</f>
        <v>161609.66325833715</v>
      </c>
      <c r="F696" s="180">
        <f>(F624/F612)*AE64</f>
        <v>1442.8026255817424</v>
      </c>
      <c r="G696" s="180">
        <f>(G625/G612)*AE77</f>
        <v>0</v>
      </c>
      <c r="H696" s="180">
        <f>(H628/H612)*AE60</f>
        <v>246605.23784425936</v>
      </c>
      <c r="I696" s="180">
        <f>(I629/I612)*AE78</f>
        <v>8404.4401820726689</v>
      </c>
      <c r="J696" s="180">
        <f>(J630/J612)*AE79</f>
        <v>0</v>
      </c>
      <c r="K696" s="180">
        <f>(K644/K612)*AE75</f>
        <v>172791.02040617666</v>
      </c>
      <c r="L696" s="180">
        <f>(L647/L612)*AE80</f>
        <v>0</v>
      </c>
      <c r="M696" s="180">
        <f t="shared" si="20"/>
        <v>703109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2153870</v>
      </c>
      <c r="D698" s="180">
        <f>(D615/D612)*AG76</f>
        <v>198858.85214007783</v>
      </c>
      <c r="E698" s="180">
        <f>(E623/E612)*SUM(C698:D698)</f>
        <v>306197.36521459598</v>
      </c>
      <c r="F698" s="180">
        <f>(F624/F612)*AG64</f>
        <v>4752.351781293587</v>
      </c>
      <c r="G698" s="180">
        <f>(G625/G612)*AG77</f>
        <v>16674.499413892288</v>
      </c>
      <c r="H698" s="180">
        <f>(H628/H612)*AG60</f>
        <v>1269.2549222379307</v>
      </c>
      <c r="I698" s="180">
        <f>(I629/I612)*AG78</f>
        <v>46224.421001399678</v>
      </c>
      <c r="J698" s="180">
        <f>(J630/J612)*AG79</f>
        <v>0</v>
      </c>
      <c r="K698" s="180">
        <f>(K644/K612)*AG75</f>
        <v>388238.48850965052</v>
      </c>
      <c r="L698" s="180">
        <f>(L647/L612)*AG80</f>
        <v>114843.75535723525</v>
      </c>
      <c r="M698" s="180">
        <f t="shared" si="20"/>
        <v>1077059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1547140</v>
      </c>
      <c r="D701" s="180">
        <f>(D615/D612)*AJ76</f>
        <v>184120.91470008591</v>
      </c>
      <c r="E701" s="180">
        <f>(E623/E612)*SUM(C701:D701)</f>
        <v>225316.0325287735</v>
      </c>
      <c r="F701" s="180">
        <f>(F624/F612)*AJ64</f>
        <v>14218.795320167479</v>
      </c>
      <c r="G701" s="180">
        <f>(G625/G612)*AJ77</f>
        <v>0</v>
      </c>
      <c r="H701" s="180">
        <f>(H628/H612)*AJ60</f>
        <v>2848.3279751008681</v>
      </c>
      <c r="I701" s="180">
        <f>(I629/I612)*AJ78</f>
        <v>55058.633692782882</v>
      </c>
      <c r="J701" s="180">
        <f>(J630/J612)*AJ79</f>
        <v>0</v>
      </c>
      <c r="K701" s="180">
        <f>(K644/K612)*AJ75</f>
        <v>108145.6807837425</v>
      </c>
      <c r="L701" s="180">
        <f>(L647/L612)*AJ80</f>
        <v>0</v>
      </c>
      <c r="M701" s="180">
        <f t="shared" si="20"/>
        <v>589708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20857457</v>
      </c>
      <c r="D715" s="180">
        <f>SUM(D616:D647)+SUM(D668:D713)</f>
        <v>2044269.0000000002</v>
      </c>
      <c r="E715" s="180">
        <f>SUM(E624:E647)+SUM(E668:E713)</f>
        <v>2401908.8370306734</v>
      </c>
      <c r="F715" s="180">
        <f>SUM(F625:F648)+SUM(F668:F713)</f>
        <v>173154.13167786656</v>
      </c>
      <c r="G715" s="180">
        <f>SUM(G626:G647)+SUM(G668:G713)</f>
        <v>590062.12442063994</v>
      </c>
      <c r="H715" s="180">
        <f>SUM(H629:H647)+SUM(H668:H713)</f>
        <v>267130.68899816606</v>
      </c>
      <c r="I715" s="180">
        <f>SUM(I630:I647)+SUM(I668:I713)</f>
        <v>395390.70856569149</v>
      </c>
      <c r="J715" s="180">
        <f>SUM(J631:J647)+SUM(J668:J713)</f>
        <v>178576.53203645497</v>
      </c>
      <c r="K715" s="180">
        <f>SUM(K668:K713)</f>
        <v>2213416.5869544041</v>
      </c>
      <c r="L715" s="180">
        <f>SUM(L668:L713)</f>
        <v>815942.31426297699</v>
      </c>
      <c r="M715" s="180">
        <f>SUM(M668:M713)</f>
        <v>7389400</v>
      </c>
      <c r="N715" s="198" t="s">
        <v>742</v>
      </c>
    </row>
    <row r="716" spans="1:83" ht="12.65" customHeight="1" x14ac:dyDescent="0.35">
      <c r="C716" s="180">
        <f>CE71</f>
        <v>20857457</v>
      </c>
      <c r="D716" s="180">
        <f>D615</f>
        <v>2044269</v>
      </c>
      <c r="E716" s="180">
        <f>E623</f>
        <v>2401908.8370306734</v>
      </c>
      <c r="F716" s="180">
        <f>F624</f>
        <v>173154.13167786662</v>
      </c>
      <c r="G716" s="180">
        <f>G625</f>
        <v>590062.12442063994</v>
      </c>
      <c r="H716" s="180">
        <f>H628</f>
        <v>267130.68899816606</v>
      </c>
      <c r="I716" s="180">
        <f>I629</f>
        <v>395390.70856569149</v>
      </c>
      <c r="J716" s="180">
        <f>J630</f>
        <v>178576.53203645497</v>
      </c>
      <c r="K716" s="180">
        <f>K644</f>
        <v>2213416.5869544041</v>
      </c>
      <c r="L716" s="180">
        <f>L647</f>
        <v>815942.31426297699</v>
      </c>
      <c r="M716" s="180">
        <f>C648</f>
        <v>7389400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096*2021*A</v>
      </c>
      <c r="B722" s="276">
        <f>ROUND(C165,0)</f>
        <v>0</v>
      </c>
      <c r="C722" s="276">
        <f>ROUND(C166,0)</f>
        <v>0</v>
      </c>
      <c r="D722" s="276">
        <f>ROUND(C167,0)</f>
        <v>0</v>
      </c>
      <c r="E722" s="276">
        <f>ROUND(C168,0)</f>
        <v>0</v>
      </c>
      <c r="F722" s="276">
        <f>ROUND(C169,0)</f>
        <v>0</v>
      </c>
      <c r="G722" s="276">
        <f>ROUND(C170,0)</f>
        <v>0</v>
      </c>
      <c r="H722" s="276">
        <f>ROUND(C171+C172,0)</f>
        <v>0</v>
      </c>
      <c r="I722" s="276">
        <f>ROUND(C175,0)</f>
        <v>0</v>
      </c>
      <c r="J722" s="276">
        <f>ROUND(C176,0)</f>
        <v>13716</v>
      </c>
      <c r="K722" s="276">
        <f>ROUND(C179,0)</f>
        <v>76866</v>
      </c>
      <c r="L722" s="276">
        <f>ROUND(C180,0)</f>
        <v>94892</v>
      </c>
      <c r="M722" s="276">
        <f>ROUND(C183,0)</f>
        <v>14334</v>
      </c>
      <c r="N722" s="276">
        <f>ROUND(C184,0)</f>
        <v>165363</v>
      </c>
      <c r="O722" s="276">
        <f>ROUND(C185,0)</f>
        <v>0</v>
      </c>
      <c r="P722" s="276">
        <f>ROUND(C188,0)</f>
        <v>0</v>
      </c>
      <c r="Q722" s="276">
        <f>ROUND(C189,0)</f>
        <v>1102279</v>
      </c>
      <c r="R722" s="276">
        <f>ROUND(B195,0)</f>
        <v>474331</v>
      </c>
      <c r="S722" s="276">
        <f>ROUND(C195,0)</f>
        <v>0</v>
      </c>
      <c r="T722" s="276">
        <f>ROUND(D195,0)</f>
        <v>0</v>
      </c>
      <c r="U722" s="276">
        <f>ROUND(B196,0)</f>
        <v>503985</v>
      </c>
      <c r="V722" s="276">
        <f>ROUND(C196,0)</f>
        <v>0</v>
      </c>
      <c r="W722" s="276">
        <f>ROUND(D196,0)</f>
        <v>304123</v>
      </c>
      <c r="X722" s="276">
        <f>ROUND(B197,0)</f>
        <v>18265939</v>
      </c>
      <c r="Y722" s="276">
        <f>ROUND(C197,0)</f>
        <v>7542262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928389</v>
      </c>
      <c r="AE722" s="276">
        <f>ROUND(C199,0)</f>
        <v>5529</v>
      </c>
      <c r="AF722" s="276">
        <f>ROUND(D199,0)</f>
        <v>590576</v>
      </c>
      <c r="AG722" s="276">
        <f>ROUND(B200,0)</f>
        <v>6070446</v>
      </c>
      <c r="AH722" s="276">
        <f>ROUND(C200,0)</f>
        <v>210012</v>
      </c>
      <c r="AI722" s="276">
        <f>ROUND(D200,0)</f>
        <v>41285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3892726</v>
      </c>
      <c r="AQ722" s="276">
        <f>ROUND(C203,0)</f>
        <v>3615692</v>
      </c>
      <c r="AR722" s="276">
        <f>ROUND(D203,0)</f>
        <v>6504163</v>
      </c>
      <c r="AS722" s="276"/>
      <c r="AT722" s="276"/>
      <c r="AU722" s="276"/>
      <c r="AV722" s="276">
        <f>ROUND(B209,0)</f>
        <v>198749</v>
      </c>
      <c r="AW722" s="276">
        <f>ROUND(C209,0)</f>
        <v>20002</v>
      </c>
      <c r="AX722" s="276">
        <f>ROUND(D209,0)</f>
        <v>0</v>
      </c>
      <c r="AY722" s="276">
        <f>ROUND(B210,0)</f>
        <v>9765269</v>
      </c>
      <c r="AZ722" s="276">
        <f>ROUND(C210,0)</f>
        <v>1030086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406079</v>
      </c>
      <c r="BF722" s="276">
        <f>ROUND(C212,0)</f>
        <v>26607</v>
      </c>
      <c r="BG722" s="276">
        <f>ROUND(D212,0)</f>
        <v>0</v>
      </c>
      <c r="BH722" s="276">
        <f>ROUND(B213,0)</f>
        <v>5350416</v>
      </c>
      <c r="BI722" s="276">
        <f>ROUND(C213,0)</f>
        <v>206945</v>
      </c>
      <c r="BJ722" s="276">
        <f>ROUND(D213,0)</f>
        <v>41285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2567270</v>
      </c>
      <c r="BU722" s="276">
        <f>ROUND(C224,0)</f>
        <v>3327238</v>
      </c>
      <c r="BV722" s="276">
        <f>ROUND(C225,0)</f>
        <v>83304</v>
      </c>
      <c r="BW722" s="276">
        <f>ROUND(C226,0)</f>
        <v>0</v>
      </c>
      <c r="BX722" s="276">
        <f>ROUND(C227,0)</f>
        <v>0</v>
      </c>
      <c r="BY722" s="276">
        <f>ROUND(C228,0)</f>
        <v>3278137</v>
      </c>
      <c r="BZ722" s="276">
        <f>ROUND(C231,0)</f>
        <v>77</v>
      </c>
      <c r="CA722" s="276">
        <f>ROUND(C233,0)</f>
        <v>19126</v>
      </c>
      <c r="CB722" s="276">
        <f>ROUND(C234,0)</f>
        <v>95168</v>
      </c>
      <c r="CC722" s="276">
        <f>ROUND(C238+C239,0)</f>
        <v>261364</v>
      </c>
      <c r="CD722" s="276">
        <f>D221</f>
        <v>531394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096*2021*A</v>
      </c>
      <c r="B726" s="276">
        <f>ROUND(C111,0)</f>
        <v>148</v>
      </c>
      <c r="C726" s="276">
        <f>ROUND(C112,0)</f>
        <v>76</v>
      </c>
      <c r="D726" s="276">
        <f>ROUND(C113,0)</f>
        <v>0</v>
      </c>
      <c r="E726" s="276">
        <f>ROUND(C114,0)</f>
        <v>0</v>
      </c>
      <c r="F726" s="276">
        <f>ROUND(D111,0)</f>
        <v>568</v>
      </c>
      <c r="G726" s="276">
        <f>ROUND(D112,0)</f>
        <v>1168</v>
      </c>
      <c r="H726" s="276">
        <f>ROUND(D113,0)</f>
        <v>0</v>
      </c>
      <c r="I726" s="276">
        <f>ROUND(D114,0)</f>
        <v>0</v>
      </c>
      <c r="J726" s="276">
        <f>ROUND(C116,0)</f>
        <v>2</v>
      </c>
      <c r="K726" s="276">
        <f>ROUND(C117,0)</f>
        <v>0</v>
      </c>
      <c r="L726" s="276">
        <f>ROUND(C118,0)</f>
        <v>17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6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25</v>
      </c>
      <c r="W726" s="276">
        <f>ROUND(C129,0)</f>
        <v>0</v>
      </c>
      <c r="X726" s="276">
        <f>ROUND(B138,0)</f>
        <v>100</v>
      </c>
      <c r="Y726" s="276">
        <f>ROUND(B139,0)</f>
        <v>389</v>
      </c>
      <c r="Z726" s="276">
        <f>ROUND(B140,0)</f>
        <v>7320</v>
      </c>
      <c r="AA726" s="276">
        <f>ROUND(B141,0)</f>
        <v>1859278</v>
      </c>
      <c r="AB726" s="276">
        <f>ROUND(B142,0)</f>
        <v>8059387</v>
      </c>
      <c r="AC726" s="276">
        <f>ROUND(C138,0)</f>
        <v>19</v>
      </c>
      <c r="AD726" s="276">
        <f>ROUND(C139,0)</f>
        <v>70</v>
      </c>
      <c r="AE726" s="276">
        <f>ROUND(C140,0)</f>
        <v>5286</v>
      </c>
      <c r="AF726" s="276">
        <f>ROUND(C141,0)</f>
        <v>424958</v>
      </c>
      <c r="AG726" s="276">
        <f>ROUND(C142,0)</f>
        <v>5983651</v>
      </c>
      <c r="AH726" s="276">
        <f>ROUND(D138,0)</f>
        <v>29</v>
      </c>
      <c r="AI726" s="276">
        <f>ROUND(D139,0)</f>
        <v>109</v>
      </c>
      <c r="AJ726" s="276">
        <f>ROUND(D140,0)</f>
        <v>13968</v>
      </c>
      <c r="AK726" s="276">
        <f>ROUND(D141,0)</f>
        <v>637829</v>
      </c>
      <c r="AL726" s="276">
        <f>ROUND(D142,0)</f>
        <v>8273660</v>
      </c>
      <c r="AM726" s="276">
        <f>ROUND(B144,0)</f>
        <v>63</v>
      </c>
      <c r="AN726" s="276">
        <f>ROUND(B145,0)</f>
        <v>987</v>
      </c>
      <c r="AO726" s="276">
        <f>ROUND(B146,0)</f>
        <v>0</v>
      </c>
      <c r="AP726" s="276">
        <f>ROUND(B147,0)</f>
        <v>3704438</v>
      </c>
      <c r="AQ726" s="276">
        <f>ROUND(B148,0)</f>
        <v>0</v>
      </c>
      <c r="AR726" s="276">
        <f>ROUND(C144,0)</f>
        <v>1</v>
      </c>
      <c r="AS726" s="276">
        <f>ROUND(C145,0)</f>
        <v>15</v>
      </c>
      <c r="AT726" s="276">
        <f>ROUND(C146,0)</f>
        <v>0</v>
      </c>
      <c r="AU726" s="276">
        <f>ROUND(C147,0)</f>
        <v>37722</v>
      </c>
      <c r="AV726" s="276">
        <f>ROUND(C148,0)</f>
        <v>0</v>
      </c>
      <c r="AW726" s="276">
        <f>ROUND(D144,0)</f>
        <v>12</v>
      </c>
      <c r="AX726" s="276">
        <f>ROUND(D145,0)</f>
        <v>166</v>
      </c>
      <c r="AY726" s="276">
        <f>ROUND(D146,0)</f>
        <v>0</v>
      </c>
      <c r="AZ726" s="276">
        <f>ROUND(D147,0)</f>
        <v>80762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3916730</v>
      </c>
      <c r="BR726" s="276">
        <f>ROUND(C157,0)</f>
        <v>3305180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096*2021*A</v>
      </c>
      <c r="B730" s="276">
        <f>ROUND(C250,0)</f>
        <v>10324968</v>
      </c>
      <c r="C730" s="276">
        <f>ROUND(C251,0)</f>
        <v>0</v>
      </c>
      <c r="D730" s="276">
        <f>ROUND(C252,0)</f>
        <v>9543672</v>
      </c>
      <c r="E730" s="276">
        <f>ROUND(C253,0)</f>
        <v>6080964</v>
      </c>
      <c r="F730" s="276">
        <f>ROUND(C254,0)</f>
        <v>0</v>
      </c>
      <c r="G730" s="276">
        <f>ROUND(C255,0)</f>
        <v>636842</v>
      </c>
      <c r="H730" s="276">
        <f>ROUND(C256,0)</f>
        <v>0</v>
      </c>
      <c r="I730" s="276">
        <f>ROUND(C257,0)</f>
        <v>171408</v>
      </c>
      <c r="J730" s="276">
        <f>ROUND(C258,0)</f>
        <v>199221</v>
      </c>
      <c r="K730" s="276">
        <f>ROUND(C259,0)</f>
        <v>0</v>
      </c>
      <c r="L730" s="276">
        <f>ROUND(C262,0)</f>
        <v>1708037</v>
      </c>
      <c r="M730" s="276">
        <f>ROUND(C263,0)</f>
        <v>0</v>
      </c>
      <c r="N730" s="276">
        <f>ROUND(C264,0)</f>
        <v>0</v>
      </c>
      <c r="O730" s="276">
        <f>ROUND(C267,0)</f>
        <v>474331</v>
      </c>
      <c r="P730" s="276">
        <f>ROUND(C268,0)</f>
        <v>199862</v>
      </c>
      <c r="Q730" s="276">
        <f>ROUND(C269,0)</f>
        <v>25808201</v>
      </c>
      <c r="R730" s="276">
        <f>ROUND(C270,0)</f>
        <v>0</v>
      </c>
      <c r="S730" s="276">
        <f>ROUND(C271,0)</f>
        <v>343342</v>
      </c>
      <c r="T730" s="276">
        <f>ROUND(C272,0)</f>
        <v>6239173</v>
      </c>
      <c r="U730" s="276">
        <f>ROUND(C273,0)</f>
        <v>0</v>
      </c>
      <c r="V730" s="276">
        <f>ROUND(C274,0)</f>
        <v>1004255</v>
      </c>
      <c r="W730" s="276">
        <f>ROUND(C275,0)</f>
        <v>0</v>
      </c>
      <c r="X730" s="276">
        <f>ROUND(C276,0)</f>
        <v>16962869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1434987</v>
      </c>
      <c r="AI730" s="276">
        <f>ROUND(C306,0)</f>
        <v>1029893</v>
      </c>
      <c r="AJ730" s="276">
        <f>ROUND(C307,0)</f>
        <v>0</v>
      </c>
      <c r="AK730" s="276">
        <f>ROUND(C308,0)</f>
        <v>0</v>
      </c>
      <c r="AL730" s="276">
        <f>ROUND(C309,0)</f>
        <v>5483106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545000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88712</v>
      </c>
      <c r="AX730" s="276">
        <f>ROUND(C325,0)</f>
        <v>19040000</v>
      </c>
      <c r="AY730" s="276">
        <f>ROUND(C326,0)</f>
        <v>0</v>
      </c>
      <c r="AZ730" s="276">
        <f>ROUND(C327,0)</f>
        <v>665304</v>
      </c>
      <c r="BA730" s="276">
        <f>ROUND(C328,0)</f>
        <v>0</v>
      </c>
      <c r="BB730" s="276">
        <f>ROUND(C332,0)</f>
        <v>5867477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1086.33</v>
      </c>
      <c r="BJ730" s="276">
        <f>ROUND(C359,0)</f>
        <v>6744987</v>
      </c>
      <c r="BK730" s="276">
        <f>ROUND(C360,0)</f>
        <v>22316698</v>
      </c>
      <c r="BL730" s="276">
        <f>ROUND(C364,0)</f>
        <v>9255949</v>
      </c>
      <c r="BM730" s="276">
        <f>ROUND(C365,0)</f>
        <v>114294</v>
      </c>
      <c r="BN730" s="276">
        <f>ROUND(C366,0)</f>
        <v>261364</v>
      </c>
      <c r="BO730" s="276">
        <f>ROUND(C370,0)</f>
        <v>228148</v>
      </c>
      <c r="BP730" s="276">
        <f>ROUND(C371,0)</f>
        <v>1596639</v>
      </c>
      <c r="BQ730" s="276">
        <f>ROUND(C378,0)</f>
        <v>9051273</v>
      </c>
      <c r="BR730" s="276">
        <f>ROUND(C379,0)</f>
        <v>2392363</v>
      </c>
      <c r="BS730" s="276">
        <f>ROUND(C380,0)</f>
        <v>2038734</v>
      </c>
      <c r="BT730" s="276">
        <f>ROUND(C381,0)</f>
        <v>1596631</v>
      </c>
      <c r="BU730" s="276">
        <f>ROUND(C382,0)</f>
        <v>294964</v>
      </c>
      <c r="BV730" s="276">
        <f>ROUND(C383,0)</f>
        <v>2814999</v>
      </c>
      <c r="BW730" s="276">
        <f>ROUND(C384,0)</f>
        <v>1283640</v>
      </c>
      <c r="BX730" s="276">
        <f>ROUND(C385,0)</f>
        <v>13716</v>
      </c>
      <c r="BY730" s="276">
        <f>ROUND(C386,0)</f>
        <v>171758</v>
      </c>
      <c r="BZ730" s="276">
        <f>ROUND(C387,0)</f>
        <v>179697</v>
      </c>
      <c r="CA730" s="276">
        <f>ROUND(C388,0)</f>
        <v>1102279</v>
      </c>
      <c r="CB730" s="276">
        <f>C363</f>
        <v>531394</v>
      </c>
      <c r="CC730" s="276">
        <f>ROUND(C389,0)</f>
        <v>145551</v>
      </c>
      <c r="CD730" s="276">
        <f>ROUND(C392,0)</f>
        <v>4340467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096*2021*6010*A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26355</v>
      </c>
      <c r="O734" s="276">
        <f>ROUND(C73,0)</f>
        <v>22590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2007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096*2021*6030*A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096*2021*6070*A</v>
      </c>
      <c r="B736" s="276">
        <f>ROUND(E59,0)</f>
        <v>568</v>
      </c>
      <c r="C736" s="278">
        <f>ROUND(E60,2)</f>
        <v>22.89</v>
      </c>
      <c r="D736" s="276">
        <f>ROUND(E61,0)</f>
        <v>2137915</v>
      </c>
      <c r="E736" s="276">
        <f>ROUND(E62,0)</f>
        <v>565077</v>
      </c>
      <c r="F736" s="276">
        <f>ROUND(E63,0)</f>
        <v>5722</v>
      </c>
      <c r="G736" s="276">
        <f>ROUND(E64,0)</f>
        <v>54933</v>
      </c>
      <c r="H736" s="276">
        <f>ROUND(E65,0)</f>
        <v>0</v>
      </c>
      <c r="I736" s="276">
        <f>ROUND(E66,0)</f>
        <v>262043</v>
      </c>
      <c r="J736" s="276">
        <f>ROUND(E67,0)</f>
        <v>197303</v>
      </c>
      <c r="K736" s="276">
        <f>ROUND(E68,0)</f>
        <v>1891</v>
      </c>
      <c r="L736" s="276">
        <f>ROUND(E69,0)</f>
        <v>18472</v>
      </c>
      <c r="M736" s="276">
        <f>ROUND(E70,0)</f>
        <v>0</v>
      </c>
      <c r="N736" s="276">
        <f>ROUND(E75,0)</f>
        <v>1829503</v>
      </c>
      <c r="O736" s="276">
        <f>ROUND(E73,0)</f>
        <v>1597809</v>
      </c>
      <c r="P736" s="276">
        <f>IF(E76&gt;0,ROUND(E76,0),0)</f>
        <v>10104</v>
      </c>
      <c r="Q736" s="276">
        <f>IF(E77&gt;0,ROUND(E77,0),0)</f>
        <v>5330</v>
      </c>
      <c r="R736" s="276">
        <f>IF(E78&gt;0,ROUND(E78,0),0)</f>
        <v>1221</v>
      </c>
      <c r="S736" s="276">
        <f>IF(E79&gt;0,ROUND(E79,0),0)</f>
        <v>0</v>
      </c>
      <c r="T736" s="278">
        <f>IF(E80&gt;0,ROUND(E80,2),0)</f>
        <v>11.48</v>
      </c>
      <c r="U736" s="276"/>
      <c r="V736" s="277"/>
      <c r="W736" s="276"/>
      <c r="X736" s="276"/>
      <c r="Y736" s="276">
        <f t="shared" si="21"/>
        <v>2174065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096*2021*6100*A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096*2021*6120*A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096*2021*6140*A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096*2021*6150*A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096*2021*6170*A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096*2021*6200*A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096*2021*6210*A</v>
      </c>
      <c r="B743" s="276">
        <f>ROUND(L59,0)</f>
        <v>1168</v>
      </c>
      <c r="C743" s="278">
        <f>ROUND(L60,2)</f>
        <v>0.83</v>
      </c>
      <c r="D743" s="276">
        <f>ROUND(L61,0)</f>
        <v>35137</v>
      </c>
      <c r="E743" s="276">
        <f>ROUND(L62,0)</f>
        <v>9287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2575997</v>
      </c>
      <c r="O743" s="276">
        <f>ROUND(L73,0)</f>
        <v>2575997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202184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096*2021*6330*A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096*2021*6400*A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096*2021*7010*A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096*2021*7020*A</v>
      </c>
      <c r="B747" s="276">
        <f>ROUND(P59,0)</f>
        <v>419</v>
      </c>
      <c r="C747" s="278">
        <f>ROUND(P60,2)</f>
        <v>5.07</v>
      </c>
      <c r="D747" s="276">
        <f>ROUND(P61,0)</f>
        <v>450016</v>
      </c>
      <c r="E747" s="276">
        <f>ROUND(P62,0)</f>
        <v>118945</v>
      </c>
      <c r="F747" s="276">
        <f>ROUND(P63,0)</f>
        <v>0</v>
      </c>
      <c r="G747" s="276">
        <f>ROUND(P64,0)</f>
        <v>43326</v>
      </c>
      <c r="H747" s="276">
        <f>ROUND(P65,0)</f>
        <v>880</v>
      </c>
      <c r="I747" s="276">
        <f>ROUND(P66,0)</f>
        <v>94418</v>
      </c>
      <c r="J747" s="276">
        <f>ROUND(P67,0)</f>
        <v>74535</v>
      </c>
      <c r="K747" s="276">
        <f>ROUND(P68,0)</f>
        <v>0</v>
      </c>
      <c r="L747" s="276">
        <f>ROUND(P69,0)</f>
        <v>2603</v>
      </c>
      <c r="M747" s="276">
        <f>ROUND(P70,0)</f>
        <v>0</v>
      </c>
      <c r="N747" s="276">
        <f>ROUND(P75,0)</f>
        <v>1555715</v>
      </c>
      <c r="O747" s="276">
        <f>ROUND(P73,0)</f>
        <v>7113</v>
      </c>
      <c r="P747" s="276">
        <f>IF(P76&gt;0,ROUND(P76,0),0)</f>
        <v>3817</v>
      </c>
      <c r="Q747" s="276">
        <f>IF(P77&gt;0,ROUND(P77,0),0)</f>
        <v>0</v>
      </c>
      <c r="R747" s="276">
        <f>IF(P78&gt;0,ROUND(P78,0),0)</f>
        <v>480</v>
      </c>
      <c r="S747" s="276">
        <f>IF(P79&gt;0,ROUND(P79,0),0)</f>
        <v>0</v>
      </c>
      <c r="T747" s="278">
        <f>IF(P80&gt;0,ROUND(P80,2),0)</f>
        <v>2.5</v>
      </c>
      <c r="U747" s="276"/>
      <c r="V747" s="277"/>
      <c r="W747" s="276"/>
      <c r="X747" s="276"/>
      <c r="Y747" s="276">
        <f t="shared" si="21"/>
        <v>523669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096*2021*7030*A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21769</v>
      </c>
      <c r="O748" s="276">
        <f>ROUND(Q73,0)</f>
        <v>1156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1658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096*2021*7040*A</v>
      </c>
      <c r="B749" s="276">
        <f>ROUND(R59,0)</f>
        <v>16780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391463</v>
      </c>
      <c r="G749" s="276">
        <f>ROUND(R64,0)</f>
        <v>1302</v>
      </c>
      <c r="H749" s="276">
        <f>ROUND(R65,0)</f>
        <v>-135</v>
      </c>
      <c r="I749" s="276">
        <f>ROUND(R66,0)</f>
        <v>1787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436678</v>
      </c>
      <c r="O749" s="276">
        <f>ROUND(R73,0)</f>
        <v>14821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84739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096*2021*7050*A</v>
      </c>
      <c r="B750" s="276"/>
      <c r="C750" s="278">
        <f>ROUND(S60,2)</f>
        <v>0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159293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1802</v>
      </c>
      <c r="L750" s="276">
        <f>ROUND(S69,0)</f>
        <v>1465</v>
      </c>
      <c r="M750" s="276">
        <f>ROUND(S70,0)</f>
        <v>0</v>
      </c>
      <c r="N750" s="276">
        <f>ROUND(S75,0)</f>
        <v>298053</v>
      </c>
      <c r="O750" s="276">
        <f>ROUND(S73,0)</f>
        <v>110332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62050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096*2021*7060*A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096*2021*7070*A</v>
      </c>
      <c r="B752" s="276">
        <f>ROUND(U59,0)</f>
        <v>27226</v>
      </c>
      <c r="C752" s="278">
        <f>ROUND(U60,2)</f>
        <v>5.03</v>
      </c>
      <c r="D752" s="276">
        <f>ROUND(U61,0)</f>
        <v>383101</v>
      </c>
      <c r="E752" s="276">
        <f>ROUND(U62,0)</f>
        <v>101258</v>
      </c>
      <c r="F752" s="276">
        <f>ROUND(U63,0)</f>
        <v>10800</v>
      </c>
      <c r="G752" s="276">
        <f>ROUND(U64,0)</f>
        <v>337384</v>
      </c>
      <c r="H752" s="276">
        <f>ROUND(U65,0)</f>
        <v>0</v>
      </c>
      <c r="I752" s="276">
        <f>ROUND(U66,0)</f>
        <v>525691</v>
      </c>
      <c r="J752" s="276">
        <f>ROUND(U67,0)</f>
        <v>22320</v>
      </c>
      <c r="K752" s="276">
        <f>ROUND(U68,0)</f>
        <v>0</v>
      </c>
      <c r="L752" s="276">
        <f>ROUND(U69,0)</f>
        <v>7925</v>
      </c>
      <c r="M752" s="276">
        <f>ROUND(U70,0)</f>
        <v>0</v>
      </c>
      <c r="N752" s="276">
        <f>ROUND(U75,0)</f>
        <v>2632468</v>
      </c>
      <c r="O752" s="276">
        <f>ROUND(U73,0)</f>
        <v>311996</v>
      </c>
      <c r="P752" s="276">
        <f>IF(U76&gt;0,ROUND(U76,0),0)</f>
        <v>1143</v>
      </c>
      <c r="Q752" s="276">
        <f>IF(U77&gt;0,ROUND(U77,0),0)</f>
        <v>0</v>
      </c>
      <c r="R752" s="276">
        <f>IF(U78&gt;0,ROUND(U78,0),0)</f>
        <v>368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483043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096*2021*7110*A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096*2021*7120*A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096*2021*7130*A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096*2021*7140*A</v>
      </c>
      <c r="B756" s="276">
        <f>ROUND(Y59,0)</f>
        <v>8335</v>
      </c>
      <c r="C756" s="278">
        <f>ROUND(Y60,2)</f>
        <v>5.47</v>
      </c>
      <c r="D756" s="276">
        <f>ROUND(Y61,0)</f>
        <v>455512</v>
      </c>
      <c r="E756" s="276">
        <f>ROUND(Y62,0)</f>
        <v>120397</v>
      </c>
      <c r="F756" s="276">
        <f>ROUND(Y63,0)</f>
        <v>245299</v>
      </c>
      <c r="G756" s="276">
        <f>ROUND(Y64,0)</f>
        <v>45181</v>
      </c>
      <c r="H756" s="276">
        <f>ROUND(Y65,0)</f>
        <v>5588</v>
      </c>
      <c r="I756" s="276">
        <f>ROUND(Y66,0)</f>
        <v>565395</v>
      </c>
      <c r="J756" s="276">
        <f>ROUND(Y67,0)</f>
        <v>95019</v>
      </c>
      <c r="K756" s="276">
        <f>ROUND(Y68,0)</f>
        <v>0</v>
      </c>
      <c r="L756" s="276">
        <f>ROUND(Y69,0)</f>
        <v>4961</v>
      </c>
      <c r="M756" s="276">
        <f>ROUND(Y70,0)</f>
        <v>0</v>
      </c>
      <c r="N756" s="276">
        <f>ROUND(Y75,0)</f>
        <v>7217306</v>
      </c>
      <c r="O756" s="276">
        <f>ROUND(Y73,0)</f>
        <v>335530</v>
      </c>
      <c r="P756" s="276">
        <f>IF(Y76&gt;0,ROUND(Y76,0),0)</f>
        <v>4866</v>
      </c>
      <c r="Q756" s="276">
        <f>IF(Y77&gt;0,ROUND(Y77,0),0)</f>
        <v>0</v>
      </c>
      <c r="R756" s="276">
        <f>IF(Y78&gt;0,ROUND(Y78,0),0)</f>
        <v>441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966720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096*2021*7150*A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096*2021*7160*A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096*2021*7170*A</v>
      </c>
      <c r="B759" s="276"/>
      <c r="C759" s="278">
        <f>ROUND(AB60,2)</f>
        <v>2.4</v>
      </c>
      <c r="D759" s="276">
        <f>ROUND(AB61,0)</f>
        <v>245678</v>
      </c>
      <c r="E759" s="276">
        <f>ROUND(AB62,0)</f>
        <v>64936</v>
      </c>
      <c r="F759" s="276">
        <f>ROUND(AB63,0)</f>
        <v>0</v>
      </c>
      <c r="G759" s="276">
        <f>ROUND(AB64,0)</f>
        <v>493598</v>
      </c>
      <c r="H759" s="276">
        <f>ROUND(AB65,0)</f>
        <v>0</v>
      </c>
      <c r="I759" s="276">
        <f>ROUND(AB66,0)</f>
        <v>65066</v>
      </c>
      <c r="J759" s="276">
        <f>ROUND(AB67,0)</f>
        <v>11209</v>
      </c>
      <c r="K759" s="276">
        <f>ROUND(AB68,0)</f>
        <v>0</v>
      </c>
      <c r="L759" s="276">
        <f>ROUND(AB69,0)</f>
        <v>15866</v>
      </c>
      <c r="M759" s="276">
        <f>ROUND(AB70,0)</f>
        <v>0</v>
      </c>
      <c r="N759" s="276">
        <f>ROUND(AB75,0)</f>
        <v>2958762</v>
      </c>
      <c r="O759" s="276">
        <f>ROUND(AB73,0)</f>
        <v>788217</v>
      </c>
      <c r="P759" s="276">
        <f>IF(AB76&gt;0,ROUND(AB76,0),0)</f>
        <v>574</v>
      </c>
      <c r="Q759" s="276">
        <f>IF(AB77&gt;0,ROUND(AB77,0),0)</f>
        <v>0</v>
      </c>
      <c r="R759" s="276">
        <f>IF(AB78&gt;0,ROUND(AB78,0),0)</f>
        <v>60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424180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096*2021*7180*A</v>
      </c>
      <c r="B760" s="276">
        <f>ROUND(AC59,0)</f>
        <v>933</v>
      </c>
      <c r="C760" s="278">
        <f>ROUND(AC60,2)</f>
        <v>1.48</v>
      </c>
      <c r="D760" s="276">
        <f>ROUND(AC61,0)</f>
        <v>133626</v>
      </c>
      <c r="E760" s="276">
        <f>ROUND(AC62,0)</f>
        <v>35319</v>
      </c>
      <c r="F760" s="276">
        <f>ROUND(AC63,0)</f>
        <v>0</v>
      </c>
      <c r="G760" s="276">
        <f>ROUND(AC64,0)</f>
        <v>2496</v>
      </c>
      <c r="H760" s="276">
        <f>ROUND(AC65,0)</f>
        <v>0</v>
      </c>
      <c r="I760" s="276">
        <f>ROUND(AC66,0)</f>
        <v>5748</v>
      </c>
      <c r="J760" s="276">
        <f>ROUND(AC67,0)</f>
        <v>6815</v>
      </c>
      <c r="K760" s="276">
        <f>ROUND(AC68,0)</f>
        <v>1738</v>
      </c>
      <c r="L760" s="276">
        <f>ROUND(AC69,0)</f>
        <v>137</v>
      </c>
      <c r="M760" s="276">
        <f>ROUND(AC70,0)</f>
        <v>0</v>
      </c>
      <c r="N760" s="276">
        <f>ROUND(AC75,0)</f>
        <v>722952</v>
      </c>
      <c r="O760" s="276">
        <f>ROUND(AC73,0)</f>
        <v>157655</v>
      </c>
      <c r="P760" s="276">
        <f>IF(AC76&gt;0,ROUND(AC76,0),0)</f>
        <v>349</v>
      </c>
      <c r="Q760" s="276">
        <f>IF(AC77&gt;0,ROUND(AC77,0),0)</f>
        <v>0</v>
      </c>
      <c r="R760" s="276">
        <f>IF(AC78&gt;0,ROUND(AC78,0),0)</f>
        <v>36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95209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096*2021*7190*A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096*2021*7200*A</v>
      </c>
      <c r="B762" s="276">
        <f>ROUND(AE59,0)</f>
        <v>7805</v>
      </c>
      <c r="C762" s="278">
        <f>ROUND(AE60,2)</f>
        <v>987</v>
      </c>
      <c r="D762" s="276">
        <f>ROUND(AE61,0)</f>
        <v>818360</v>
      </c>
      <c r="E762" s="276">
        <f>ROUND(AE62,0)</f>
        <v>216302</v>
      </c>
      <c r="F762" s="276">
        <f>ROUND(AE63,0)</f>
        <v>0</v>
      </c>
      <c r="G762" s="276">
        <f>ROUND(AE64,0)</f>
        <v>12633</v>
      </c>
      <c r="H762" s="276">
        <f>ROUND(AE65,0)</f>
        <v>3242</v>
      </c>
      <c r="I762" s="276">
        <f>ROUND(AE66,0)</f>
        <v>12125</v>
      </c>
      <c r="J762" s="276">
        <f>ROUND(AE67,0)</f>
        <v>63659</v>
      </c>
      <c r="K762" s="276">
        <f>ROUND(AE68,0)</f>
        <v>0</v>
      </c>
      <c r="L762" s="276">
        <f>ROUND(AE69,0)</f>
        <v>3183</v>
      </c>
      <c r="M762" s="276">
        <f>ROUND(AE70,0)</f>
        <v>0</v>
      </c>
      <c r="N762" s="276">
        <f>ROUND(AE75,0)</f>
        <v>2268709</v>
      </c>
      <c r="O762" s="276">
        <f>ROUND(AE73,0)</f>
        <v>686983</v>
      </c>
      <c r="P762" s="276">
        <f>IF(AE76&gt;0,ROUND(AE76,0),0)</f>
        <v>3260</v>
      </c>
      <c r="Q762" s="276">
        <f>IF(AE77&gt;0,ROUND(AE77,0),0)</f>
        <v>0</v>
      </c>
      <c r="R762" s="276">
        <f>IF(AE78&gt;0,ROUND(AE78,0),0)</f>
        <v>176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703109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096*2021*7220*A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096*2021*7230*A</v>
      </c>
      <c r="B764" s="276">
        <f>ROUND(AG59,0)</f>
        <v>3453</v>
      </c>
      <c r="C764" s="278">
        <f>ROUND(AG60,2)</f>
        <v>5.08</v>
      </c>
      <c r="D764" s="276">
        <f>ROUND(AG61,0)</f>
        <v>443915</v>
      </c>
      <c r="E764" s="276">
        <f>ROUND(AG62,0)</f>
        <v>117332</v>
      </c>
      <c r="F764" s="276">
        <f>ROUND(AG63,0)</f>
        <v>1385450</v>
      </c>
      <c r="G764" s="276">
        <f>ROUND(AG64,0)</f>
        <v>41611</v>
      </c>
      <c r="H764" s="276">
        <f>ROUND(AG65,0)</f>
        <v>960</v>
      </c>
      <c r="I764" s="276">
        <f>ROUND(AG66,0)</f>
        <v>48974</v>
      </c>
      <c r="J764" s="276">
        <f>ROUND(AG67,0)</f>
        <v>112769</v>
      </c>
      <c r="K764" s="276">
        <f>ROUND(AG68,0)</f>
        <v>0</v>
      </c>
      <c r="L764" s="276">
        <f>ROUND(AG69,0)</f>
        <v>2859</v>
      </c>
      <c r="M764" s="276">
        <f>ROUND(AG70,0)</f>
        <v>0</v>
      </c>
      <c r="N764" s="276">
        <f>ROUND(AG75,0)</f>
        <v>5097488</v>
      </c>
      <c r="O764" s="276">
        <f>ROUND(AG73,0)</f>
        <v>133402</v>
      </c>
      <c r="P764" s="276">
        <f>IF(AG76&gt;0,ROUND(AG76,0),0)</f>
        <v>5775</v>
      </c>
      <c r="Q764" s="276">
        <f>IF(AG77&gt;0,ROUND(AG77,0),0)</f>
        <v>155</v>
      </c>
      <c r="R764" s="276">
        <f>IF(AG78&gt;0,ROUND(AG78,0),0)</f>
        <v>968</v>
      </c>
      <c r="S764" s="276">
        <f>IF(AG79&gt;0,ROUND(AG79,0),0)</f>
        <v>0</v>
      </c>
      <c r="T764" s="278">
        <f>IF(AG80&gt;0,ROUND(AG80,2),0)</f>
        <v>2.29</v>
      </c>
      <c r="U764" s="276"/>
      <c r="V764" s="277"/>
      <c r="W764" s="276"/>
      <c r="X764" s="276"/>
      <c r="Y764" s="276">
        <f t="shared" si="21"/>
        <v>1077059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096*2021*7240*A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096*2021*7250*A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096*2021*7260*A</v>
      </c>
      <c r="B767" s="276">
        <f>ROUND(AJ59,0)</f>
        <v>4051</v>
      </c>
      <c r="C767" s="278">
        <f>ROUND(AJ60,2)</f>
        <v>11.4</v>
      </c>
      <c r="D767" s="276">
        <f>ROUND(AJ61,0)</f>
        <v>1018565</v>
      </c>
      <c r="E767" s="276">
        <f>ROUND(AJ62,0)</f>
        <v>269219</v>
      </c>
      <c r="F767" s="276">
        <f>ROUND(AJ63,0)</f>
        <v>0</v>
      </c>
      <c r="G767" s="276">
        <f>ROUND(AJ64,0)</f>
        <v>124498</v>
      </c>
      <c r="H767" s="276">
        <f>ROUND(AJ65,0)</f>
        <v>2467</v>
      </c>
      <c r="I767" s="276">
        <f>ROUND(AJ66,0)</f>
        <v>13972</v>
      </c>
      <c r="J767" s="276">
        <f>ROUND(AJ67,0)</f>
        <v>104412</v>
      </c>
      <c r="K767" s="276">
        <f>ROUND(AJ68,0)</f>
        <v>75</v>
      </c>
      <c r="L767" s="276">
        <f>ROUND(AJ69,0)</f>
        <v>13932</v>
      </c>
      <c r="M767" s="276">
        <f>ROUND(AJ70,0)</f>
        <v>0</v>
      </c>
      <c r="N767" s="276">
        <f>ROUND(AJ75,0)</f>
        <v>1419930</v>
      </c>
      <c r="O767" s="276">
        <f>ROUND(AJ73,0)</f>
        <v>1386</v>
      </c>
      <c r="P767" s="276">
        <f>IF(AJ76&gt;0,ROUND(AJ76,0),0)</f>
        <v>5347</v>
      </c>
      <c r="Q767" s="276">
        <f>IF(AJ77&gt;0,ROUND(AJ77,0),0)</f>
        <v>0</v>
      </c>
      <c r="R767" s="276">
        <f>IF(AJ78&gt;0,ROUND(AJ78,0),0)</f>
        <v>1153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589708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096*2021*7310*A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096*2021*7320*A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096*2021*7330*A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096*2021*7340*A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096*2021*7350*A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096*2021*7380*A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096*2021*7390*A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096*2021*7400*A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096*2021*7410*A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096*2021*7420*A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096*2021*7430*A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096*2021*7490*A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096*2021*8200*A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096*2021*8310*A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096*2021*8320*A</v>
      </c>
      <c r="B782" s="276">
        <f>ROUND(AY59,0)</f>
        <v>5485</v>
      </c>
      <c r="C782" s="278">
        <f>ROUND(AY60,2)</f>
        <v>4.49</v>
      </c>
      <c r="D782" s="276">
        <f>ROUND(AY61,0)</f>
        <v>193270</v>
      </c>
      <c r="E782" s="276">
        <f>ROUND(AY62,0)</f>
        <v>51084</v>
      </c>
      <c r="F782" s="276">
        <f>ROUND(AY63,0)</f>
        <v>0</v>
      </c>
      <c r="G782" s="276">
        <f>ROUND(AY64,0)</f>
        <v>116577</v>
      </c>
      <c r="H782" s="276">
        <f>ROUND(AY65,0)</f>
        <v>0</v>
      </c>
      <c r="I782" s="276">
        <f>ROUND(AY66,0)</f>
        <v>2413</v>
      </c>
      <c r="J782" s="276">
        <f>ROUND(AY67,0)</f>
        <v>52216</v>
      </c>
      <c r="K782" s="276">
        <f>ROUND(AY68,0)</f>
        <v>2571</v>
      </c>
      <c r="L782" s="276">
        <f>ROUND(AY69,0)</f>
        <v>122</v>
      </c>
      <c r="M782" s="276">
        <f>ROUND(AY70,0)</f>
        <v>0</v>
      </c>
      <c r="N782" s="276"/>
      <c r="O782" s="276"/>
      <c r="P782" s="276">
        <f>IF(AY76&gt;0,ROUND(AY76,0),0)</f>
        <v>2674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096*2021*8330*A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096*2021*8350*A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7115</v>
      </c>
      <c r="H784" s="276">
        <f>ROUND(BA65,0)</f>
        <v>0</v>
      </c>
      <c r="I784" s="276">
        <f>ROUND(BA66,0)</f>
        <v>0</v>
      </c>
      <c r="J784" s="276">
        <f>ROUND(BA67,0)</f>
        <v>3046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156</v>
      </c>
      <c r="Q784" s="276">
        <f>IF(BA77&gt;0,ROUND(BA77,0),0)</f>
        <v>0</v>
      </c>
      <c r="R784" s="276">
        <f>IF(BA78&gt;0,ROUND(BA78,0),0)</f>
        <v>3355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096*2021*8360*A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096*2021*8370*A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096*2021*8420*A</v>
      </c>
      <c r="B787" s="276"/>
      <c r="C787" s="278">
        <f>ROUND(BD60,2)</f>
        <v>0</v>
      </c>
      <c r="D787" s="276">
        <f>ROUND(BD61,0)</f>
        <v>120476</v>
      </c>
      <c r="E787" s="276">
        <f>ROUND(BD62,0)</f>
        <v>31843</v>
      </c>
      <c r="F787" s="276">
        <f>ROUND(BD63,0)</f>
        <v>0</v>
      </c>
      <c r="G787" s="276">
        <f>ROUND(BD64,0)</f>
        <v>895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096*2021*8430*A</v>
      </c>
      <c r="B788" s="276">
        <f>ROUND(BE59,0)</f>
        <v>65736</v>
      </c>
      <c r="C788" s="278">
        <f>ROUND(BE60,2)</f>
        <v>3.71</v>
      </c>
      <c r="D788" s="276">
        <f>ROUND(BE61,0)</f>
        <v>277716</v>
      </c>
      <c r="E788" s="276">
        <f>ROUND(BE62,0)</f>
        <v>73404</v>
      </c>
      <c r="F788" s="276">
        <f>ROUND(BE63,0)</f>
        <v>0</v>
      </c>
      <c r="G788" s="276">
        <f>ROUND(BE64,0)</f>
        <v>25197</v>
      </c>
      <c r="H788" s="276">
        <f>ROUND(BE65,0)</f>
        <v>195032</v>
      </c>
      <c r="I788" s="276">
        <f>ROUND(BE66,0)</f>
        <v>114951</v>
      </c>
      <c r="J788" s="276">
        <f>ROUND(BE67,0)</f>
        <v>124369</v>
      </c>
      <c r="K788" s="276">
        <f>ROUND(BE68,0)</f>
        <v>0</v>
      </c>
      <c r="L788" s="276">
        <f>ROUND(BE69,0)</f>
        <v>8014</v>
      </c>
      <c r="M788" s="276">
        <f>ROUND(BE70,0)</f>
        <v>0</v>
      </c>
      <c r="N788" s="276"/>
      <c r="O788" s="276"/>
      <c r="P788" s="276">
        <f>IF(BE76&gt;0,ROUND(BE76,0),0)</f>
        <v>6369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096*2021*8460*A</v>
      </c>
      <c r="B789" s="276"/>
      <c r="C789" s="278">
        <f>ROUND(BF60,2)</f>
        <v>5.97</v>
      </c>
      <c r="D789" s="276">
        <f>ROUND(BF61,0)</f>
        <v>219516</v>
      </c>
      <c r="E789" s="276">
        <f>ROUND(BF62,0)</f>
        <v>58021</v>
      </c>
      <c r="F789" s="276">
        <f>ROUND(BF63,0)</f>
        <v>0</v>
      </c>
      <c r="G789" s="276">
        <f>ROUND(BF64,0)</f>
        <v>25905</v>
      </c>
      <c r="H789" s="276">
        <f>ROUND(BF65,0)</f>
        <v>0</v>
      </c>
      <c r="I789" s="276">
        <f>ROUND(BF66,0)</f>
        <v>0</v>
      </c>
      <c r="J789" s="276">
        <f>ROUND(BF67,0)</f>
        <v>15348</v>
      </c>
      <c r="K789" s="276">
        <f>ROUND(BF68,0)</f>
        <v>0</v>
      </c>
      <c r="L789" s="276">
        <f>ROUND(BF69,0)</f>
        <v>65</v>
      </c>
      <c r="M789" s="276">
        <f>ROUND(BF70,0)</f>
        <v>0</v>
      </c>
      <c r="N789" s="276"/>
      <c r="O789" s="276"/>
      <c r="P789" s="276">
        <f>IF(BF76&gt;0,ROUND(BF76,0),0)</f>
        <v>786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096*2021*8470*A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096*2021*8480*A</v>
      </c>
      <c r="B791" s="276"/>
      <c r="C791" s="278">
        <f>ROUND(BH60,2)</f>
        <v>4.1399999999999997</v>
      </c>
      <c r="D791" s="276">
        <f>ROUND(BH61,0)</f>
        <v>382380</v>
      </c>
      <c r="E791" s="276">
        <f>ROUND(BH62,0)</f>
        <v>101068</v>
      </c>
      <c r="F791" s="276">
        <f>ROUND(BH63,0)</f>
        <v>0</v>
      </c>
      <c r="G791" s="276">
        <f>ROUND(BH64,0)</f>
        <v>25709</v>
      </c>
      <c r="H791" s="276">
        <f>ROUND(BH65,0)</f>
        <v>79373</v>
      </c>
      <c r="I791" s="276">
        <f>ROUND(BH66,0)</f>
        <v>552158</v>
      </c>
      <c r="J791" s="276">
        <f>ROUND(BH67,0)</f>
        <v>0</v>
      </c>
      <c r="K791" s="276">
        <f>ROUND(BH68,0)</f>
        <v>0</v>
      </c>
      <c r="L791" s="276">
        <f>ROUND(BH69,0)</f>
        <v>622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096*2021*8490*A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096*2021*8510*A</v>
      </c>
      <c r="B793" s="276"/>
      <c r="C793" s="278">
        <f>ROUND(BJ60,2)</f>
        <v>2.48</v>
      </c>
      <c r="D793" s="276">
        <f>ROUND(BJ61,0)</f>
        <v>261164</v>
      </c>
      <c r="E793" s="276">
        <f>ROUND(BJ62,0)</f>
        <v>69029</v>
      </c>
      <c r="F793" s="276">
        <f>ROUND(BJ63,0)</f>
        <v>0</v>
      </c>
      <c r="G793" s="276">
        <f>ROUND(BJ64,0)</f>
        <v>18</v>
      </c>
      <c r="H793" s="276">
        <f>ROUND(BJ65,0)</f>
        <v>0</v>
      </c>
      <c r="I793" s="276">
        <f>ROUND(BJ66,0)</f>
        <v>141739</v>
      </c>
      <c r="J793" s="276">
        <f>ROUND(BJ67,0)</f>
        <v>0</v>
      </c>
      <c r="K793" s="276">
        <f>ROUND(BJ68,0)</f>
        <v>0</v>
      </c>
      <c r="L793" s="276">
        <f>ROUND(BJ69,0)</f>
        <v>61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096*2021*8530*A</v>
      </c>
      <c r="B794" s="276"/>
      <c r="C794" s="278">
        <f>ROUND(BK60,2)</f>
        <v>5.59</v>
      </c>
      <c r="D794" s="276">
        <f>ROUND(BK61,0)</f>
        <v>233416</v>
      </c>
      <c r="E794" s="276">
        <f>ROUND(BK62,0)</f>
        <v>61695</v>
      </c>
      <c r="F794" s="276">
        <f>ROUND(BK63,0)</f>
        <v>0</v>
      </c>
      <c r="G794" s="276">
        <f>ROUND(BK64,0)</f>
        <v>12530</v>
      </c>
      <c r="H794" s="276">
        <f>ROUND(BK65,0)</f>
        <v>0</v>
      </c>
      <c r="I794" s="276">
        <f>ROUND(BK66,0)</f>
        <v>44548</v>
      </c>
      <c r="J794" s="276">
        <f>ROUND(BK67,0)</f>
        <v>0</v>
      </c>
      <c r="K794" s="276">
        <f>ROUND(BK68,0)</f>
        <v>2980</v>
      </c>
      <c r="L794" s="276">
        <f>ROUND(BK69,0)</f>
        <v>373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096*2021*8560*A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096*2021*8590*A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096*2021*8610*A</v>
      </c>
      <c r="B797" s="276"/>
      <c r="C797" s="278">
        <f>ROUND(BN60,2)</f>
        <v>1.08</v>
      </c>
      <c r="D797" s="276">
        <f>ROUND(BN61,0)</f>
        <v>207247</v>
      </c>
      <c r="E797" s="276">
        <f>ROUND(BN62,0)</f>
        <v>54778</v>
      </c>
      <c r="F797" s="276">
        <f>ROUND(BN63,0)</f>
        <v>0</v>
      </c>
      <c r="G797" s="276">
        <f>ROUND(BN64,0)</f>
        <v>3931</v>
      </c>
      <c r="H797" s="276">
        <f>ROUND(BN65,0)</f>
        <v>5077</v>
      </c>
      <c r="I797" s="276">
        <f>ROUND(BN66,0)</f>
        <v>47392</v>
      </c>
      <c r="J797" s="276">
        <f>ROUND(BN67,0)</f>
        <v>366369</v>
      </c>
      <c r="K797" s="276">
        <f>ROUND(BN68,0)</f>
        <v>1821</v>
      </c>
      <c r="L797" s="276">
        <f>ROUND(BN69,0)</f>
        <v>46342</v>
      </c>
      <c r="M797" s="276">
        <f>ROUND(BN70,0)</f>
        <v>0</v>
      </c>
      <c r="N797" s="276"/>
      <c r="O797" s="276"/>
      <c r="P797" s="276">
        <f>IF(BN76&gt;0,ROUND(BN76,0),0)</f>
        <v>18762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096*2021*8620*A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096*2021*8630*A</v>
      </c>
      <c r="B799" s="276"/>
      <c r="C799" s="278">
        <f>ROUND(BP60,2)</f>
        <v>0.98</v>
      </c>
      <c r="D799" s="276">
        <f>ROUND(BP61,0)</f>
        <v>88588</v>
      </c>
      <c r="E799" s="276">
        <f>ROUND(BP62,0)</f>
        <v>23415</v>
      </c>
      <c r="F799" s="276">
        <f>ROUND(BP63,0)</f>
        <v>0</v>
      </c>
      <c r="G799" s="276">
        <f>ROUND(BP64,0)</f>
        <v>6383</v>
      </c>
      <c r="H799" s="276">
        <f>ROUND(BP65,0)</f>
        <v>0</v>
      </c>
      <c r="I799" s="276">
        <f>ROUND(BP66,0)</f>
        <v>107934</v>
      </c>
      <c r="J799" s="276">
        <f>ROUND(BP67,0)</f>
        <v>0</v>
      </c>
      <c r="K799" s="276">
        <f>ROUND(BP68,0)</f>
        <v>0</v>
      </c>
      <c r="L799" s="276">
        <f>ROUND(BP69,0)</f>
        <v>1505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096*2021*8640*A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096*2021*8650*A</v>
      </c>
      <c r="B801" s="276"/>
      <c r="C801" s="278">
        <f>ROUND(BR60,2)</f>
        <v>1.82</v>
      </c>
      <c r="D801" s="276">
        <f>ROUND(BR61,0)</f>
        <v>139740</v>
      </c>
      <c r="E801" s="276">
        <f>ROUND(BR62,0)</f>
        <v>36935</v>
      </c>
      <c r="F801" s="276">
        <f>ROUND(BR63,0)</f>
        <v>0</v>
      </c>
      <c r="G801" s="276">
        <f>ROUND(BR64,0)</f>
        <v>2913</v>
      </c>
      <c r="H801" s="276">
        <f>ROUND(BR65,0)</f>
        <v>0</v>
      </c>
      <c r="I801" s="276">
        <f>ROUND(BR66,0)</f>
        <v>55491</v>
      </c>
      <c r="J801" s="276">
        <f>ROUND(BR67,0)</f>
        <v>0</v>
      </c>
      <c r="K801" s="276">
        <f>ROUND(BR68,0)</f>
        <v>0</v>
      </c>
      <c r="L801" s="276">
        <f>ROUND(BR69,0)</f>
        <v>995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096*2021*8660*A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096*2021*8670*A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096*2021*8680*A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096*2021*8690*A</v>
      </c>
      <c r="B805" s="276"/>
      <c r="C805" s="278">
        <f>ROUND(BV60,2)</f>
        <v>2.0299999999999998</v>
      </c>
      <c r="D805" s="276">
        <f>ROUND(BV61,0)</f>
        <v>80231</v>
      </c>
      <c r="E805" s="276">
        <f>ROUND(BV62,0)</f>
        <v>21206</v>
      </c>
      <c r="F805" s="276">
        <f>ROUND(BV63,0)</f>
        <v>0</v>
      </c>
      <c r="G805" s="276">
        <f>ROUND(BV64,0)</f>
        <v>2141</v>
      </c>
      <c r="H805" s="276">
        <f>ROUND(BV65,0)</f>
        <v>0</v>
      </c>
      <c r="I805" s="276">
        <f>ROUND(BV66,0)</f>
        <v>130757</v>
      </c>
      <c r="J805" s="276">
        <f>ROUND(BV67,0)</f>
        <v>19879</v>
      </c>
      <c r="K805" s="276">
        <f>ROUND(BV68,0)</f>
        <v>838</v>
      </c>
      <c r="L805" s="276">
        <f>ROUND(BV69,0)</f>
        <v>2360</v>
      </c>
      <c r="M805" s="276">
        <f>ROUND(BV70,0)</f>
        <v>0</v>
      </c>
      <c r="N805" s="276"/>
      <c r="O805" s="276"/>
      <c r="P805" s="276">
        <f>IF(BV76&gt;0,ROUND(BV76,0),0)</f>
        <v>1018</v>
      </c>
      <c r="Q805" s="276">
        <f>IF(BV77&gt;0,ROUND(BV77,0),0)</f>
        <v>0</v>
      </c>
      <c r="R805" s="276">
        <f>IF(BV78&gt;0,ROUND(BV78,0),0)</f>
        <v>22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096*2021*8700*A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096*2021*8710*A</v>
      </c>
      <c r="B807" s="276"/>
      <c r="C807" s="278">
        <f>ROUND(BX60,2)</f>
        <v>1.23</v>
      </c>
      <c r="D807" s="276">
        <f>ROUND(BX61,0)</f>
        <v>121879</v>
      </c>
      <c r="E807" s="276">
        <f>ROUND(BX62,0)</f>
        <v>32214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7230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096*2021*8720*A</v>
      </c>
      <c r="B808" s="276"/>
      <c r="C808" s="278">
        <f>ROUND(BY60,2)</f>
        <v>3.41</v>
      </c>
      <c r="D808" s="276">
        <f>ROUND(BY61,0)</f>
        <v>392214</v>
      </c>
      <c r="E808" s="276">
        <f>ROUND(BY62,0)</f>
        <v>103667</v>
      </c>
      <c r="F808" s="276">
        <f>ROUND(BY63,0)</f>
        <v>0</v>
      </c>
      <c r="G808" s="276">
        <f>ROUND(BY64,0)</f>
        <v>6971</v>
      </c>
      <c r="H808" s="276">
        <f>ROUND(BY65,0)</f>
        <v>2480</v>
      </c>
      <c r="I808" s="276">
        <f>ROUND(BY66,0)</f>
        <v>0</v>
      </c>
      <c r="J808" s="276">
        <f>ROUND(BY67,0)</f>
        <v>14372</v>
      </c>
      <c r="K808" s="276">
        <f>ROUND(BY68,0)</f>
        <v>0</v>
      </c>
      <c r="L808" s="276">
        <f>ROUND(BY69,0)</f>
        <v>1170</v>
      </c>
      <c r="M808" s="276">
        <f>ROUND(BY70,0)</f>
        <v>0</v>
      </c>
      <c r="N808" s="276"/>
      <c r="O808" s="276"/>
      <c r="P808" s="276">
        <f>IF(BY76&gt;0,ROUND(BY76,0),0)</f>
        <v>736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096*2021*8730*A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096*2021*8740*A</v>
      </c>
      <c r="B810" s="276"/>
      <c r="C810" s="278">
        <f>ROUND(CA60,2)</f>
        <v>0.13</v>
      </c>
      <c r="D810" s="276">
        <f>ROUND(CA61,0)</f>
        <v>11981</v>
      </c>
      <c r="E810" s="276">
        <f>ROUND(CA62,0)</f>
        <v>3167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1115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096*2021*8770*A</v>
      </c>
      <c r="B811" s="276"/>
      <c r="C811" s="278">
        <f>ROUND(CB60,2)</f>
        <v>1</v>
      </c>
      <c r="D811" s="276">
        <f>ROUND(CB61,0)</f>
        <v>58192</v>
      </c>
      <c r="E811" s="276">
        <f>ROUND(CB62,0)</f>
        <v>15381</v>
      </c>
      <c r="F811" s="276">
        <f>ROUND(CB63,0)</f>
        <v>0</v>
      </c>
      <c r="G811" s="276">
        <f>ROUND(CB64,0)</f>
        <v>889</v>
      </c>
      <c r="H811" s="276">
        <f>ROUND(CB65,0)</f>
        <v>0</v>
      </c>
      <c r="I811" s="276">
        <f>ROUND(CB66,0)</f>
        <v>325</v>
      </c>
      <c r="J811" s="276">
        <f>ROUND(CB67,0)</f>
        <v>0</v>
      </c>
      <c r="K811" s="276">
        <f>ROUND(CB68,0)</f>
        <v>0</v>
      </c>
      <c r="L811" s="276">
        <f>ROUND(CB69,0)</f>
        <v>1004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096*2021*8790*A</v>
      </c>
      <c r="B812" s="276"/>
      <c r="C812" s="278">
        <f>ROUND(CC60,2)</f>
        <v>1.62</v>
      </c>
      <c r="D812" s="276">
        <f>ROUND(CC61,0)</f>
        <v>141438</v>
      </c>
      <c r="E812" s="276">
        <f>ROUND(CC62,0)</f>
        <v>37384</v>
      </c>
      <c r="F812" s="276">
        <f>ROUND(CC63,0)</f>
        <v>0</v>
      </c>
      <c r="G812" s="276">
        <f>ROUND(CC64,0)</f>
        <v>43202</v>
      </c>
      <c r="H812" s="276">
        <f>ROUND(CC65,0)</f>
        <v>0</v>
      </c>
      <c r="I812" s="276">
        <f>ROUND(CC66,0)</f>
        <v>22072</v>
      </c>
      <c r="J812" s="276">
        <f>ROUND(CC67,0)</f>
        <v>0</v>
      </c>
      <c r="K812" s="276">
        <f>ROUND(CC68,0)</f>
        <v>0</v>
      </c>
      <c r="L812" s="276">
        <f>ROUND(CC69,0)</f>
        <v>3170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096*2021*9000*A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1453734</v>
      </c>
      <c r="V813" s="277">
        <f>ROUND(CD70,0)</f>
        <v>228148</v>
      </c>
      <c r="W813" s="276">
        <f>ROUND(CE72,0)</f>
        <v>1596639</v>
      </c>
      <c r="X813" s="276">
        <f>ROUND(C131,0)</f>
        <v>1246925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1086.3300000000002</v>
      </c>
      <c r="D815" s="277">
        <f t="shared" si="22"/>
        <v>9051273</v>
      </c>
      <c r="E815" s="277">
        <f t="shared" si="22"/>
        <v>2392363</v>
      </c>
      <c r="F815" s="277">
        <f t="shared" si="22"/>
        <v>2038734</v>
      </c>
      <c r="G815" s="277">
        <f t="shared" si="22"/>
        <v>1596631</v>
      </c>
      <c r="H815" s="277">
        <f t="shared" si="22"/>
        <v>294964</v>
      </c>
      <c r="I815" s="277">
        <f t="shared" si="22"/>
        <v>2814999</v>
      </c>
      <c r="J815" s="277">
        <f t="shared" si="22"/>
        <v>1283640</v>
      </c>
      <c r="K815" s="277">
        <f t="shared" si="22"/>
        <v>13716</v>
      </c>
      <c r="L815" s="277">
        <f>SUM(L734:L813)+SUM(U734:U813)</f>
        <v>1599285</v>
      </c>
      <c r="M815" s="277">
        <f>SUM(M734:M813)+SUM(V734:V813)</f>
        <v>228148</v>
      </c>
      <c r="N815" s="277">
        <f t="shared" ref="N815:Y815" si="23">SUM(N734:N813)</f>
        <v>29061685</v>
      </c>
      <c r="O815" s="277">
        <f t="shared" si="23"/>
        <v>6744987</v>
      </c>
      <c r="P815" s="277">
        <f t="shared" si="23"/>
        <v>65736</v>
      </c>
      <c r="Q815" s="277">
        <f t="shared" si="23"/>
        <v>5485</v>
      </c>
      <c r="R815" s="277">
        <f t="shared" si="23"/>
        <v>8280</v>
      </c>
      <c r="S815" s="277">
        <f t="shared" si="23"/>
        <v>0</v>
      </c>
      <c r="T815" s="281">
        <f t="shared" si="23"/>
        <v>16.27</v>
      </c>
      <c r="U815" s="277">
        <f t="shared" si="23"/>
        <v>1453734</v>
      </c>
      <c r="V815" s="277">
        <f t="shared" si="23"/>
        <v>228148</v>
      </c>
      <c r="W815" s="277">
        <f t="shared" si="23"/>
        <v>1596639</v>
      </c>
      <c r="X815" s="277">
        <f t="shared" si="23"/>
        <v>1246925</v>
      </c>
      <c r="Y815" s="277">
        <f t="shared" si="23"/>
        <v>7389400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1086.3300000000002</v>
      </c>
      <c r="D816" s="277">
        <f>CE61</f>
        <v>9051273</v>
      </c>
      <c r="E816" s="277">
        <f>CE62</f>
        <v>2392363</v>
      </c>
      <c r="F816" s="277">
        <f>CE63</f>
        <v>2038734</v>
      </c>
      <c r="G816" s="277">
        <f>CE64</f>
        <v>1596631</v>
      </c>
      <c r="H816" s="280">
        <f>CE65</f>
        <v>294964</v>
      </c>
      <c r="I816" s="280">
        <f>CE66</f>
        <v>2814999</v>
      </c>
      <c r="J816" s="280">
        <f>CE67</f>
        <v>1283640</v>
      </c>
      <c r="K816" s="280">
        <f>CE68</f>
        <v>13716</v>
      </c>
      <c r="L816" s="280">
        <f>CE69</f>
        <v>1599285</v>
      </c>
      <c r="M816" s="280">
        <f>CE70</f>
        <v>228148</v>
      </c>
      <c r="N816" s="277">
        <f>CE75</f>
        <v>29061684.57</v>
      </c>
      <c r="O816" s="277">
        <f>CE73</f>
        <v>6744987</v>
      </c>
      <c r="P816" s="277">
        <f>CE76</f>
        <v>65736</v>
      </c>
      <c r="Q816" s="277">
        <f>CE77</f>
        <v>5485</v>
      </c>
      <c r="R816" s="277">
        <f>CE78</f>
        <v>8280</v>
      </c>
      <c r="S816" s="277">
        <f>CE79</f>
        <v>0.06</v>
      </c>
      <c r="T816" s="281">
        <f>CE80</f>
        <v>16.27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7389400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9051273</v>
      </c>
      <c r="E817" s="180">
        <f>C379</f>
        <v>2392363</v>
      </c>
      <c r="F817" s="180">
        <f>C380</f>
        <v>2038734</v>
      </c>
      <c r="G817" s="240">
        <f>C381</f>
        <v>1596631</v>
      </c>
      <c r="H817" s="240">
        <f>C382</f>
        <v>294964</v>
      </c>
      <c r="I817" s="240">
        <f>C383</f>
        <v>2814999</v>
      </c>
      <c r="J817" s="240">
        <f>C384</f>
        <v>1283640</v>
      </c>
      <c r="K817" s="240">
        <f>C385</f>
        <v>13716</v>
      </c>
      <c r="L817" s="240">
        <f>C386+C387+C388+C389</f>
        <v>1599285</v>
      </c>
      <c r="M817" s="240">
        <f>C370</f>
        <v>228148</v>
      </c>
      <c r="N817" s="180">
        <f>D361</f>
        <v>29061685</v>
      </c>
      <c r="O817" s="180">
        <f>C359</f>
        <v>6744987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7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M44"/>
  <sheetViews>
    <sheetView showGridLines="0" zoomScale="75" workbookViewId="0">
      <selection activeCell="V35" sqref="V35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Skyline Health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H-096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211 Skyline Drive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PO Box 99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White Salmon, WA  98672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H-96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Skyline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Robb Kimmes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Brenda Schneider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Julieit Pouillon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509-493-1101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509-493-4607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148</v>
      </c>
      <c r="G23" s="21">
        <f>data!D111</f>
        <v>568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76</v>
      </c>
      <c r="G24" s="21">
        <f>data!D112</f>
        <v>1168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6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17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1246925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Skyline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100</v>
      </c>
      <c r="C7" s="48">
        <f>data!B139</f>
        <v>389</v>
      </c>
      <c r="D7" s="48">
        <f>data!B140</f>
        <v>7320</v>
      </c>
      <c r="E7" s="48">
        <f>data!B141</f>
        <v>1859278</v>
      </c>
      <c r="F7" s="48">
        <f>data!B142</f>
        <v>8059387</v>
      </c>
      <c r="G7" s="48">
        <f>data!B141+data!B142</f>
        <v>9918665</v>
      </c>
    </row>
    <row r="8" spans="1:13" ht="20.149999999999999" customHeight="1" x14ac:dyDescent="0.35">
      <c r="A8" s="23" t="s">
        <v>297</v>
      </c>
      <c r="B8" s="48">
        <f>data!C138</f>
        <v>19</v>
      </c>
      <c r="C8" s="48">
        <f>data!C139</f>
        <v>70</v>
      </c>
      <c r="D8" s="48">
        <f>data!C140</f>
        <v>5286</v>
      </c>
      <c r="E8" s="48">
        <f>data!C141</f>
        <v>424958</v>
      </c>
      <c r="F8" s="48">
        <f>data!C142</f>
        <v>5983651</v>
      </c>
      <c r="G8" s="48">
        <f>data!C141+data!C142</f>
        <v>6408609</v>
      </c>
    </row>
    <row r="9" spans="1:13" ht="20.149999999999999" customHeight="1" x14ac:dyDescent="0.35">
      <c r="A9" s="23" t="s">
        <v>1058</v>
      </c>
      <c r="B9" s="48">
        <f>data!D138</f>
        <v>29</v>
      </c>
      <c r="C9" s="48">
        <f>data!D139</f>
        <v>109</v>
      </c>
      <c r="D9" s="48">
        <f>data!D140</f>
        <v>13968</v>
      </c>
      <c r="E9" s="48">
        <f>data!D141</f>
        <v>637829</v>
      </c>
      <c r="F9" s="48">
        <f>data!D142</f>
        <v>8273660</v>
      </c>
      <c r="G9" s="48">
        <f>data!D141+data!D142</f>
        <v>8911489</v>
      </c>
    </row>
    <row r="10" spans="1:13" ht="20.149999999999999" customHeight="1" x14ac:dyDescent="0.35">
      <c r="A10" s="111" t="s">
        <v>203</v>
      </c>
      <c r="B10" s="48">
        <f>data!E138</f>
        <v>148</v>
      </c>
      <c r="C10" s="48">
        <f>data!E139</f>
        <v>568</v>
      </c>
      <c r="D10" s="48">
        <f>data!E140</f>
        <v>26574</v>
      </c>
      <c r="E10" s="48">
        <f>data!E141</f>
        <v>2922065</v>
      </c>
      <c r="F10" s="48">
        <f>data!E142</f>
        <v>22316698</v>
      </c>
      <c r="G10" s="48">
        <f>data!E141+data!E142</f>
        <v>25238763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63</v>
      </c>
      <c r="C16" s="48">
        <f>data!B145</f>
        <v>987</v>
      </c>
      <c r="D16" s="48">
        <f>data!B146</f>
        <v>0</v>
      </c>
      <c r="E16" s="48">
        <f>data!B147</f>
        <v>3704438</v>
      </c>
      <c r="F16" s="48">
        <f>data!B148</f>
        <v>0</v>
      </c>
      <c r="G16" s="48">
        <f>data!B147+data!B148</f>
        <v>3704438</v>
      </c>
    </row>
    <row r="17" spans="1:7" ht="20.149999999999999" customHeight="1" x14ac:dyDescent="0.35">
      <c r="A17" s="23" t="s">
        <v>297</v>
      </c>
      <c r="B17" s="48">
        <f>data!C144</f>
        <v>1</v>
      </c>
      <c r="C17" s="48">
        <f>data!C145</f>
        <v>15</v>
      </c>
      <c r="D17" s="48">
        <f>data!C146</f>
        <v>0</v>
      </c>
      <c r="E17" s="48">
        <f>data!C147</f>
        <v>37722</v>
      </c>
      <c r="F17" s="48">
        <f>data!C148</f>
        <v>0</v>
      </c>
      <c r="G17" s="48">
        <f>data!C147+data!C148</f>
        <v>37722</v>
      </c>
    </row>
    <row r="18" spans="1:7" ht="20.149999999999999" customHeight="1" x14ac:dyDescent="0.35">
      <c r="A18" s="23" t="s">
        <v>1058</v>
      </c>
      <c r="B18" s="48">
        <f>data!D144</f>
        <v>12</v>
      </c>
      <c r="C18" s="48">
        <f>data!D145</f>
        <v>166</v>
      </c>
      <c r="D18" s="48">
        <f>data!D146</f>
        <v>0</v>
      </c>
      <c r="E18" s="48">
        <f>data!D147</f>
        <v>80762</v>
      </c>
      <c r="F18" s="48">
        <f>data!D148</f>
        <v>0</v>
      </c>
      <c r="G18" s="48">
        <f>data!D147+data!D148</f>
        <v>80762</v>
      </c>
    </row>
    <row r="19" spans="1:7" ht="20.149999999999999" customHeight="1" x14ac:dyDescent="0.35">
      <c r="A19" s="111" t="s">
        <v>203</v>
      </c>
      <c r="B19" s="48">
        <f>data!E144</f>
        <v>76</v>
      </c>
      <c r="C19" s="48">
        <f>data!E145</f>
        <v>1168</v>
      </c>
      <c r="D19" s="48">
        <f>data!E146</f>
        <v>0</v>
      </c>
      <c r="E19" s="48">
        <f>data!E147</f>
        <v>3822922</v>
      </c>
      <c r="F19" s="48">
        <f>data!E148</f>
        <v>0</v>
      </c>
      <c r="G19" s="48">
        <f>data!E147+data!E148</f>
        <v>3822922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3916730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3305180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Skyline Health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0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0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13716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13716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76866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94892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171758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14334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165363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179697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1102279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1102279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Skyline Health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474331</v>
      </c>
      <c r="D7" s="21">
        <f>data!C195</f>
        <v>0</v>
      </c>
      <c r="E7" s="21">
        <f>data!D195</f>
        <v>0</v>
      </c>
      <c r="F7" s="21">
        <f>data!E195</f>
        <v>474331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503985</v>
      </c>
      <c r="D8" s="21">
        <f>data!C196</f>
        <v>0</v>
      </c>
      <c r="E8" s="21">
        <f>data!D196</f>
        <v>304123</v>
      </c>
      <c r="F8" s="21">
        <f>data!E196</f>
        <v>199862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18265939</v>
      </c>
      <c r="D9" s="21">
        <f>data!C197</f>
        <v>7542262</v>
      </c>
      <c r="E9" s="21">
        <f>data!D197</f>
        <v>0</v>
      </c>
      <c r="F9" s="21">
        <f>data!E197</f>
        <v>25808201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928389</v>
      </c>
      <c r="D11" s="21">
        <f>data!C199</f>
        <v>5529</v>
      </c>
      <c r="E11" s="21">
        <f>data!D199</f>
        <v>590576</v>
      </c>
      <c r="F11" s="21">
        <f>data!E199</f>
        <v>343342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6070446</v>
      </c>
      <c r="D12" s="21">
        <f>data!C200</f>
        <v>210012</v>
      </c>
      <c r="E12" s="21">
        <f>data!D200</f>
        <v>41285</v>
      </c>
      <c r="F12" s="21">
        <f>data!E200</f>
        <v>6239173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3892726</v>
      </c>
      <c r="D15" s="21">
        <f>data!C203</f>
        <v>3615692</v>
      </c>
      <c r="E15" s="21">
        <f>data!D203</f>
        <v>6504163</v>
      </c>
      <c r="F15" s="21">
        <f>data!E203</f>
        <v>1004255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30135816</v>
      </c>
      <c r="D16" s="21">
        <f>data!C204</f>
        <v>11373495</v>
      </c>
      <c r="E16" s="21">
        <f>data!D204</f>
        <v>7440147</v>
      </c>
      <c r="F16" s="21">
        <f>data!E204</f>
        <v>34069164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198749</v>
      </c>
      <c r="D24" s="21">
        <f>data!C209</f>
        <v>20002</v>
      </c>
      <c r="E24" s="21">
        <f>data!D209</f>
        <v>0</v>
      </c>
      <c r="F24" s="21">
        <f>data!E209</f>
        <v>218751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9765269</v>
      </c>
      <c r="D25" s="21">
        <f>data!C210</f>
        <v>1030086</v>
      </c>
      <c r="E25" s="21">
        <f>data!D210</f>
        <v>0</v>
      </c>
      <c r="F25" s="21">
        <f>data!E210</f>
        <v>10795355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406079</v>
      </c>
      <c r="D27" s="21">
        <f>data!C212</f>
        <v>26607</v>
      </c>
      <c r="E27" s="21">
        <f>data!D212</f>
        <v>0</v>
      </c>
      <c r="F27" s="21">
        <f>data!E212</f>
        <v>432686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5350416</v>
      </c>
      <c r="D28" s="21">
        <f>data!C213</f>
        <v>206945</v>
      </c>
      <c r="E28" s="21">
        <f>data!D213</f>
        <v>41285</v>
      </c>
      <c r="F28" s="21">
        <f>data!E213</f>
        <v>5516076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15720513</v>
      </c>
      <c r="D32" s="21">
        <f>data!C217</f>
        <v>1283640</v>
      </c>
      <c r="E32" s="21">
        <f>data!D217</f>
        <v>41285</v>
      </c>
      <c r="F32" s="21">
        <f>data!E217</f>
        <v>16962868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Skyline Health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531394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2567270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3327238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83304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3278137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9255949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77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19126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95168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114294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193526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67838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10163001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Skyline Health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10324968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9543672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6080964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636842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171408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199221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14795147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1708037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1708037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474331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199862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25808201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343342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6239173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1004255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34069164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16962869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17106295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33609479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Skyline Health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1434987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1029893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5483106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0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545000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8492986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88712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19040000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665304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19794016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545000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19249016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5867477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5867477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33609479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Skyline Health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6744987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22316698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29061685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531394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9255949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114294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261364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10163001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18898684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228148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1596639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1824787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20723471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9051273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2392363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2038734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1596631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294964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2814999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1283640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13716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171758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179697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1102279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145551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21085605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-362134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4340467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3978333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3978333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Skyline Health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568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22.89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2137915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565077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5722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54933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262043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197303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1891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18472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3243356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2007</v>
      </c>
      <c r="D23" s="48">
        <f>+data!M669</f>
        <v>0</v>
      </c>
      <c r="E23" s="48">
        <f>+data!M670</f>
        <v>2174065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22590</v>
      </c>
      <c r="D24" s="14">
        <f>data!D73</f>
        <v>0</v>
      </c>
      <c r="E24" s="14">
        <f>data!E73</f>
        <v>1597809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3765</v>
      </c>
      <c r="D25" s="14">
        <f>data!D74</f>
        <v>0</v>
      </c>
      <c r="E25" s="14">
        <f>data!E74</f>
        <v>231694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26355</v>
      </c>
      <c r="D26" s="14">
        <f>data!D75</f>
        <v>0</v>
      </c>
      <c r="E26" s="14">
        <f>data!E75</f>
        <v>1829503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10104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5330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1221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11.48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Skyline Health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1168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419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0.83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5.07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35137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450016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9287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118945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43326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880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94418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74535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2603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44424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784723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202184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523669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2575997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7113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1548602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2575997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1555715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3817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480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2.5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Skyline Health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16780</v>
      </c>
      <c r="E73" s="212"/>
      <c r="F73" s="212"/>
      <c r="G73" s="14">
        <f>data!U59</f>
        <v>27226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5.03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383101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101258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391463</v>
      </c>
      <c r="E77" s="14">
        <f>data!S63</f>
        <v>0</v>
      </c>
      <c r="F77" s="14">
        <f>data!T63</f>
        <v>0</v>
      </c>
      <c r="G77" s="14">
        <f>data!U63</f>
        <v>10800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1302</v>
      </c>
      <c r="E78" s="14">
        <f>data!S64</f>
        <v>159293</v>
      </c>
      <c r="F78" s="14">
        <f>data!T64</f>
        <v>0</v>
      </c>
      <c r="G78" s="14">
        <f>data!U64</f>
        <v>337384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-135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1787</v>
      </c>
      <c r="E80" s="14">
        <f>data!S66</f>
        <v>0</v>
      </c>
      <c r="F80" s="14">
        <f>data!T66</f>
        <v>0</v>
      </c>
      <c r="G80" s="14">
        <f>data!U66</f>
        <v>525691</v>
      </c>
      <c r="H80" s="14">
        <f>data!V66</f>
        <v>0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22320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1802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1465</v>
      </c>
      <c r="F83" s="14">
        <f>data!T69</f>
        <v>0</v>
      </c>
      <c r="G83" s="14">
        <f>data!U69</f>
        <v>7925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394417</v>
      </c>
      <c r="E85" s="14">
        <f>data!S71</f>
        <v>162560</v>
      </c>
      <c r="F85" s="14">
        <f>data!T71</f>
        <v>0</v>
      </c>
      <c r="G85" s="14">
        <f>data!U71</f>
        <v>1388479</v>
      </c>
      <c r="H85" s="14">
        <f>data!V71</f>
        <v>0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1658</v>
      </c>
      <c r="D87" s="48">
        <f>+data!M683</f>
        <v>84739</v>
      </c>
      <c r="E87" s="48">
        <f>+data!M684</f>
        <v>62050</v>
      </c>
      <c r="F87" s="48">
        <f>+data!M685</f>
        <v>0</v>
      </c>
      <c r="G87" s="48">
        <f>+data!M686</f>
        <v>483043</v>
      </c>
      <c r="H87" s="48">
        <f>+data!M687</f>
        <v>0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1156</v>
      </c>
      <c r="D88" s="14">
        <f>data!R73</f>
        <v>14821</v>
      </c>
      <c r="E88" s="14">
        <f>data!S73</f>
        <v>110332</v>
      </c>
      <c r="F88" s="14">
        <f>data!T73</f>
        <v>0</v>
      </c>
      <c r="G88" s="14">
        <f>data!U73</f>
        <v>311996</v>
      </c>
      <c r="H88" s="14">
        <f>data!V73</f>
        <v>0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20613</v>
      </c>
      <c r="D89" s="14">
        <f>data!R74</f>
        <v>421857</v>
      </c>
      <c r="E89" s="14">
        <f>data!S74</f>
        <v>187721</v>
      </c>
      <c r="F89" s="14">
        <f>data!T74</f>
        <v>0</v>
      </c>
      <c r="G89" s="14">
        <f>data!U74</f>
        <v>2320472</v>
      </c>
      <c r="H89" s="14">
        <f>data!V74</f>
        <v>0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21769</v>
      </c>
      <c r="D90" s="14">
        <f>data!R75</f>
        <v>436678</v>
      </c>
      <c r="E90" s="14">
        <f>data!S75</f>
        <v>298053</v>
      </c>
      <c r="F90" s="14">
        <f>data!T75</f>
        <v>0</v>
      </c>
      <c r="G90" s="14">
        <f>data!U75</f>
        <v>2632468</v>
      </c>
      <c r="H90" s="14">
        <f>data!V75</f>
        <v>0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1143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368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Skyline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8335</v>
      </c>
      <c r="E105" s="14">
        <f>data!Z59</f>
        <v>0</v>
      </c>
      <c r="F105" s="14">
        <f>data!AA59</f>
        <v>0</v>
      </c>
      <c r="G105" s="212"/>
      <c r="H105" s="14">
        <f>data!AC59</f>
        <v>933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5.47</v>
      </c>
      <c r="E106" s="26">
        <f>data!Z60</f>
        <v>0</v>
      </c>
      <c r="F106" s="26">
        <f>data!AA60</f>
        <v>0</v>
      </c>
      <c r="G106" s="26">
        <f>data!AB60</f>
        <v>2.4</v>
      </c>
      <c r="H106" s="26">
        <f>data!AC60</f>
        <v>1.48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455512</v>
      </c>
      <c r="E107" s="14">
        <f>data!Z61</f>
        <v>0</v>
      </c>
      <c r="F107" s="14">
        <f>data!AA61</f>
        <v>0</v>
      </c>
      <c r="G107" s="14">
        <f>data!AB61</f>
        <v>245678</v>
      </c>
      <c r="H107" s="14">
        <f>data!AC61</f>
        <v>133626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120397</v>
      </c>
      <c r="E108" s="14">
        <f>data!Z62</f>
        <v>0</v>
      </c>
      <c r="F108" s="14">
        <f>data!AA62</f>
        <v>0</v>
      </c>
      <c r="G108" s="14">
        <f>data!AB62</f>
        <v>64936</v>
      </c>
      <c r="H108" s="14">
        <f>data!AC62</f>
        <v>35319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245299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45181</v>
      </c>
      <c r="E110" s="14">
        <f>data!Z64</f>
        <v>0</v>
      </c>
      <c r="F110" s="14">
        <f>data!AA64</f>
        <v>0</v>
      </c>
      <c r="G110" s="14">
        <f>data!AB64</f>
        <v>493598</v>
      </c>
      <c r="H110" s="14">
        <f>data!AC64</f>
        <v>2496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5588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565395</v>
      </c>
      <c r="E112" s="14">
        <f>data!Z66</f>
        <v>0</v>
      </c>
      <c r="F112" s="14">
        <f>data!AA66</f>
        <v>0</v>
      </c>
      <c r="G112" s="14">
        <f>data!AB66</f>
        <v>65066</v>
      </c>
      <c r="H112" s="14">
        <f>data!AC66</f>
        <v>5748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95019</v>
      </c>
      <c r="E113" s="14">
        <f>data!Z67</f>
        <v>0</v>
      </c>
      <c r="F113" s="14">
        <f>data!AA67</f>
        <v>0</v>
      </c>
      <c r="G113" s="14">
        <f>data!AB67</f>
        <v>11209</v>
      </c>
      <c r="H113" s="14">
        <f>data!AC67</f>
        <v>6815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1738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4961</v>
      </c>
      <c r="E115" s="14">
        <f>data!Z69</f>
        <v>0</v>
      </c>
      <c r="F115" s="14">
        <f>data!AA69</f>
        <v>0</v>
      </c>
      <c r="G115" s="14">
        <f>data!AB69</f>
        <v>15866</v>
      </c>
      <c r="H115" s="14">
        <f>data!AC69</f>
        <v>137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1537352</v>
      </c>
      <c r="E117" s="14">
        <f>data!Z71</f>
        <v>0</v>
      </c>
      <c r="F117" s="14">
        <f>data!AA71</f>
        <v>0</v>
      </c>
      <c r="G117" s="14">
        <f>data!AB71</f>
        <v>896353</v>
      </c>
      <c r="H117" s="14">
        <f>data!AC71</f>
        <v>185879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966720</v>
      </c>
      <c r="E119" s="48">
        <f>+data!M691</f>
        <v>0</v>
      </c>
      <c r="F119" s="48">
        <f>+data!M692</f>
        <v>0</v>
      </c>
      <c r="G119" s="48">
        <f>+data!M693</f>
        <v>424180</v>
      </c>
      <c r="H119" s="48">
        <f>+data!M694</f>
        <v>95209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335530</v>
      </c>
      <c r="E120" s="14">
        <f>data!Z73</f>
        <v>0</v>
      </c>
      <c r="F120" s="14">
        <f>data!AA73</f>
        <v>0</v>
      </c>
      <c r="G120" s="14">
        <f>data!AB73</f>
        <v>788217</v>
      </c>
      <c r="H120" s="14">
        <f>data!AC73</f>
        <v>157655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6881776</v>
      </c>
      <c r="E121" s="14">
        <f>data!Z74</f>
        <v>0</v>
      </c>
      <c r="F121" s="14">
        <f>data!AA74</f>
        <v>0</v>
      </c>
      <c r="G121" s="14">
        <f>data!AB74</f>
        <v>2170545</v>
      </c>
      <c r="H121" s="14">
        <f>data!AC74</f>
        <v>565297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7217306</v>
      </c>
      <c r="E122" s="14">
        <f>data!Z75</f>
        <v>0</v>
      </c>
      <c r="F122" s="14">
        <f>data!AA75</f>
        <v>0</v>
      </c>
      <c r="G122" s="14">
        <f>data!AB75</f>
        <v>2958762</v>
      </c>
      <c r="H122" s="14">
        <f>data!AC75</f>
        <v>722952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4866</v>
      </c>
      <c r="E124" s="14">
        <f>data!Z76</f>
        <v>0</v>
      </c>
      <c r="F124" s="14">
        <f>data!AA76</f>
        <v>0</v>
      </c>
      <c r="G124" s="14">
        <f>data!AB76</f>
        <v>574</v>
      </c>
      <c r="H124" s="14">
        <f>data!AC76</f>
        <v>349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441</v>
      </c>
      <c r="E126" s="14">
        <f>data!Z78</f>
        <v>0</v>
      </c>
      <c r="F126" s="14">
        <f>data!AA78</f>
        <v>0</v>
      </c>
      <c r="G126" s="14">
        <f>data!AB78</f>
        <v>60</v>
      </c>
      <c r="H126" s="14">
        <f>data!AC78</f>
        <v>36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Skyline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7805</v>
      </c>
      <c r="D137" s="14">
        <f>data!AF59</f>
        <v>0</v>
      </c>
      <c r="E137" s="14">
        <f>data!AG59</f>
        <v>3453</v>
      </c>
      <c r="F137" s="14">
        <f>data!AH59</f>
        <v>0</v>
      </c>
      <c r="G137" s="14">
        <f>data!AI59</f>
        <v>0</v>
      </c>
      <c r="H137" s="14">
        <f>data!AJ59</f>
        <v>4051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987</v>
      </c>
      <c r="D138" s="26">
        <f>data!AF60</f>
        <v>0</v>
      </c>
      <c r="E138" s="26">
        <f>data!AG60</f>
        <v>5.08</v>
      </c>
      <c r="F138" s="26">
        <f>data!AH60</f>
        <v>0</v>
      </c>
      <c r="G138" s="26">
        <f>data!AI60</f>
        <v>0</v>
      </c>
      <c r="H138" s="26">
        <f>data!AJ60</f>
        <v>11.4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818360</v>
      </c>
      <c r="D139" s="14">
        <f>data!AF61</f>
        <v>0</v>
      </c>
      <c r="E139" s="14">
        <f>data!AG61</f>
        <v>443915</v>
      </c>
      <c r="F139" s="14">
        <f>data!AH61</f>
        <v>0</v>
      </c>
      <c r="G139" s="14">
        <f>data!AI61</f>
        <v>0</v>
      </c>
      <c r="H139" s="14">
        <f>data!AJ61</f>
        <v>1018565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216302</v>
      </c>
      <c r="D140" s="14">
        <f>data!AF62</f>
        <v>0</v>
      </c>
      <c r="E140" s="14">
        <f>data!AG62</f>
        <v>117332</v>
      </c>
      <c r="F140" s="14">
        <f>data!AH62</f>
        <v>0</v>
      </c>
      <c r="G140" s="14">
        <f>data!AI62</f>
        <v>0</v>
      </c>
      <c r="H140" s="14">
        <f>data!AJ62</f>
        <v>269219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1385450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12633</v>
      </c>
      <c r="D142" s="14">
        <f>data!AF64</f>
        <v>0</v>
      </c>
      <c r="E142" s="14">
        <f>data!AG64</f>
        <v>41611</v>
      </c>
      <c r="F142" s="14">
        <f>data!AH64</f>
        <v>0</v>
      </c>
      <c r="G142" s="14">
        <f>data!AI64</f>
        <v>0</v>
      </c>
      <c r="H142" s="14">
        <f>data!AJ64</f>
        <v>124498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3242</v>
      </c>
      <c r="D143" s="14">
        <f>data!AF65</f>
        <v>0</v>
      </c>
      <c r="E143" s="14">
        <f>data!AG65</f>
        <v>960</v>
      </c>
      <c r="F143" s="14">
        <f>data!AH65</f>
        <v>0</v>
      </c>
      <c r="G143" s="14">
        <f>data!AI65</f>
        <v>0</v>
      </c>
      <c r="H143" s="14">
        <f>data!AJ65</f>
        <v>2467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12125</v>
      </c>
      <c r="D144" s="14">
        <f>data!AF66</f>
        <v>0</v>
      </c>
      <c r="E144" s="14">
        <f>data!AG66</f>
        <v>48974</v>
      </c>
      <c r="F144" s="14">
        <f>data!AH66</f>
        <v>0</v>
      </c>
      <c r="G144" s="14">
        <f>data!AI66</f>
        <v>0</v>
      </c>
      <c r="H144" s="14">
        <f>data!AJ66</f>
        <v>13972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63659</v>
      </c>
      <c r="D145" s="14">
        <f>data!AF67</f>
        <v>0</v>
      </c>
      <c r="E145" s="14">
        <f>data!AG67</f>
        <v>112769</v>
      </c>
      <c r="F145" s="14">
        <f>data!AH67</f>
        <v>0</v>
      </c>
      <c r="G145" s="14">
        <f>data!AI67</f>
        <v>0</v>
      </c>
      <c r="H145" s="14">
        <f>data!AJ67</f>
        <v>104412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75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3183</v>
      </c>
      <c r="D147" s="14">
        <f>data!AF69</f>
        <v>0</v>
      </c>
      <c r="E147" s="14">
        <f>data!AG69</f>
        <v>2859</v>
      </c>
      <c r="F147" s="14">
        <f>data!AH69</f>
        <v>0</v>
      </c>
      <c r="G147" s="14">
        <f>data!AI69</f>
        <v>0</v>
      </c>
      <c r="H147" s="14">
        <f>data!AJ69</f>
        <v>13932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1129504</v>
      </c>
      <c r="D149" s="14">
        <f>data!AF71</f>
        <v>0</v>
      </c>
      <c r="E149" s="14">
        <f>data!AG71</f>
        <v>2153870</v>
      </c>
      <c r="F149" s="14">
        <f>data!AH71</f>
        <v>0</v>
      </c>
      <c r="G149" s="14">
        <f>data!AI71</f>
        <v>0</v>
      </c>
      <c r="H149" s="14">
        <f>data!AJ71</f>
        <v>1547140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703109</v>
      </c>
      <c r="D151" s="48">
        <f>+data!M697</f>
        <v>0</v>
      </c>
      <c r="E151" s="48">
        <f>+data!M698</f>
        <v>1077059</v>
      </c>
      <c r="F151" s="48">
        <f>+data!M699</f>
        <v>0</v>
      </c>
      <c r="G151" s="48">
        <f>+data!M700</f>
        <v>0</v>
      </c>
      <c r="H151" s="48">
        <f>+data!M701</f>
        <v>589708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686983</v>
      </c>
      <c r="D152" s="14">
        <f>data!AF73</f>
        <v>0</v>
      </c>
      <c r="E152" s="14">
        <f>data!AG73</f>
        <v>133402</v>
      </c>
      <c r="F152" s="14">
        <f>data!AH73</f>
        <v>0</v>
      </c>
      <c r="G152" s="14">
        <f>data!AI73</f>
        <v>0</v>
      </c>
      <c r="H152" s="14">
        <f>data!AJ73</f>
        <v>1386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1581726</v>
      </c>
      <c r="D153" s="14">
        <f>data!AF74</f>
        <v>0</v>
      </c>
      <c r="E153" s="14">
        <f>data!AG74</f>
        <v>4964086</v>
      </c>
      <c r="F153" s="14">
        <f>data!AH74</f>
        <v>0</v>
      </c>
      <c r="G153" s="14">
        <f>data!AI74</f>
        <v>0</v>
      </c>
      <c r="H153" s="14">
        <f>data!AJ74</f>
        <v>1418543.57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2268709</v>
      </c>
      <c r="D154" s="14">
        <f>data!AF75</f>
        <v>0</v>
      </c>
      <c r="E154" s="14">
        <f>data!AG75</f>
        <v>5097488</v>
      </c>
      <c r="F154" s="14">
        <f>data!AH75</f>
        <v>0</v>
      </c>
      <c r="G154" s="14">
        <f>data!AI75</f>
        <v>0</v>
      </c>
      <c r="H154" s="14">
        <f>data!AJ75</f>
        <v>1419929.57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3260</v>
      </c>
      <c r="D156" s="14">
        <f>data!AF76</f>
        <v>0</v>
      </c>
      <c r="E156" s="14">
        <f>data!AG76</f>
        <v>5775</v>
      </c>
      <c r="F156" s="14">
        <f>data!AH76</f>
        <v>0</v>
      </c>
      <c r="G156" s="14">
        <f>data!AI76</f>
        <v>0</v>
      </c>
      <c r="H156" s="14">
        <f>data!AJ76</f>
        <v>5347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155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176</v>
      </c>
      <c r="D158" s="14">
        <f>data!AF78</f>
        <v>0</v>
      </c>
      <c r="E158" s="14">
        <f>data!AG78</f>
        <v>968</v>
      </c>
      <c r="F158" s="14">
        <f>data!AH78</f>
        <v>0</v>
      </c>
      <c r="G158" s="14">
        <f>data!AI78</f>
        <v>0</v>
      </c>
      <c r="H158" s="14">
        <f>data!AJ78</f>
        <v>1153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2.29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Skyline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Skyline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5485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4.49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193270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51084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116577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2413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52216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2571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122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418253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2674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Skyline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65736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3.71</v>
      </c>
      <c r="I234" s="26">
        <f>data!BF60</f>
        <v>5.97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120476</v>
      </c>
      <c r="H235" s="14">
        <f>data!BE61</f>
        <v>277716</v>
      </c>
      <c r="I235" s="14">
        <f>data!BF61</f>
        <v>219516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31843</v>
      </c>
      <c r="H236" s="14">
        <f>data!BE62</f>
        <v>73404</v>
      </c>
      <c r="I236" s="14">
        <f>data!BF62</f>
        <v>58021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7115</v>
      </c>
      <c r="E238" s="14">
        <f>data!BB64</f>
        <v>0</v>
      </c>
      <c r="F238" s="14">
        <f>data!BC64</f>
        <v>0</v>
      </c>
      <c r="G238" s="14">
        <f>data!BD64</f>
        <v>895</v>
      </c>
      <c r="H238" s="14">
        <f>data!BE64</f>
        <v>25197</v>
      </c>
      <c r="I238" s="14">
        <f>data!BF64</f>
        <v>25905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195032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114951</v>
      </c>
      <c r="I240" s="14">
        <f>data!BF66</f>
        <v>0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3046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124369</v>
      </c>
      <c r="I241" s="14">
        <f>data!BF67</f>
        <v>15348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8014</v>
      </c>
      <c r="I243" s="14">
        <f>data!BF69</f>
        <v>65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10161</v>
      </c>
      <c r="E245" s="14">
        <f>data!BB71</f>
        <v>0</v>
      </c>
      <c r="F245" s="14">
        <f>data!BC71</f>
        <v>0</v>
      </c>
      <c r="G245" s="14">
        <f>data!BD71</f>
        <v>153214</v>
      </c>
      <c r="H245" s="14">
        <f>data!BE71</f>
        <v>818683</v>
      </c>
      <c r="I245" s="14">
        <f>data!BF71</f>
        <v>318855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156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6369</v>
      </c>
      <c r="I252" s="85">
        <f>data!BF76</f>
        <v>786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3355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Skyline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4.1399999999999997</v>
      </c>
      <c r="E266" s="26">
        <f>data!BI60</f>
        <v>0</v>
      </c>
      <c r="F266" s="26">
        <f>data!BJ60</f>
        <v>2.48</v>
      </c>
      <c r="G266" s="26">
        <f>data!BK60</f>
        <v>5.59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382380</v>
      </c>
      <c r="E267" s="14">
        <f>data!BI61</f>
        <v>0</v>
      </c>
      <c r="F267" s="14">
        <f>data!BJ61</f>
        <v>261164</v>
      </c>
      <c r="G267" s="14">
        <f>data!BK61</f>
        <v>233416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101068</v>
      </c>
      <c r="E268" s="14">
        <f>data!BI62</f>
        <v>0</v>
      </c>
      <c r="F268" s="14">
        <f>data!BJ62</f>
        <v>69029</v>
      </c>
      <c r="G268" s="14">
        <f>data!BK62</f>
        <v>61695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25709</v>
      </c>
      <c r="E270" s="14">
        <f>data!BI64</f>
        <v>0</v>
      </c>
      <c r="F270" s="14">
        <f>data!BJ64</f>
        <v>18</v>
      </c>
      <c r="G270" s="14">
        <f>data!BK64</f>
        <v>12530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79373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552158</v>
      </c>
      <c r="E272" s="14">
        <f>data!BI66</f>
        <v>0</v>
      </c>
      <c r="F272" s="14">
        <f>data!BJ66</f>
        <v>141739</v>
      </c>
      <c r="G272" s="14">
        <f>data!BK66</f>
        <v>44548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2980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622</v>
      </c>
      <c r="E275" s="14">
        <f>data!BI69</f>
        <v>0</v>
      </c>
      <c r="F275" s="14">
        <f>data!BJ69</f>
        <v>61</v>
      </c>
      <c r="G275" s="14">
        <f>data!BK69</f>
        <v>373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1141310</v>
      </c>
      <c r="E277" s="14">
        <f>data!BI71</f>
        <v>0</v>
      </c>
      <c r="F277" s="14">
        <f>data!BJ71</f>
        <v>472011</v>
      </c>
      <c r="G277" s="14">
        <f>data!BK71</f>
        <v>355542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Skyline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1.08</v>
      </c>
      <c r="D298" s="26">
        <f>data!BO60</f>
        <v>0</v>
      </c>
      <c r="E298" s="26">
        <f>data!BP60</f>
        <v>0.98</v>
      </c>
      <c r="F298" s="26">
        <f>data!BQ60</f>
        <v>0</v>
      </c>
      <c r="G298" s="26">
        <f>data!BR60</f>
        <v>1.82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207247</v>
      </c>
      <c r="D299" s="14">
        <f>data!BO61</f>
        <v>0</v>
      </c>
      <c r="E299" s="14">
        <f>data!BP61</f>
        <v>88588</v>
      </c>
      <c r="F299" s="14">
        <f>data!BQ61</f>
        <v>0</v>
      </c>
      <c r="G299" s="14">
        <f>data!BR61</f>
        <v>139740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54778</v>
      </c>
      <c r="D300" s="14">
        <f>data!BO62</f>
        <v>0</v>
      </c>
      <c r="E300" s="14">
        <f>data!BP62</f>
        <v>23415</v>
      </c>
      <c r="F300" s="14">
        <f>data!BQ62</f>
        <v>0</v>
      </c>
      <c r="G300" s="14">
        <f>data!BR62</f>
        <v>36935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3931</v>
      </c>
      <c r="D302" s="14">
        <f>data!BO64</f>
        <v>0</v>
      </c>
      <c r="E302" s="14">
        <f>data!BP64</f>
        <v>6383</v>
      </c>
      <c r="F302" s="14">
        <f>data!BQ64</f>
        <v>0</v>
      </c>
      <c r="G302" s="14">
        <f>data!BR64</f>
        <v>2913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5077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47392</v>
      </c>
      <c r="D304" s="14">
        <f>data!BO66</f>
        <v>0</v>
      </c>
      <c r="E304" s="14">
        <f>data!BP66</f>
        <v>107934</v>
      </c>
      <c r="F304" s="14">
        <f>data!BQ66</f>
        <v>0</v>
      </c>
      <c r="G304" s="14">
        <f>data!BR66</f>
        <v>55491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366369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1821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46342</v>
      </c>
      <c r="D307" s="14">
        <f>data!BO69</f>
        <v>0</v>
      </c>
      <c r="E307" s="14">
        <f>data!BP69</f>
        <v>1505</v>
      </c>
      <c r="F307" s="14">
        <f>data!BQ69</f>
        <v>0</v>
      </c>
      <c r="G307" s="14">
        <f>data!BR69</f>
        <v>995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732957</v>
      </c>
      <c r="D309" s="14">
        <f>data!BO71</f>
        <v>0</v>
      </c>
      <c r="E309" s="14">
        <f>data!BP71</f>
        <v>227825</v>
      </c>
      <c r="F309" s="14">
        <f>data!BQ71</f>
        <v>0</v>
      </c>
      <c r="G309" s="14">
        <f>data!BR71</f>
        <v>236074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18762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Skyline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2.0299999999999998</v>
      </c>
      <c r="E330" s="26">
        <f>data!BW60</f>
        <v>0</v>
      </c>
      <c r="F330" s="26">
        <f>data!BX60</f>
        <v>1.23</v>
      </c>
      <c r="G330" s="26">
        <f>data!BY60</f>
        <v>3.41</v>
      </c>
      <c r="H330" s="26">
        <f>data!BZ60</f>
        <v>0</v>
      </c>
      <c r="I330" s="26">
        <f>data!CA60</f>
        <v>0.13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80231</v>
      </c>
      <c r="E331" s="86">
        <f>data!BW61</f>
        <v>0</v>
      </c>
      <c r="F331" s="86">
        <f>data!BX61</f>
        <v>121879</v>
      </c>
      <c r="G331" s="86">
        <f>data!BY61</f>
        <v>392214</v>
      </c>
      <c r="H331" s="86">
        <f>data!BZ61</f>
        <v>0</v>
      </c>
      <c r="I331" s="86">
        <f>data!CA61</f>
        <v>11981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21206</v>
      </c>
      <c r="E332" s="86">
        <f>data!BW62</f>
        <v>0</v>
      </c>
      <c r="F332" s="86">
        <f>data!BX62</f>
        <v>32214</v>
      </c>
      <c r="G332" s="86">
        <f>data!BY62</f>
        <v>103667</v>
      </c>
      <c r="H332" s="86">
        <f>data!BZ62</f>
        <v>0</v>
      </c>
      <c r="I332" s="86">
        <f>data!CA62</f>
        <v>3167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2141</v>
      </c>
      <c r="E334" s="86">
        <f>data!BW64</f>
        <v>0</v>
      </c>
      <c r="F334" s="86">
        <f>data!BX64</f>
        <v>0</v>
      </c>
      <c r="G334" s="86">
        <f>data!BY64</f>
        <v>6971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2480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130757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19879</v>
      </c>
      <c r="E337" s="86">
        <f>data!BW67</f>
        <v>0</v>
      </c>
      <c r="F337" s="86">
        <f>data!BX67</f>
        <v>0</v>
      </c>
      <c r="G337" s="86">
        <f>data!BY67</f>
        <v>14372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838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2360</v>
      </c>
      <c r="E339" s="86">
        <f>data!BW69</f>
        <v>0</v>
      </c>
      <c r="F339" s="86">
        <f>data!BX69</f>
        <v>7230</v>
      </c>
      <c r="G339" s="86">
        <f>data!BY69</f>
        <v>1170</v>
      </c>
      <c r="H339" s="86">
        <f>data!BZ69</f>
        <v>0</v>
      </c>
      <c r="I339" s="86">
        <f>data!CA69</f>
        <v>1115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257412</v>
      </c>
      <c r="E341" s="14">
        <f>data!BW71</f>
        <v>0</v>
      </c>
      <c r="F341" s="14">
        <f>data!BX71</f>
        <v>161323</v>
      </c>
      <c r="G341" s="14">
        <f>data!BY71</f>
        <v>520874</v>
      </c>
      <c r="H341" s="14">
        <f>data!BZ71</f>
        <v>0</v>
      </c>
      <c r="I341" s="14">
        <f>data!CA71</f>
        <v>16263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1018</v>
      </c>
      <c r="E348" s="85">
        <f>data!BW76</f>
        <v>0</v>
      </c>
      <c r="F348" s="85">
        <f>data!BX76</f>
        <v>0</v>
      </c>
      <c r="G348" s="85">
        <f>data!BY76</f>
        <v>736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22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0.06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Skyline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1</v>
      </c>
      <c r="D362" s="26">
        <f>data!CC60</f>
        <v>1.62</v>
      </c>
      <c r="E362" s="217"/>
      <c r="F362" s="211"/>
      <c r="G362" s="211"/>
      <c r="H362" s="211"/>
      <c r="I362" s="87">
        <f>data!CE60</f>
        <v>1086.3300000000002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58192</v>
      </c>
      <c r="D363" s="86">
        <f>data!CC61</f>
        <v>141438</v>
      </c>
      <c r="E363" s="218"/>
      <c r="F363" s="219"/>
      <c r="G363" s="219"/>
      <c r="H363" s="219"/>
      <c r="I363" s="86">
        <f>data!CE61</f>
        <v>9051273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15381</v>
      </c>
      <c r="D364" s="86">
        <f>data!CC62</f>
        <v>37384</v>
      </c>
      <c r="E364" s="218"/>
      <c r="F364" s="219"/>
      <c r="G364" s="219"/>
      <c r="H364" s="219"/>
      <c r="I364" s="86">
        <f>data!CE62</f>
        <v>2392363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2038734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889</v>
      </c>
      <c r="D366" s="86">
        <f>data!CC64</f>
        <v>43202</v>
      </c>
      <c r="E366" s="218"/>
      <c r="F366" s="219"/>
      <c r="G366" s="219"/>
      <c r="H366" s="219"/>
      <c r="I366" s="86">
        <f>data!CE64</f>
        <v>1596631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294964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325</v>
      </c>
      <c r="D368" s="86">
        <f>data!CC66</f>
        <v>22072</v>
      </c>
      <c r="E368" s="218"/>
      <c r="F368" s="219"/>
      <c r="G368" s="219"/>
      <c r="H368" s="219"/>
      <c r="I368" s="86">
        <f>data!CE66</f>
        <v>2814999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1283640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13716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1004</v>
      </c>
      <c r="D371" s="86">
        <f>data!CC69</f>
        <v>3170</v>
      </c>
      <c r="E371" s="86">
        <f>data!CD69</f>
        <v>1453734</v>
      </c>
      <c r="F371" s="219"/>
      <c r="G371" s="219"/>
      <c r="H371" s="219"/>
      <c r="I371" s="86">
        <f>data!CE69</f>
        <v>1599285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228148</v>
      </c>
      <c r="F372" s="220"/>
      <c r="G372" s="220"/>
      <c r="H372" s="220"/>
      <c r="I372" s="14">
        <f>-data!CE70</f>
        <v>-228148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75791</v>
      </c>
      <c r="D373" s="86">
        <f>data!CC71</f>
        <v>247266</v>
      </c>
      <c r="E373" s="86">
        <f>data!CD71</f>
        <v>1225586</v>
      </c>
      <c r="F373" s="219"/>
      <c r="G373" s="219"/>
      <c r="H373" s="219"/>
      <c r="I373" s="14">
        <f>data!CE71</f>
        <v>20857457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-1596639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6744987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22316697.57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29061684.57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65736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5485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8280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0.06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16.27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6" transitionEvaluation="1" transitionEntry="1" codeName="Sheet10">
    <pageSetUpPr autoPageBreaks="0" fitToPage="1"/>
  </sheetPr>
  <dimension ref="A1:CH816"/>
  <sheetViews>
    <sheetView showGridLines="0" topLeftCell="A76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6" ht="12.65" customHeight="1" x14ac:dyDescent="0.35">
      <c r="A33" s="198" t="s">
        <v>1236</v>
      </c>
      <c r="C33" s="235"/>
    </row>
    <row r="34" spans="1:86" ht="12.65" customHeight="1" x14ac:dyDescent="0.35">
      <c r="A34" s="199" t="s">
        <v>9</v>
      </c>
      <c r="C34" s="235"/>
    </row>
    <row r="35" spans="1:86" ht="12.65" customHeight="1" x14ac:dyDescent="0.35">
      <c r="A35" s="199"/>
      <c r="C35" s="235"/>
    </row>
    <row r="36" spans="1:86" ht="12.65" customHeight="1" x14ac:dyDescent="0.35">
      <c r="A36" s="198" t="s">
        <v>1237</v>
      </c>
      <c r="C36" s="235"/>
    </row>
    <row r="37" spans="1:86" ht="12.65" customHeight="1" x14ac:dyDescent="0.35">
      <c r="A37" s="199" t="s">
        <v>1229</v>
      </c>
      <c r="C37" s="235"/>
    </row>
    <row r="38" spans="1:86" ht="12" customHeight="1" x14ac:dyDescent="0.35">
      <c r="A38" s="198"/>
      <c r="C38" s="235"/>
    </row>
    <row r="39" spans="1:86" ht="12.65" customHeight="1" x14ac:dyDescent="0.35">
      <c r="A39" s="199"/>
      <c r="C39" s="235"/>
    </row>
    <row r="40" spans="1:86" ht="12" customHeight="1" x14ac:dyDescent="0.35">
      <c r="A40" s="199"/>
      <c r="C40" s="235"/>
    </row>
    <row r="41" spans="1:86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6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6" ht="12" customHeight="1" x14ac:dyDescent="0.35">
      <c r="A43" s="199"/>
      <c r="C43" s="235"/>
      <c r="F43" s="181"/>
    </row>
    <row r="44" spans="1:86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  <c r="CG44" s="2"/>
      <c r="CH44" s="2"/>
    </row>
    <row r="45" spans="1:86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  <c r="CG45" s="2"/>
      <c r="CH45" s="2"/>
    </row>
    <row r="46" spans="1:86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  <c r="CG46" s="2"/>
      <c r="CH46" s="2"/>
    </row>
    <row r="47" spans="1:86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  <c r="CG47" s="2"/>
      <c r="CH47" s="2"/>
    </row>
    <row r="48" spans="1:86" ht="12.65" customHeight="1" x14ac:dyDescent="0.35">
      <c r="A48" s="295" t="s">
        <v>205</v>
      </c>
      <c r="B48" s="299">
        <f>2453805+1</f>
        <v>2453806</v>
      </c>
      <c r="C48" s="301">
        <f>ROUND(((B48/CE61)*C61),0)</f>
        <v>0</v>
      </c>
      <c r="D48" s="301">
        <f>ROUND(((B48/CE61)*D61),0)</f>
        <v>0</v>
      </c>
      <c r="E48" s="295">
        <f>ROUND(((B48/CE61)*E61),0)</f>
        <v>526925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6413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127700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0</v>
      </c>
      <c r="T48" s="295">
        <f>ROUND(((B48/CE61)*T61),0)</f>
        <v>0</v>
      </c>
      <c r="U48" s="295">
        <f>ROUND(((B48/CE61)*U61),0)</f>
        <v>114802</v>
      </c>
      <c r="V48" s="295">
        <f>ROUND(((B48/CE61)*V61),0)</f>
        <v>0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121878</v>
      </c>
      <c r="Z48" s="295">
        <f>ROUND(((B48/CE61)*Z61),0)</f>
        <v>0</v>
      </c>
      <c r="AA48" s="295">
        <f>ROUND(((B48/CE61)*AA61),0)</f>
        <v>0</v>
      </c>
      <c r="AB48" s="295">
        <f>ROUND(((B48/CE61)*AB61),0)</f>
        <v>65580</v>
      </c>
      <c r="AC48" s="295">
        <f>ROUND(((B48/CE61)*AC61),0)</f>
        <v>33053</v>
      </c>
      <c r="AD48" s="295">
        <f>ROUND(((B48/CE61)*AD61),0)</f>
        <v>0</v>
      </c>
      <c r="AE48" s="295">
        <f>ROUND(((B48/CE61)*AE61),0)</f>
        <v>165610</v>
      </c>
      <c r="AF48" s="295">
        <f>ROUND(((B48/CE61)*AF61),0)</f>
        <v>0</v>
      </c>
      <c r="AG48" s="295">
        <f>ROUND(((B48/CE61)*AG61),0)</f>
        <v>193213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242244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6925</v>
      </c>
      <c r="AQ48" s="295">
        <f>ROUND(((B48/CE61)*AQ61),0)</f>
        <v>0</v>
      </c>
      <c r="AR48" s="295">
        <f>ROUND(((B48/CE61)*AR61),0)</f>
        <v>0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55328</v>
      </c>
      <c r="AZ48" s="295">
        <f>ROUND(((B48/CE61)*AZ61),0)</f>
        <v>0</v>
      </c>
      <c r="BA48" s="295">
        <f>ROUND(((B48/CE61)*BA61),0)</f>
        <v>0</v>
      </c>
      <c r="BB48" s="295">
        <f>ROUND(((B48/CE61)*BB61),0)</f>
        <v>0</v>
      </c>
      <c r="BC48" s="295">
        <f>ROUND(((B48/CE61)*BC61),0)</f>
        <v>0</v>
      </c>
      <c r="BD48" s="295">
        <f>ROUND(((B48/CE61)*BD61),0)</f>
        <v>28397</v>
      </c>
      <c r="BE48" s="295">
        <f>ROUND(((B48/CE61)*BE61),0)</f>
        <v>68026</v>
      </c>
      <c r="BF48" s="295">
        <f>ROUND(((B48/CE61)*BF61),0)</f>
        <v>59494</v>
      </c>
      <c r="BG48" s="295">
        <f>ROUND(((B48/CE61)*BG61),0)</f>
        <v>0</v>
      </c>
      <c r="BH48" s="295">
        <f>ROUND(((B48/CE61)*BH61),0)</f>
        <v>95672</v>
      </c>
      <c r="BI48" s="295">
        <f>ROUND(((B48/CE61)*BI61),0)</f>
        <v>0</v>
      </c>
      <c r="BJ48" s="295">
        <f>ROUND(((B48/CE61)*BJ61),0)</f>
        <v>61818</v>
      </c>
      <c r="BK48" s="295">
        <f>ROUND(((B48/CE61)*BK61),0)</f>
        <v>59369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55240</v>
      </c>
      <c r="BO48" s="295">
        <f>ROUND(((B48/CE61)*BO61),0)</f>
        <v>413</v>
      </c>
      <c r="BP48" s="295">
        <f>ROUND(((B48/CE61)*BP61),0)</f>
        <v>21009</v>
      </c>
      <c r="BQ48" s="295">
        <f>ROUND(((B48/CE61)*BQ61),0)</f>
        <v>0</v>
      </c>
      <c r="BR48" s="295">
        <f>ROUND(((B48/CE61)*BR61),0)</f>
        <v>40837</v>
      </c>
      <c r="BS48" s="295">
        <f>ROUND(((B48/CE61)*BS61),0)</f>
        <v>0</v>
      </c>
      <c r="BT48" s="295">
        <f>ROUND(((B48/CE61)*BT61),0)</f>
        <v>0</v>
      </c>
      <c r="BU48" s="295">
        <f>ROUND(((B48/CE61)*BU61),0)</f>
        <v>0</v>
      </c>
      <c r="BV48" s="295">
        <f>ROUND(((B48/CE61)*BV61),0)</f>
        <v>36489</v>
      </c>
      <c r="BW48" s="295">
        <f>ROUND(((B48/CE61)*BW61),0)</f>
        <v>0</v>
      </c>
      <c r="BX48" s="295">
        <f>ROUND(((B48/CE61)*BX61),0)</f>
        <v>29450</v>
      </c>
      <c r="BY48" s="295">
        <f>ROUND(((B48/CE61)*BY61),0)</f>
        <v>103260</v>
      </c>
      <c r="BZ48" s="295">
        <f>ROUND(((B48/CE61)*BZ61),0)</f>
        <v>0</v>
      </c>
      <c r="CA48" s="295">
        <f>ROUND(((B48/CE61)*CA61),0)</f>
        <v>7156</v>
      </c>
      <c r="CB48" s="295">
        <f>ROUND(((B48/CE61)*CB61),0)</f>
        <v>14258</v>
      </c>
      <c r="CC48" s="295">
        <f>ROUND(((B48/CE61)*CC61),0)</f>
        <v>113246</v>
      </c>
      <c r="CD48" s="295"/>
      <c r="CE48" s="295">
        <f>SUM(C48:CD48)</f>
        <v>2453805</v>
      </c>
      <c r="CF48" s="2"/>
      <c r="CG48" s="2"/>
      <c r="CH48" s="2"/>
    </row>
    <row r="49" spans="1:86" ht="12.65" customHeight="1" x14ac:dyDescent="0.35">
      <c r="A49" s="295" t="s">
        <v>206</v>
      </c>
      <c r="B49" s="295">
        <f>B47+B48</f>
        <v>2453806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  <c r="CG49" s="2"/>
      <c r="CH49" s="2"/>
    </row>
    <row r="50" spans="1:86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  <c r="CG50" s="2"/>
      <c r="CH50" s="2"/>
    </row>
    <row r="51" spans="1:86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  <c r="CG51" s="2"/>
      <c r="CH51" s="2"/>
    </row>
    <row r="52" spans="1:86" ht="12.65" customHeight="1" x14ac:dyDescent="0.35">
      <c r="A52" s="302" t="s">
        <v>208</v>
      </c>
      <c r="B52" s="300">
        <v>1061534</v>
      </c>
      <c r="C52" s="295">
        <f>ROUND((B52/(CE76+CF76)*C76),0)</f>
        <v>0</v>
      </c>
      <c r="D52" s="295">
        <f>ROUND((B52/(CE76+CF76)*D76),0)</f>
        <v>0</v>
      </c>
      <c r="E52" s="295">
        <f>ROUND((B52/(CE76+CF76)*E76),0)</f>
        <v>177393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67014</v>
      </c>
      <c r="Q52" s="295">
        <f>ROUND((B52/(CE76+CF76)*Q76),0)</f>
        <v>0</v>
      </c>
      <c r="R52" s="295">
        <f>ROUND((B52/(CE76+CF76)*R76),0)</f>
        <v>0</v>
      </c>
      <c r="S52" s="295">
        <f>ROUND((B52/(CE76+CF76)*S76),0)</f>
        <v>0</v>
      </c>
      <c r="T52" s="295">
        <f>ROUND((B52/(CE76+CF76)*T76),0)</f>
        <v>0</v>
      </c>
      <c r="U52" s="295">
        <f>ROUND((B52/(CE76+CF76)*U76),0)</f>
        <v>20067</v>
      </c>
      <c r="V52" s="295">
        <f>ROUND((B52/(CE76+CF76)*V76),0)</f>
        <v>0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85431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10078</v>
      </c>
      <c r="AC52" s="295">
        <f>ROUND((B52/(CE76+CF76)*AC76),0)</f>
        <v>6127</v>
      </c>
      <c r="AD52" s="295">
        <f>ROUND((B52/(CE76+CF76)*AD76),0)</f>
        <v>0</v>
      </c>
      <c r="AE52" s="295">
        <f>ROUND((B52/(CE76+CF76)*AE76),0)</f>
        <v>48246</v>
      </c>
      <c r="AF52" s="295">
        <f>ROUND((B52/(CE76+CF76)*AF76),0)</f>
        <v>0</v>
      </c>
      <c r="AG52" s="295">
        <f>ROUND((B52/(CE76+CF76)*AG76),0)</f>
        <v>49773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93876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46947</v>
      </c>
      <c r="AZ52" s="295">
        <f>ROUND((B52/(CE76+CF76)*AZ76),0)</f>
        <v>0</v>
      </c>
      <c r="BA52" s="295">
        <f>ROUND((B52/(CE76+CF76)*BA76),0)</f>
        <v>2739</v>
      </c>
      <c r="BB52" s="295">
        <f>ROUND((B52/(CE76+CF76)*BB76),0)</f>
        <v>0</v>
      </c>
      <c r="BC52" s="295">
        <f>ROUND((B52/(CE76+CF76)*BC76),0)</f>
        <v>0</v>
      </c>
      <c r="BD52" s="295">
        <f>ROUND((B52/(CE76+CF76)*BD76),0)</f>
        <v>18347</v>
      </c>
      <c r="BE52" s="295">
        <f>ROUND((B52/(CE76+CF76)*BE76),0)</f>
        <v>111819</v>
      </c>
      <c r="BF52" s="295">
        <f>ROUND((B52/(CE76+CF76)*BF76),0)</f>
        <v>13800</v>
      </c>
      <c r="BG52" s="295">
        <f>ROUND((B52/(CE76+CF76)*BG76),0)</f>
        <v>0</v>
      </c>
      <c r="BH52" s="295">
        <f>ROUND((B52/(CE76+CF76)*BH76),0)</f>
        <v>0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0</v>
      </c>
      <c r="BM52" s="295">
        <f>ROUND((B52/(CE76+CF76)*BM76),0)</f>
        <v>0</v>
      </c>
      <c r="BN52" s="295">
        <f>ROUND((B52/(CE76+CF76)*BN76),0)</f>
        <v>309877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0</v>
      </c>
      <c r="BT52" s="295">
        <f>ROUND((B52/(CE76+CF76)*BT76),0)</f>
        <v>0</v>
      </c>
      <c r="BU52" s="295">
        <f>ROUND((B52/(CE76+CF76)*BU76),0)</f>
        <v>0</v>
      </c>
      <c r="BV52" s="295">
        <f>ROUND((B52/(CE76+CF76)*BV76),0)</f>
        <v>0</v>
      </c>
      <c r="BW52" s="295">
        <f>ROUND((B52/(CE76+CF76)*BW76),0)</f>
        <v>0</v>
      </c>
      <c r="BX52" s="295">
        <f>ROUND((B52/(CE76+CF76)*BX76),0)</f>
        <v>0</v>
      </c>
      <c r="BY52" s="295">
        <f>ROUND((B52/(CE76+CF76)*BY76),0)</f>
        <v>0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0</v>
      </c>
      <c r="CD52" s="295"/>
      <c r="CE52" s="295">
        <f>SUM(C52:CD52)</f>
        <v>1061534</v>
      </c>
      <c r="CF52" s="2"/>
      <c r="CG52" s="2"/>
      <c r="CH52" s="2"/>
    </row>
    <row r="53" spans="1:86" ht="12.65" customHeight="1" x14ac:dyDescent="0.35">
      <c r="A53" s="295" t="s">
        <v>206</v>
      </c>
      <c r="B53" s="295">
        <f>B51+B52</f>
        <v>1061534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  <c r="CG53" s="2"/>
      <c r="CH53" s="2"/>
    </row>
    <row r="54" spans="1:86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  <c r="CG54" s="2"/>
      <c r="CH54" s="2"/>
    </row>
    <row r="55" spans="1:86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  <c r="CG55" s="2"/>
      <c r="CH55" s="2"/>
    </row>
    <row r="56" spans="1:86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  <c r="CG56" s="2"/>
      <c r="CH56" s="2"/>
    </row>
    <row r="57" spans="1:86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  <c r="CG57" s="2"/>
      <c r="CH57" s="2"/>
    </row>
    <row r="58" spans="1:86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  <c r="CG58" s="2"/>
      <c r="CH58" s="2"/>
    </row>
    <row r="59" spans="1:86" ht="12.65" customHeight="1" x14ac:dyDescent="0.35">
      <c r="A59" s="302" t="s">
        <v>233</v>
      </c>
      <c r="B59" s="295"/>
      <c r="C59" s="300"/>
      <c r="D59" s="300"/>
      <c r="E59" s="300">
        <v>491</v>
      </c>
      <c r="F59" s="300"/>
      <c r="G59" s="300"/>
      <c r="H59" s="300"/>
      <c r="I59" s="300"/>
      <c r="J59" s="300"/>
      <c r="K59" s="300"/>
      <c r="L59" s="300">
        <v>1412</v>
      </c>
      <c r="M59" s="300"/>
      <c r="N59" s="300"/>
      <c r="O59" s="300"/>
      <c r="P59" s="185">
        <v>258</v>
      </c>
      <c r="Q59" s="185"/>
      <c r="R59" s="185">
        <v>11812</v>
      </c>
      <c r="S59" s="248"/>
      <c r="T59" s="248"/>
      <c r="U59" s="224">
        <v>25017</v>
      </c>
      <c r="V59" s="185"/>
      <c r="W59" s="185"/>
      <c r="X59" s="185"/>
      <c r="Y59" s="185">
        <v>7274</v>
      </c>
      <c r="Z59" s="185"/>
      <c r="AA59" s="185"/>
      <c r="AB59" s="248"/>
      <c r="AC59" s="185">
        <v>755</v>
      </c>
      <c r="AD59" s="185"/>
      <c r="AE59" s="185">
        <v>5778</v>
      </c>
      <c r="AF59" s="185"/>
      <c r="AG59" s="185">
        <v>2874</v>
      </c>
      <c r="AH59" s="185"/>
      <c r="AI59" s="185"/>
      <c r="AJ59" s="185">
        <v>2959</v>
      </c>
      <c r="AK59" s="185"/>
      <c r="AL59" s="185"/>
      <c r="AM59" s="185"/>
      <c r="AN59" s="185"/>
      <c r="AO59" s="185"/>
      <c r="AP59" s="185">
        <v>118</v>
      </c>
      <c r="AQ59" s="185"/>
      <c r="AR59" s="185"/>
      <c r="AS59" s="185"/>
      <c r="AT59" s="185"/>
      <c r="AU59" s="185"/>
      <c r="AV59" s="248"/>
      <c r="AW59" s="248"/>
      <c r="AX59" s="248"/>
      <c r="AY59" s="185">
        <v>5857</v>
      </c>
      <c r="AZ59" s="185"/>
      <c r="BA59" s="248"/>
      <c r="BB59" s="248"/>
      <c r="BC59" s="248"/>
      <c r="BD59" s="248"/>
      <c r="BE59" s="185">
        <v>60463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  <c r="CG59" s="2"/>
      <c r="CH59" s="2"/>
    </row>
    <row r="60" spans="1:86" ht="12.65" customHeight="1" x14ac:dyDescent="0.35">
      <c r="A60" s="306" t="s">
        <v>234</v>
      </c>
      <c r="B60" s="295"/>
      <c r="C60" s="186"/>
      <c r="D60" s="187"/>
      <c r="E60" s="187">
        <f>16.4+2.77</f>
        <v>19.169999999999998</v>
      </c>
      <c r="F60" s="223"/>
      <c r="G60" s="187"/>
      <c r="H60" s="187"/>
      <c r="I60" s="187"/>
      <c r="J60" s="223"/>
      <c r="K60" s="187"/>
      <c r="L60" s="187">
        <v>0.54</v>
      </c>
      <c r="M60" s="187"/>
      <c r="N60" s="187"/>
      <c r="O60" s="187"/>
      <c r="P60" s="221">
        <f>4.82+0.35</f>
        <v>5.17</v>
      </c>
      <c r="Q60" s="221"/>
      <c r="R60" s="221"/>
      <c r="S60" s="221"/>
      <c r="T60" s="221"/>
      <c r="U60" s="221">
        <v>5.21</v>
      </c>
      <c r="V60" s="221"/>
      <c r="W60" s="221"/>
      <c r="X60" s="221"/>
      <c r="Y60" s="221">
        <v>5.7</v>
      </c>
      <c r="Z60" s="221"/>
      <c r="AA60" s="221"/>
      <c r="AB60" s="221">
        <v>2.41</v>
      </c>
      <c r="AC60" s="221">
        <v>1.39</v>
      </c>
      <c r="AD60" s="221"/>
      <c r="AE60" s="221">
        <v>7.97</v>
      </c>
      <c r="AF60" s="221"/>
      <c r="AG60" s="221">
        <v>8.8800000000000008</v>
      </c>
      <c r="AH60" s="221"/>
      <c r="AI60" s="221"/>
      <c r="AJ60" s="221">
        <v>8.7899999999999991</v>
      </c>
      <c r="AK60" s="221"/>
      <c r="AL60" s="221"/>
      <c r="AM60" s="221"/>
      <c r="AN60" s="221"/>
      <c r="AO60" s="221"/>
      <c r="AP60" s="221">
        <v>0.21</v>
      </c>
      <c r="AQ60" s="221"/>
      <c r="AR60" s="221"/>
      <c r="AS60" s="221"/>
      <c r="AT60" s="221"/>
      <c r="AU60" s="221"/>
      <c r="AV60" s="221"/>
      <c r="AW60" s="221"/>
      <c r="AX60" s="221"/>
      <c r="AY60" s="221">
        <v>4.5999999999999996</v>
      </c>
      <c r="AZ60" s="221"/>
      <c r="BA60" s="221"/>
      <c r="BB60" s="221"/>
      <c r="BC60" s="221"/>
      <c r="BD60" s="221">
        <v>1.84</v>
      </c>
      <c r="BE60" s="221">
        <v>3.54</v>
      </c>
      <c r="BF60" s="221">
        <v>6.49</v>
      </c>
      <c r="BG60" s="221"/>
      <c r="BH60" s="221">
        <v>4.01</v>
      </c>
      <c r="BI60" s="221"/>
      <c r="BJ60" s="221">
        <v>1.88</v>
      </c>
      <c r="BK60" s="221">
        <v>5.37</v>
      </c>
      <c r="BL60" s="221"/>
      <c r="BM60" s="221"/>
      <c r="BN60" s="221">
        <v>1.0900000000000001</v>
      </c>
      <c r="BO60" s="221"/>
      <c r="BP60" s="221">
        <v>0.89</v>
      </c>
      <c r="BQ60" s="221"/>
      <c r="BR60" s="221">
        <v>1.92</v>
      </c>
      <c r="BS60" s="221"/>
      <c r="BT60" s="221"/>
      <c r="BU60" s="221"/>
      <c r="BV60" s="221">
        <v>2.79</v>
      </c>
      <c r="BW60" s="221"/>
      <c r="BX60" s="221">
        <v>1.1299999999999999</v>
      </c>
      <c r="BY60" s="221">
        <v>3.41</v>
      </c>
      <c r="BZ60" s="221"/>
      <c r="CA60" s="221">
        <v>0.28999999999999998</v>
      </c>
      <c r="CB60" s="221">
        <v>0.85</v>
      </c>
      <c r="CC60" s="221">
        <f>0.63+0.99+2.77</f>
        <v>4.3900000000000006</v>
      </c>
      <c r="CD60" s="305" t="s">
        <v>221</v>
      </c>
      <c r="CE60" s="307">
        <f t="shared" ref="CE60:CE70" si="0">SUM(C60:CD60)</f>
        <v>109.93</v>
      </c>
      <c r="CF60" s="2"/>
      <c r="CG60" s="2"/>
      <c r="CH60" s="2"/>
    </row>
    <row r="61" spans="1:86" ht="12.65" customHeight="1" x14ac:dyDescent="0.35">
      <c r="A61" s="302" t="s">
        <v>235</v>
      </c>
      <c r="B61" s="295"/>
      <c r="C61" s="300"/>
      <c r="D61" s="300"/>
      <c r="E61" s="300">
        <f>1904006-22895</f>
        <v>1881111</v>
      </c>
      <c r="F61" s="185"/>
      <c r="G61" s="300"/>
      <c r="H61" s="300"/>
      <c r="I61" s="185"/>
      <c r="J61" s="185"/>
      <c r="K61" s="185"/>
      <c r="L61" s="185">
        <v>22895</v>
      </c>
      <c r="M61" s="300"/>
      <c r="N61" s="300"/>
      <c r="O61" s="300"/>
      <c r="P61" s="185">
        <f>421379+34506</f>
        <v>455885</v>
      </c>
      <c r="Q61" s="185"/>
      <c r="R61" s="185"/>
      <c r="S61" s="185"/>
      <c r="T61" s="185"/>
      <c r="U61" s="185">
        <v>409839</v>
      </c>
      <c r="V61" s="185"/>
      <c r="W61" s="185"/>
      <c r="X61" s="185"/>
      <c r="Y61" s="185">
        <v>435103</v>
      </c>
      <c r="Z61" s="185"/>
      <c r="AA61" s="185"/>
      <c r="AB61" s="185">
        <v>234120</v>
      </c>
      <c r="AC61" s="185">
        <v>117999</v>
      </c>
      <c r="AD61" s="185"/>
      <c r="AE61" s="185">
        <v>591223</v>
      </c>
      <c r="AF61" s="185"/>
      <c r="AG61" s="185">
        <v>689766</v>
      </c>
      <c r="AH61" s="185"/>
      <c r="AI61" s="185"/>
      <c r="AJ61" s="185">
        <v>864806</v>
      </c>
      <c r="AK61" s="185"/>
      <c r="AL61" s="185"/>
      <c r="AM61" s="185"/>
      <c r="AN61" s="185"/>
      <c r="AO61" s="185"/>
      <c r="AP61" s="185">
        <v>24723</v>
      </c>
      <c r="AQ61" s="185"/>
      <c r="AR61" s="185"/>
      <c r="AS61" s="185"/>
      <c r="AT61" s="185"/>
      <c r="AU61" s="185"/>
      <c r="AV61" s="185"/>
      <c r="AW61" s="185"/>
      <c r="AX61" s="185"/>
      <c r="AY61" s="185">
        <v>197518</v>
      </c>
      <c r="AZ61" s="185"/>
      <c r="BA61" s="185"/>
      <c r="BB61" s="185"/>
      <c r="BC61" s="185"/>
      <c r="BD61" s="185">
        <v>101377</v>
      </c>
      <c r="BE61" s="185">
        <v>242852</v>
      </c>
      <c r="BF61" s="185">
        <v>212393</v>
      </c>
      <c r="BG61" s="185"/>
      <c r="BH61" s="185">
        <v>341548</v>
      </c>
      <c r="BI61" s="185"/>
      <c r="BJ61" s="185">
        <v>220687</v>
      </c>
      <c r="BK61" s="185">
        <v>211946</v>
      </c>
      <c r="BL61" s="185"/>
      <c r="BM61" s="185"/>
      <c r="BN61" s="185">
        <v>197207</v>
      </c>
      <c r="BO61" s="185">
        <v>1475</v>
      </c>
      <c r="BP61" s="185">
        <v>75002</v>
      </c>
      <c r="BQ61" s="185"/>
      <c r="BR61" s="185">
        <v>145786</v>
      </c>
      <c r="BS61" s="185"/>
      <c r="BT61" s="185"/>
      <c r="BU61" s="185"/>
      <c r="BV61" s="185">
        <v>130264</v>
      </c>
      <c r="BW61" s="185"/>
      <c r="BX61" s="185">
        <v>105135</v>
      </c>
      <c r="BY61" s="185">
        <v>368636</v>
      </c>
      <c r="BZ61" s="185"/>
      <c r="CA61" s="185">
        <v>25547</v>
      </c>
      <c r="CB61" s="185">
        <v>50899</v>
      </c>
      <c r="CC61" s="185">
        <f>39937+100464+263886-2</f>
        <v>404285</v>
      </c>
      <c r="CD61" s="305" t="s">
        <v>221</v>
      </c>
      <c r="CE61" s="295">
        <f t="shared" si="0"/>
        <v>8760027</v>
      </c>
      <c r="CF61" s="2"/>
      <c r="CG61" s="2"/>
      <c r="CH61" s="2"/>
    </row>
    <row r="62" spans="1:86" ht="12.65" customHeight="1" x14ac:dyDescent="0.35">
      <c r="A62" s="302" t="s">
        <v>3</v>
      </c>
      <c r="B62" s="295"/>
      <c r="C62" s="295">
        <f t="shared" ref="C62:BN62" si="1">ROUND(C47+C48,0)</f>
        <v>0</v>
      </c>
      <c r="D62" s="295">
        <f t="shared" si="1"/>
        <v>0</v>
      </c>
      <c r="E62" s="295">
        <f t="shared" si="1"/>
        <v>526925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6413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127700</v>
      </c>
      <c r="Q62" s="295">
        <f t="shared" si="1"/>
        <v>0</v>
      </c>
      <c r="R62" s="295">
        <f t="shared" si="1"/>
        <v>0</v>
      </c>
      <c r="S62" s="295">
        <f t="shared" si="1"/>
        <v>0</v>
      </c>
      <c r="T62" s="295">
        <f t="shared" si="1"/>
        <v>0</v>
      </c>
      <c r="U62" s="295">
        <f t="shared" si="1"/>
        <v>114802</v>
      </c>
      <c r="V62" s="295">
        <f t="shared" si="1"/>
        <v>0</v>
      </c>
      <c r="W62" s="295">
        <f t="shared" si="1"/>
        <v>0</v>
      </c>
      <c r="X62" s="295">
        <f t="shared" si="1"/>
        <v>0</v>
      </c>
      <c r="Y62" s="295">
        <f t="shared" si="1"/>
        <v>121878</v>
      </c>
      <c r="Z62" s="295">
        <f t="shared" si="1"/>
        <v>0</v>
      </c>
      <c r="AA62" s="295">
        <f t="shared" si="1"/>
        <v>0</v>
      </c>
      <c r="AB62" s="295">
        <f t="shared" si="1"/>
        <v>65580</v>
      </c>
      <c r="AC62" s="295">
        <f t="shared" si="1"/>
        <v>33053</v>
      </c>
      <c r="AD62" s="295">
        <f t="shared" si="1"/>
        <v>0</v>
      </c>
      <c r="AE62" s="295">
        <f t="shared" si="1"/>
        <v>165610</v>
      </c>
      <c r="AF62" s="295">
        <f t="shared" si="1"/>
        <v>0</v>
      </c>
      <c r="AG62" s="295">
        <f t="shared" si="1"/>
        <v>193213</v>
      </c>
      <c r="AH62" s="295">
        <f t="shared" si="1"/>
        <v>0</v>
      </c>
      <c r="AI62" s="295">
        <f t="shared" si="1"/>
        <v>0</v>
      </c>
      <c r="AJ62" s="295">
        <f t="shared" si="1"/>
        <v>242244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6925</v>
      </c>
      <c r="AQ62" s="295">
        <f t="shared" si="1"/>
        <v>0</v>
      </c>
      <c r="AR62" s="295">
        <f t="shared" si="1"/>
        <v>0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0</v>
      </c>
      <c r="AX62" s="295">
        <f t="shared" si="1"/>
        <v>0</v>
      </c>
      <c r="AY62" s="295">
        <f>ROUND(AY47+AY48,0)</f>
        <v>55328</v>
      </c>
      <c r="AZ62" s="295">
        <f>ROUND(AZ47+AZ48,0)</f>
        <v>0</v>
      </c>
      <c r="BA62" s="295">
        <f>ROUND(BA47+BA48,0)</f>
        <v>0</v>
      </c>
      <c r="BB62" s="295">
        <f t="shared" si="1"/>
        <v>0</v>
      </c>
      <c r="BC62" s="295">
        <f t="shared" si="1"/>
        <v>0</v>
      </c>
      <c r="BD62" s="295">
        <f t="shared" si="1"/>
        <v>28397</v>
      </c>
      <c r="BE62" s="295">
        <f t="shared" si="1"/>
        <v>68026</v>
      </c>
      <c r="BF62" s="295">
        <f t="shared" si="1"/>
        <v>59494</v>
      </c>
      <c r="BG62" s="295">
        <f t="shared" si="1"/>
        <v>0</v>
      </c>
      <c r="BH62" s="295">
        <f t="shared" si="1"/>
        <v>95672</v>
      </c>
      <c r="BI62" s="295">
        <f t="shared" si="1"/>
        <v>0</v>
      </c>
      <c r="BJ62" s="295">
        <f t="shared" si="1"/>
        <v>61818</v>
      </c>
      <c r="BK62" s="295">
        <f t="shared" si="1"/>
        <v>59369</v>
      </c>
      <c r="BL62" s="295">
        <f t="shared" si="1"/>
        <v>0</v>
      </c>
      <c r="BM62" s="295">
        <f t="shared" si="1"/>
        <v>0</v>
      </c>
      <c r="BN62" s="295">
        <f t="shared" si="1"/>
        <v>55240</v>
      </c>
      <c r="BO62" s="295">
        <f t="shared" ref="BO62:CC62" si="2">ROUND(BO47+BO48,0)</f>
        <v>413</v>
      </c>
      <c r="BP62" s="295">
        <f t="shared" si="2"/>
        <v>21009</v>
      </c>
      <c r="BQ62" s="295">
        <f t="shared" si="2"/>
        <v>0</v>
      </c>
      <c r="BR62" s="295">
        <f t="shared" si="2"/>
        <v>40837</v>
      </c>
      <c r="BS62" s="295">
        <f t="shared" si="2"/>
        <v>0</v>
      </c>
      <c r="BT62" s="295">
        <f t="shared" si="2"/>
        <v>0</v>
      </c>
      <c r="BU62" s="295">
        <f t="shared" si="2"/>
        <v>0</v>
      </c>
      <c r="BV62" s="295">
        <f t="shared" si="2"/>
        <v>36489</v>
      </c>
      <c r="BW62" s="295">
        <f t="shared" si="2"/>
        <v>0</v>
      </c>
      <c r="BX62" s="295">
        <f t="shared" si="2"/>
        <v>29450</v>
      </c>
      <c r="BY62" s="295">
        <f t="shared" si="2"/>
        <v>103260</v>
      </c>
      <c r="BZ62" s="295">
        <f t="shared" si="2"/>
        <v>0</v>
      </c>
      <c r="CA62" s="295">
        <f t="shared" si="2"/>
        <v>7156</v>
      </c>
      <c r="CB62" s="295">
        <f t="shared" si="2"/>
        <v>14258</v>
      </c>
      <c r="CC62" s="295">
        <f t="shared" si="2"/>
        <v>113246</v>
      </c>
      <c r="CD62" s="305" t="s">
        <v>221</v>
      </c>
      <c r="CE62" s="295">
        <f t="shared" si="0"/>
        <v>2453805</v>
      </c>
      <c r="CF62" s="2"/>
      <c r="CG62" s="2"/>
      <c r="CH62" s="2"/>
    </row>
    <row r="63" spans="1:86" ht="12.65" customHeight="1" x14ac:dyDescent="0.35">
      <c r="A63" s="302" t="s">
        <v>236</v>
      </c>
      <c r="B63" s="295"/>
      <c r="C63" s="300"/>
      <c r="D63" s="300"/>
      <c r="E63" s="300"/>
      <c r="F63" s="185"/>
      <c r="G63" s="300"/>
      <c r="H63" s="300"/>
      <c r="I63" s="185"/>
      <c r="J63" s="185"/>
      <c r="K63" s="185"/>
      <c r="L63" s="185"/>
      <c r="M63" s="300"/>
      <c r="N63" s="300"/>
      <c r="O63" s="300"/>
      <c r="P63" s="185"/>
      <c r="Q63" s="185"/>
      <c r="R63" s="185">
        <f>391463-1</f>
        <v>391462</v>
      </c>
      <c r="S63" s="185"/>
      <c r="T63" s="185"/>
      <c r="U63" s="185">
        <v>10725</v>
      </c>
      <c r="V63" s="185"/>
      <c r="W63" s="185"/>
      <c r="X63" s="185"/>
      <c r="Y63" s="185">
        <v>221681</v>
      </c>
      <c r="Z63" s="185"/>
      <c r="AA63" s="185"/>
      <c r="AB63" s="185"/>
      <c r="AC63" s="185"/>
      <c r="AD63" s="185"/>
      <c r="AE63" s="185"/>
      <c r="AF63" s="185"/>
      <c r="AG63" s="185">
        <v>1324950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>
        <v>250</v>
      </c>
      <c r="CD63" s="305" t="s">
        <v>221</v>
      </c>
      <c r="CE63" s="295">
        <f t="shared" si="0"/>
        <v>1949068</v>
      </c>
      <c r="CF63" s="2"/>
      <c r="CG63" s="2"/>
      <c r="CH63" s="2"/>
    </row>
    <row r="64" spans="1:86" ht="12.65" customHeight="1" x14ac:dyDescent="0.35">
      <c r="A64" s="302" t="s">
        <v>237</v>
      </c>
      <c r="B64" s="295"/>
      <c r="C64" s="300"/>
      <c r="D64" s="300"/>
      <c r="E64" s="185">
        <f>55867.53+11.87</f>
        <v>55879.4</v>
      </c>
      <c r="F64" s="185"/>
      <c r="G64" s="300"/>
      <c r="H64" s="300"/>
      <c r="I64" s="185"/>
      <c r="J64" s="185"/>
      <c r="K64" s="185"/>
      <c r="L64" s="185"/>
      <c r="M64" s="300"/>
      <c r="N64" s="300"/>
      <c r="O64" s="300"/>
      <c r="P64" s="185">
        <f>35707+917</f>
        <v>36624</v>
      </c>
      <c r="Q64" s="185"/>
      <c r="R64" s="185">
        <v>1472</v>
      </c>
      <c r="S64" s="185">
        <v>180007</v>
      </c>
      <c r="T64" s="185"/>
      <c r="U64" s="185">
        <f>288957.89+15242</f>
        <v>304199.89</v>
      </c>
      <c r="V64" s="185"/>
      <c r="W64" s="185"/>
      <c r="X64" s="185"/>
      <c r="Y64" s="185">
        <v>64333</v>
      </c>
      <c r="Z64" s="185"/>
      <c r="AA64" s="185"/>
      <c r="AB64" s="185">
        <v>478720</v>
      </c>
      <c r="AC64" s="185">
        <v>976</v>
      </c>
      <c r="AD64" s="185"/>
      <c r="AE64" s="185">
        <v>11673</v>
      </c>
      <c r="AF64" s="185"/>
      <c r="AG64" s="185">
        <v>29234</v>
      </c>
      <c r="AH64" s="185"/>
      <c r="AI64" s="185"/>
      <c r="AJ64" s="185">
        <f>88512-3622</f>
        <v>84890</v>
      </c>
      <c r="AK64" s="185"/>
      <c r="AL64" s="185"/>
      <c r="AM64" s="185"/>
      <c r="AN64" s="185"/>
      <c r="AO64" s="185"/>
      <c r="AP64" s="185">
        <v>3622</v>
      </c>
      <c r="AQ64" s="185"/>
      <c r="AR64" s="185"/>
      <c r="AS64" s="185"/>
      <c r="AT64" s="185"/>
      <c r="AU64" s="185"/>
      <c r="AV64" s="185"/>
      <c r="AW64" s="185"/>
      <c r="AX64" s="185"/>
      <c r="AY64" s="185">
        <v>115936</v>
      </c>
      <c r="AZ64" s="185"/>
      <c r="BA64" s="185">
        <v>8114</v>
      </c>
      <c r="BB64" s="185"/>
      <c r="BC64" s="185"/>
      <c r="BD64" s="185">
        <v>1234</v>
      </c>
      <c r="BE64" s="185">
        <v>38845</v>
      </c>
      <c r="BF64" s="185">
        <v>23715</v>
      </c>
      <c r="BG64" s="185"/>
      <c r="BH64" s="185">
        <v>35509</v>
      </c>
      <c r="BI64" s="185"/>
      <c r="BJ64" s="185">
        <v>384</v>
      </c>
      <c r="BK64" s="185">
        <v>15566</v>
      </c>
      <c r="BL64" s="185"/>
      <c r="BM64" s="185"/>
      <c r="BN64" s="185">
        <f>3877+290+373</f>
        <v>4540</v>
      </c>
      <c r="BO64" s="185">
        <v>322</v>
      </c>
      <c r="BP64" s="185">
        <v>9834</v>
      </c>
      <c r="BQ64" s="185"/>
      <c r="BR64" s="185">
        <v>894</v>
      </c>
      <c r="BS64" s="185"/>
      <c r="BT64" s="185"/>
      <c r="BU64" s="185"/>
      <c r="BV64" s="185">
        <v>1909</v>
      </c>
      <c r="BW64" s="185"/>
      <c r="BX64" s="185"/>
      <c r="BY64" s="185">
        <v>2173</v>
      </c>
      <c r="BZ64" s="185"/>
      <c r="CA64" s="185"/>
      <c r="CB64" s="185">
        <v>324</v>
      </c>
      <c r="CC64" s="185">
        <f>182+158175</f>
        <v>158357</v>
      </c>
      <c r="CD64" s="305" t="s">
        <v>221</v>
      </c>
      <c r="CE64" s="295">
        <f t="shared" si="0"/>
        <v>1669286.29</v>
      </c>
      <c r="CF64" s="2"/>
      <c r="CG64" s="2"/>
      <c r="CH64" s="2"/>
    </row>
    <row r="65" spans="1:86" ht="12.65" customHeight="1" x14ac:dyDescent="0.35">
      <c r="A65" s="302" t="s">
        <v>238</v>
      </c>
      <c r="B65" s="295"/>
      <c r="C65" s="300"/>
      <c r="D65" s="300"/>
      <c r="E65" s="300"/>
      <c r="F65" s="300"/>
      <c r="G65" s="300"/>
      <c r="H65" s="300"/>
      <c r="I65" s="185"/>
      <c r="J65" s="300"/>
      <c r="K65" s="185"/>
      <c r="L65" s="185"/>
      <c r="M65" s="300"/>
      <c r="N65" s="300"/>
      <c r="O65" s="300"/>
      <c r="P65" s="185">
        <v>960</v>
      </c>
      <c r="Q65" s="185"/>
      <c r="R65" s="185">
        <v>-1125</v>
      </c>
      <c r="S65" s="185"/>
      <c r="T65" s="185"/>
      <c r="U65" s="185">
        <v>0</v>
      </c>
      <c r="V65" s="185"/>
      <c r="W65" s="185"/>
      <c r="X65" s="185"/>
      <c r="Y65" s="185">
        <v>6944</v>
      </c>
      <c r="Z65" s="185"/>
      <c r="AA65" s="185"/>
      <c r="AB65" s="185"/>
      <c r="AC65" s="185"/>
      <c r="AD65" s="185"/>
      <c r="AE65" s="185">
        <v>3221</v>
      </c>
      <c r="AF65" s="185"/>
      <c r="AG65" s="185">
        <v>960</v>
      </c>
      <c r="AH65" s="185"/>
      <c r="AI65" s="185"/>
      <c r="AJ65" s="185">
        <v>2328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189536</v>
      </c>
      <c r="BF65" s="185"/>
      <c r="BG65" s="185"/>
      <c r="BH65" s="185">
        <v>73913</v>
      </c>
      <c r="BI65" s="185"/>
      <c r="BJ65" s="185"/>
      <c r="BK65" s="185"/>
      <c r="BL65" s="185"/>
      <c r="BM65" s="185"/>
      <c r="BN65" s="185">
        <f>960+2205.73</f>
        <v>3165.73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2480</v>
      </c>
      <c r="BZ65" s="185"/>
      <c r="CA65" s="185"/>
      <c r="CB65" s="185"/>
      <c r="CC65" s="185">
        <v>106</v>
      </c>
      <c r="CD65" s="305" t="s">
        <v>221</v>
      </c>
      <c r="CE65" s="295">
        <f t="shared" si="0"/>
        <v>282488.73</v>
      </c>
      <c r="CF65" s="2"/>
      <c r="CG65" s="2"/>
      <c r="CH65" s="2"/>
    </row>
    <row r="66" spans="1:86" ht="12.65" customHeight="1" x14ac:dyDescent="0.35">
      <c r="A66" s="302" t="s">
        <v>239</v>
      </c>
      <c r="B66" s="295"/>
      <c r="C66" s="300"/>
      <c r="D66" s="300"/>
      <c r="E66" s="300">
        <f>174227+200-1</f>
        <v>174426</v>
      </c>
      <c r="F66" s="300"/>
      <c r="G66" s="300"/>
      <c r="H66" s="300"/>
      <c r="I66" s="300"/>
      <c r="J66" s="300"/>
      <c r="K66" s="185"/>
      <c r="L66" s="185"/>
      <c r="M66" s="300"/>
      <c r="N66" s="300"/>
      <c r="O66" s="185"/>
      <c r="P66" s="185">
        <v>21351</v>
      </c>
      <c r="Q66" s="185"/>
      <c r="R66" s="185"/>
      <c r="S66" s="300"/>
      <c r="T66" s="300"/>
      <c r="U66" s="185">
        <v>314771</v>
      </c>
      <c r="V66" s="185"/>
      <c r="W66" s="185"/>
      <c r="X66" s="185"/>
      <c r="Y66" s="185">
        <v>421158</v>
      </c>
      <c r="Z66" s="185"/>
      <c r="AA66" s="185"/>
      <c r="AB66" s="185">
        <v>62925</v>
      </c>
      <c r="AC66" s="185">
        <v>2642</v>
      </c>
      <c r="AD66" s="185"/>
      <c r="AE66" s="185">
        <v>30484</v>
      </c>
      <c r="AF66" s="185"/>
      <c r="AG66" s="185">
        <v>4499</v>
      </c>
      <c r="AH66" s="185"/>
      <c r="AI66" s="185"/>
      <c r="AJ66" s="185">
        <v>18160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2379</v>
      </c>
      <c r="AZ66" s="185"/>
      <c r="BA66" s="185"/>
      <c r="BB66" s="185"/>
      <c r="BC66" s="185"/>
      <c r="BD66" s="185"/>
      <c r="BE66" s="185">
        <v>85004</v>
      </c>
      <c r="BF66" s="185"/>
      <c r="BG66" s="185"/>
      <c r="BH66" s="185">
        <f>29990+413953</f>
        <v>443943</v>
      </c>
      <c r="BI66" s="185"/>
      <c r="BJ66" s="185">
        <v>146407</v>
      </c>
      <c r="BK66" s="185">
        <v>44644</v>
      </c>
      <c r="BL66" s="185"/>
      <c r="BM66" s="185"/>
      <c r="BN66" s="185">
        <v>54654</v>
      </c>
      <c r="BO66" s="185"/>
      <c r="BP66" s="185">
        <v>98022</v>
      </c>
      <c r="BQ66" s="185"/>
      <c r="BR66" s="185">
        <v>29313</v>
      </c>
      <c r="BS66" s="185"/>
      <c r="BT66" s="185"/>
      <c r="BU66" s="185"/>
      <c r="BV66" s="185">
        <v>70754</v>
      </c>
      <c r="BW66" s="185"/>
      <c r="BX66" s="185"/>
      <c r="BY66" s="185">
        <v>250</v>
      </c>
      <c r="BZ66" s="185"/>
      <c r="CA66" s="185">
        <v>18</v>
      </c>
      <c r="CB66" s="185">
        <v>90</v>
      </c>
      <c r="CC66" s="185">
        <f>17402+20614</f>
        <v>38016</v>
      </c>
      <c r="CD66" s="305" t="s">
        <v>221</v>
      </c>
      <c r="CE66" s="295">
        <f t="shared" si="0"/>
        <v>2063910</v>
      </c>
      <c r="CF66" s="2"/>
      <c r="CG66" s="2"/>
      <c r="CH66" s="2"/>
    </row>
    <row r="67" spans="1:86" ht="12.65" customHeight="1" x14ac:dyDescent="0.35">
      <c r="A67" s="302" t="s">
        <v>6</v>
      </c>
      <c r="B67" s="295"/>
      <c r="C67" s="295">
        <f>ROUND(C51+C52,0)</f>
        <v>0</v>
      </c>
      <c r="D67" s="295">
        <f>ROUND(D51+D52,0)</f>
        <v>0</v>
      </c>
      <c r="E67" s="295">
        <f t="shared" ref="E67:BP67" si="3">ROUND(E51+E52,0)</f>
        <v>177393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67014</v>
      </c>
      <c r="Q67" s="295">
        <f t="shared" si="3"/>
        <v>0</v>
      </c>
      <c r="R67" s="295">
        <f t="shared" si="3"/>
        <v>0</v>
      </c>
      <c r="S67" s="295">
        <f t="shared" si="3"/>
        <v>0</v>
      </c>
      <c r="T67" s="295">
        <f t="shared" si="3"/>
        <v>0</v>
      </c>
      <c r="U67" s="295">
        <f t="shared" si="3"/>
        <v>20067</v>
      </c>
      <c r="V67" s="295">
        <f t="shared" si="3"/>
        <v>0</v>
      </c>
      <c r="W67" s="295">
        <f t="shared" si="3"/>
        <v>0</v>
      </c>
      <c r="X67" s="295">
        <f t="shared" si="3"/>
        <v>0</v>
      </c>
      <c r="Y67" s="295">
        <f t="shared" si="3"/>
        <v>85431</v>
      </c>
      <c r="Z67" s="295">
        <f t="shared" si="3"/>
        <v>0</v>
      </c>
      <c r="AA67" s="295">
        <f t="shared" si="3"/>
        <v>0</v>
      </c>
      <c r="AB67" s="295">
        <f t="shared" si="3"/>
        <v>10078</v>
      </c>
      <c r="AC67" s="295">
        <f t="shared" si="3"/>
        <v>6127</v>
      </c>
      <c r="AD67" s="295">
        <f t="shared" si="3"/>
        <v>0</v>
      </c>
      <c r="AE67" s="295">
        <f t="shared" si="3"/>
        <v>48246</v>
      </c>
      <c r="AF67" s="295">
        <f t="shared" si="3"/>
        <v>0</v>
      </c>
      <c r="AG67" s="295">
        <f t="shared" si="3"/>
        <v>49773</v>
      </c>
      <c r="AH67" s="295">
        <f t="shared" si="3"/>
        <v>0</v>
      </c>
      <c r="AI67" s="295">
        <f t="shared" si="3"/>
        <v>0</v>
      </c>
      <c r="AJ67" s="295">
        <f t="shared" si="3"/>
        <v>93876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46947</v>
      </c>
      <c r="AZ67" s="295">
        <f>ROUND(AZ51+AZ52,0)</f>
        <v>0</v>
      </c>
      <c r="BA67" s="295">
        <f>ROUND(BA51+BA52,0)</f>
        <v>2739</v>
      </c>
      <c r="BB67" s="295">
        <f t="shared" si="3"/>
        <v>0</v>
      </c>
      <c r="BC67" s="295">
        <f t="shared" si="3"/>
        <v>0</v>
      </c>
      <c r="BD67" s="295">
        <f t="shared" si="3"/>
        <v>18347</v>
      </c>
      <c r="BE67" s="295">
        <f t="shared" si="3"/>
        <v>111819</v>
      </c>
      <c r="BF67" s="295">
        <f t="shared" si="3"/>
        <v>13800</v>
      </c>
      <c r="BG67" s="295">
        <f t="shared" si="3"/>
        <v>0</v>
      </c>
      <c r="BH67" s="295">
        <f t="shared" si="3"/>
        <v>0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0</v>
      </c>
      <c r="BM67" s="295">
        <f t="shared" si="3"/>
        <v>0</v>
      </c>
      <c r="BN67" s="295">
        <f t="shared" si="3"/>
        <v>309877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0</v>
      </c>
      <c r="BT67" s="295">
        <f t="shared" si="4"/>
        <v>0</v>
      </c>
      <c r="BU67" s="295">
        <f t="shared" si="4"/>
        <v>0</v>
      </c>
      <c r="BV67" s="295">
        <f t="shared" si="4"/>
        <v>0</v>
      </c>
      <c r="BW67" s="295">
        <f t="shared" si="4"/>
        <v>0</v>
      </c>
      <c r="BX67" s="295">
        <f t="shared" si="4"/>
        <v>0</v>
      </c>
      <c r="BY67" s="295">
        <f t="shared" si="4"/>
        <v>0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0</v>
      </c>
      <c r="CD67" s="305" t="s">
        <v>221</v>
      </c>
      <c r="CE67" s="295">
        <f t="shared" si="0"/>
        <v>1061534</v>
      </c>
      <c r="CF67" s="2"/>
      <c r="CG67" s="2"/>
      <c r="CH67" s="2"/>
    </row>
    <row r="68" spans="1:86" ht="12.65" customHeight="1" x14ac:dyDescent="0.35">
      <c r="A68" s="302" t="s">
        <v>240</v>
      </c>
      <c r="B68" s="295"/>
      <c r="C68" s="300"/>
      <c r="D68" s="300"/>
      <c r="E68" s="300">
        <v>1272</v>
      </c>
      <c r="F68" s="300"/>
      <c r="G68" s="300"/>
      <c r="H68" s="300"/>
      <c r="I68" s="300"/>
      <c r="J68" s="300"/>
      <c r="K68" s="185"/>
      <c r="L68" s="185"/>
      <c r="M68" s="300"/>
      <c r="N68" s="300"/>
      <c r="O68" s="300"/>
      <c r="P68" s="185"/>
      <c r="Q68" s="185"/>
      <c r="R68" s="185"/>
      <c r="S68" s="185">
        <v>2199</v>
      </c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2640</v>
      </c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>
        <v>3779</v>
      </c>
      <c r="BL68" s="185"/>
      <c r="BM68" s="185"/>
      <c r="BN68" s="185">
        <v>2029</v>
      </c>
      <c r="BO68" s="185"/>
      <c r="BP68" s="185"/>
      <c r="BQ68" s="185"/>
      <c r="BR68" s="185"/>
      <c r="BS68" s="185"/>
      <c r="BT68" s="185"/>
      <c r="BU68" s="185"/>
      <c r="BV68" s="185">
        <v>914</v>
      </c>
      <c r="BW68" s="185"/>
      <c r="BX68" s="185"/>
      <c r="BY68" s="185"/>
      <c r="BZ68" s="185"/>
      <c r="CA68" s="185"/>
      <c r="CB68" s="185"/>
      <c r="CC68" s="185">
        <v>271</v>
      </c>
      <c r="CD68" s="305" t="s">
        <v>221</v>
      </c>
      <c r="CE68" s="295">
        <f t="shared" si="0"/>
        <v>13104</v>
      </c>
      <c r="CF68" s="2"/>
      <c r="CG68" s="2"/>
      <c r="CH68" s="2"/>
    </row>
    <row r="69" spans="1:86" ht="12.65" customHeight="1" x14ac:dyDescent="0.35">
      <c r="A69" s="302" t="s">
        <v>241</v>
      </c>
      <c r="B69" s="295"/>
      <c r="C69" s="300"/>
      <c r="D69" s="300"/>
      <c r="E69" s="185">
        <f>2016+6252</f>
        <v>8268</v>
      </c>
      <c r="F69" s="185"/>
      <c r="G69" s="300"/>
      <c r="H69" s="300"/>
      <c r="I69" s="185"/>
      <c r="J69" s="185"/>
      <c r="K69" s="185"/>
      <c r="L69" s="185">
        <v>30</v>
      </c>
      <c r="M69" s="300"/>
      <c r="N69" s="300"/>
      <c r="O69" s="300"/>
      <c r="P69" s="185">
        <v>428</v>
      </c>
      <c r="Q69" s="185"/>
      <c r="R69" s="224"/>
      <c r="S69" s="185">
        <v>979</v>
      </c>
      <c r="T69" s="300"/>
      <c r="U69" s="185">
        <v>1892</v>
      </c>
      <c r="V69" s="185"/>
      <c r="W69" s="300"/>
      <c r="X69" s="185"/>
      <c r="Y69" s="185">
        <v>3812</v>
      </c>
      <c r="Z69" s="185"/>
      <c r="AA69" s="185"/>
      <c r="AB69" s="185">
        <v>10670</v>
      </c>
      <c r="AC69" s="185">
        <v>118</v>
      </c>
      <c r="AD69" s="185"/>
      <c r="AE69" s="185">
        <v>4034</v>
      </c>
      <c r="AF69" s="185"/>
      <c r="AG69" s="185">
        <v>1539</v>
      </c>
      <c r="AH69" s="185"/>
      <c r="AI69" s="185"/>
      <c r="AJ69" s="185">
        <v>12416</v>
      </c>
      <c r="AK69" s="185"/>
      <c r="AL69" s="185"/>
      <c r="AM69" s="185"/>
      <c r="AN69" s="185"/>
      <c r="AO69" s="300"/>
      <c r="AP69" s="185"/>
      <c r="AQ69" s="300"/>
      <c r="AR69" s="300"/>
      <c r="AS69" s="300"/>
      <c r="AT69" s="300"/>
      <c r="AU69" s="185"/>
      <c r="AV69" s="185"/>
      <c r="AW69" s="185"/>
      <c r="AX69" s="185"/>
      <c r="AY69" s="185">
        <v>131</v>
      </c>
      <c r="AZ69" s="185"/>
      <c r="BA69" s="185"/>
      <c r="BB69" s="185"/>
      <c r="BC69" s="185"/>
      <c r="BD69" s="185"/>
      <c r="BE69" s="185">
        <v>8390</v>
      </c>
      <c r="BF69" s="185"/>
      <c r="BG69" s="185"/>
      <c r="BH69" s="224">
        <v>715</v>
      </c>
      <c r="BI69" s="185"/>
      <c r="BJ69" s="185"/>
      <c r="BK69" s="185">
        <v>1330</v>
      </c>
      <c r="BL69" s="185"/>
      <c r="BM69" s="185"/>
      <c r="BN69" s="185">
        <f>78575+48250+6666</f>
        <v>133491</v>
      </c>
      <c r="BO69" s="185"/>
      <c r="BP69" s="185">
        <v>1763</v>
      </c>
      <c r="BQ69" s="185"/>
      <c r="BR69" s="185"/>
      <c r="BS69" s="185"/>
      <c r="BT69" s="185"/>
      <c r="BU69" s="185"/>
      <c r="BV69" s="185">
        <v>2629</v>
      </c>
      <c r="BW69" s="185"/>
      <c r="BX69" s="185">
        <v>6952</v>
      </c>
      <c r="BY69" s="185">
        <v>745</v>
      </c>
      <c r="BZ69" s="185"/>
      <c r="CA69" s="185"/>
      <c r="CB69" s="185">
        <v>885</v>
      </c>
      <c r="CC69" s="185">
        <f>540+51+1201+569</f>
        <v>2361</v>
      </c>
      <c r="CD69" s="308">
        <v>1271713</v>
      </c>
      <c r="CE69" s="295">
        <f t="shared" si="0"/>
        <v>1475291</v>
      </c>
      <c r="CF69" s="2"/>
      <c r="CG69" s="2"/>
      <c r="CH69" s="2"/>
    </row>
    <row r="70" spans="1:86" ht="12.65" customHeight="1" x14ac:dyDescent="0.35">
      <c r="A70" s="302" t="s">
        <v>242</v>
      </c>
      <c r="B70" s="295"/>
      <c r="C70" s="300"/>
      <c r="D70" s="300"/>
      <c r="E70" s="300"/>
      <c r="F70" s="185"/>
      <c r="G70" s="300"/>
      <c r="H70" s="300"/>
      <c r="I70" s="300"/>
      <c r="J70" s="185"/>
      <c r="K70" s="185"/>
      <c r="L70" s="185"/>
      <c r="M70" s="300"/>
      <c r="N70" s="300"/>
      <c r="O70" s="300"/>
      <c r="P70" s="300"/>
      <c r="Q70" s="300"/>
      <c r="R70" s="300"/>
      <c r="S70" s="300"/>
      <c r="T70" s="300"/>
      <c r="U70" s="185"/>
      <c r="V70" s="300"/>
      <c r="W70" s="300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08">
        <v>154573</v>
      </c>
      <c r="CE70" s="295">
        <f t="shared" si="0"/>
        <v>154573</v>
      </c>
      <c r="CF70" s="2"/>
      <c r="CG70" s="2"/>
      <c r="CH70" s="2"/>
    </row>
    <row r="71" spans="1:86" ht="12.65" customHeight="1" x14ac:dyDescent="0.35">
      <c r="A71" s="302" t="s">
        <v>243</v>
      </c>
      <c r="B71" s="295"/>
      <c r="C71" s="295">
        <f>SUM(C61:C68)+C69-C70</f>
        <v>0</v>
      </c>
      <c r="D71" s="295">
        <f t="shared" ref="D71:AI71" si="5">SUM(D61:D69)-D70</f>
        <v>0</v>
      </c>
      <c r="E71" s="295">
        <f t="shared" si="5"/>
        <v>2825274.4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29338</v>
      </c>
      <c r="M71" s="295">
        <f t="shared" si="5"/>
        <v>0</v>
      </c>
      <c r="N71" s="295">
        <f t="shared" si="5"/>
        <v>0</v>
      </c>
      <c r="O71" s="295">
        <f t="shared" si="5"/>
        <v>0</v>
      </c>
      <c r="P71" s="295">
        <f t="shared" si="5"/>
        <v>709962</v>
      </c>
      <c r="Q71" s="295">
        <f t="shared" si="5"/>
        <v>0</v>
      </c>
      <c r="R71" s="295">
        <f t="shared" si="5"/>
        <v>391809</v>
      </c>
      <c r="S71" s="295">
        <f t="shared" si="5"/>
        <v>183185</v>
      </c>
      <c r="T71" s="295">
        <f t="shared" si="5"/>
        <v>0</v>
      </c>
      <c r="U71" s="295">
        <f t="shared" si="5"/>
        <v>1176295.8900000001</v>
      </c>
      <c r="V71" s="295">
        <f t="shared" si="5"/>
        <v>0</v>
      </c>
      <c r="W71" s="295">
        <f t="shared" si="5"/>
        <v>0</v>
      </c>
      <c r="X71" s="295">
        <f t="shared" si="5"/>
        <v>0</v>
      </c>
      <c r="Y71" s="295">
        <f t="shared" si="5"/>
        <v>1360340</v>
      </c>
      <c r="Z71" s="295">
        <f t="shared" si="5"/>
        <v>0</v>
      </c>
      <c r="AA71" s="295">
        <f t="shared" si="5"/>
        <v>0</v>
      </c>
      <c r="AB71" s="295">
        <f t="shared" si="5"/>
        <v>862093</v>
      </c>
      <c r="AC71" s="295">
        <f t="shared" si="5"/>
        <v>160915</v>
      </c>
      <c r="AD71" s="295">
        <f t="shared" si="5"/>
        <v>0</v>
      </c>
      <c r="AE71" s="295">
        <f t="shared" si="5"/>
        <v>854491</v>
      </c>
      <c r="AF71" s="295">
        <f t="shared" si="5"/>
        <v>0</v>
      </c>
      <c r="AG71" s="295">
        <f t="shared" si="5"/>
        <v>2293934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1318720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35270</v>
      </c>
      <c r="AQ71" s="295">
        <f t="shared" si="6"/>
        <v>0</v>
      </c>
      <c r="AR71" s="295">
        <f t="shared" si="6"/>
        <v>0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0</v>
      </c>
      <c r="AW71" s="295">
        <f t="shared" si="6"/>
        <v>0</v>
      </c>
      <c r="AX71" s="295">
        <f t="shared" si="6"/>
        <v>0</v>
      </c>
      <c r="AY71" s="295">
        <f t="shared" si="6"/>
        <v>420879</v>
      </c>
      <c r="AZ71" s="295">
        <f t="shared" si="6"/>
        <v>0</v>
      </c>
      <c r="BA71" s="295">
        <f t="shared" si="6"/>
        <v>10853</v>
      </c>
      <c r="BB71" s="295">
        <f t="shared" si="6"/>
        <v>0</v>
      </c>
      <c r="BC71" s="295">
        <f t="shared" si="6"/>
        <v>0</v>
      </c>
      <c r="BD71" s="295">
        <f t="shared" si="6"/>
        <v>149355</v>
      </c>
      <c r="BE71" s="295">
        <f t="shared" si="6"/>
        <v>744472</v>
      </c>
      <c r="BF71" s="295">
        <f t="shared" si="6"/>
        <v>309402</v>
      </c>
      <c r="BG71" s="295">
        <f t="shared" si="6"/>
        <v>0</v>
      </c>
      <c r="BH71" s="295">
        <f t="shared" si="6"/>
        <v>991300</v>
      </c>
      <c r="BI71" s="295">
        <f t="shared" si="6"/>
        <v>0</v>
      </c>
      <c r="BJ71" s="295">
        <f t="shared" si="6"/>
        <v>429296</v>
      </c>
      <c r="BK71" s="295">
        <f t="shared" si="6"/>
        <v>336634</v>
      </c>
      <c r="BL71" s="295">
        <f t="shared" si="6"/>
        <v>0</v>
      </c>
      <c r="BM71" s="295">
        <f t="shared" si="6"/>
        <v>0</v>
      </c>
      <c r="BN71" s="295">
        <f t="shared" si="6"/>
        <v>760203.73</v>
      </c>
      <c r="BO71" s="295">
        <f t="shared" si="6"/>
        <v>2210</v>
      </c>
      <c r="BP71" s="295">
        <f t="shared" ref="BP71:CC71" si="7">SUM(BP61:BP69)-BP70</f>
        <v>205630</v>
      </c>
      <c r="BQ71" s="295">
        <f t="shared" si="7"/>
        <v>0</v>
      </c>
      <c r="BR71" s="295">
        <f t="shared" si="7"/>
        <v>216830</v>
      </c>
      <c r="BS71" s="295">
        <f t="shared" si="7"/>
        <v>0</v>
      </c>
      <c r="BT71" s="295">
        <f t="shared" si="7"/>
        <v>0</v>
      </c>
      <c r="BU71" s="295">
        <f t="shared" si="7"/>
        <v>0</v>
      </c>
      <c r="BV71" s="295">
        <f t="shared" si="7"/>
        <v>242959</v>
      </c>
      <c r="BW71" s="295">
        <f t="shared" si="7"/>
        <v>0</v>
      </c>
      <c r="BX71" s="295">
        <f t="shared" si="7"/>
        <v>141537</v>
      </c>
      <c r="BY71" s="295">
        <f t="shared" si="7"/>
        <v>477544</v>
      </c>
      <c r="BZ71" s="295">
        <f t="shared" si="7"/>
        <v>0</v>
      </c>
      <c r="CA71" s="295">
        <f t="shared" si="7"/>
        <v>32721</v>
      </c>
      <c r="CB71" s="295">
        <f t="shared" si="7"/>
        <v>66456</v>
      </c>
      <c r="CC71" s="295">
        <f t="shared" si="7"/>
        <v>716892</v>
      </c>
      <c r="CD71" s="301">
        <f>CD69-CD70</f>
        <v>1117140</v>
      </c>
      <c r="CE71" s="295">
        <f>SUM(CE61:CE69)-CE70</f>
        <v>19573941.02</v>
      </c>
      <c r="CF71" s="2"/>
      <c r="CG71" s="2"/>
      <c r="CH71" s="2"/>
    </row>
    <row r="72" spans="1:86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>
        <v>601879</v>
      </c>
      <c r="CF72" s="2"/>
      <c r="CG72" s="2"/>
      <c r="CH72" s="2"/>
    </row>
    <row r="73" spans="1:86" ht="12.65" customHeight="1" x14ac:dyDescent="0.35">
      <c r="A73" s="302" t="s">
        <v>245</v>
      </c>
      <c r="B73" s="295"/>
      <c r="C73" s="300">
        <v>7240</v>
      </c>
      <c r="D73" s="300"/>
      <c r="E73" s="185">
        <f>1077344+203372+110482-4</f>
        <v>1391194</v>
      </c>
      <c r="F73" s="185"/>
      <c r="G73" s="300"/>
      <c r="H73" s="300"/>
      <c r="I73" s="185"/>
      <c r="J73" s="185"/>
      <c r="K73" s="185"/>
      <c r="L73" s="185">
        <v>2985553</v>
      </c>
      <c r="M73" s="300"/>
      <c r="N73" s="300"/>
      <c r="O73" s="300"/>
      <c r="P73" s="185">
        <v>8857</v>
      </c>
      <c r="Q73" s="185">
        <v>1181</v>
      </c>
      <c r="R73" s="185">
        <v>11469</v>
      </c>
      <c r="S73" s="185">
        <v>81256</v>
      </c>
      <c r="T73" s="185"/>
      <c r="U73" s="185">
        <f>309561+4003</f>
        <v>313564</v>
      </c>
      <c r="V73" s="185"/>
      <c r="W73" s="185"/>
      <c r="X73" s="185"/>
      <c r="Y73" s="185">
        <v>302772</v>
      </c>
      <c r="Z73" s="185"/>
      <c r="AA73" s="185"/>
      <c r="AB73" s="185">
        <v>856579</v>
      </c>
      <c r="AC73" s="185">
        <v>127401</v>
      </c>
      <c r="AD73" s="185"/>
      <c r="AE73" s="185">
        <v>665629</v>
      </c>
      <c r="AF73" s="185"/>
      <c r="AG73" s="185">
        <v>140990</v>
      </c>
      <c r="AH73" s="185"/>
      <c r="AI73" s="185"/>
      <c r="AJ73" s="185">
        <v>6243</v>
      </c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6899928</v>
      </c>
      <c r="CF73" s="2"/>
      <c r="CG73" s="2"/>
      <c r="CH73" s="2"/>
    </row>
    <row r="74" spans="1:86" ht="12.65" customHeight="1" x14ac:dyDescent="0.35">
      <c r="A74" s="302" t="s">
        <v>246</v>
      </c>
      <c r="B74" s="295"/>
      <c r="C74" s="300"/>
      <c r="D74" s="300"/>
      <c r="E74" s="185">
        <f>165952+56063+5637</f>
        <v>227652</v>
      </c>
      <c r="F74" s="185"/>
      <c r="G74" s="300"/>
      <c r="H74" s="300"/>
      <c r="I74" s="300"/>
      <c r="J74" s="185"/>
      <c r="K74" s="185"/>
      <c r="L74" s="185"/>
      <c r="M74" s="300"/>
      <c r="N74" s="300"/>
      <c r="O74" s="300"/>
      <c r="P74" s="185">
        <f>909396+99901</f>
        <v>1009297</v>
      </c>
      <c r="Q74" s="185">
        <v>20856</v>
      </c>
      <c r="R74" s="185">
        <v>344892</v>
      </c>
      <c r="S74" s="185">
        <v>150911</v>
      </c>
      <c r="T74" s="185"/>
      <c r="U74" s="185">
        <f>1967535+7663</f>
        <v>1975198</v>
      </c>
      <c r="V74" s="185"/>
      <c r="W74" s="185"/>
      <c r="X74" s="185"/>
      <c r="Y74" s="185">
        <f>4804255.9+695386.5+4211.8+3</f>
        <v>5503857.2000000002</v>
      </c>
      <c r="Z74" s="185"/>
      <c r="AA74" s="185"/>
      <c r="AB74" s="185">
        <v>2094592</v>
      </c>
      <c r="AC74" s="185">
        <v>442442</v>
      </c>
      <c r="AD74" s="185"/>
      <c r="AE74" s="185">
        <v>1009580</v>
      </c>
      <c r="AF74" s="185"/>
      <c r="AG74" s="185">
        <v>4180815</v>
      </c>
      <c r="AH74" s="185"/>
      <c r="AI74" s="185"/>
      <c r="AJ74" s="185">
        <v>1029461</v>
      </c>
      <c r="AK74" s="185"/>
      <c r="AL74" s="185"/>
      <c r="AM74" s="185"/>
      <c r="AN74" s="185"/>
      <c r="AO74" s="185"/>
      <c r="AP74" s="185">
        <v>33497</v>
      </c>
      <c r="AQ74" s="185"/>
      <c r="AR74" s="185"/>
      <c r="AS74" s="185"/>
      <c r="AT74" s="185"/>
      <c r="AU74" s="185"/>
      <c r="AV74" s="185"/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18023050.199999999</v>
      </c>
      <c r="CF74" s="2"/>
      <c r="CG74" s="2"/>
      <c r="CH74" s="2"/>
    </row>
    <row r="75" spans="1:86" ht="12.65" customHeight="1" x14ac:dyDescent="0.35">
      <c r="A75" s="302" t="s">
        <v>247</v>
      </c>
      <c r="B75" s="295"/>
      <c r="C75" s="295">
        <f t="shared" ref="C75:AV75" si="9">SUM(C73:C74)</f>
        <v>7240</v>
      </c>
      <c r="D75" s="295">
        <f t="shared" si="9"/>
        <v>0</v>
      </c>
      <c r="E75" s="295">
        <f t="shared" si="9"/>
        <v>1618846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2985553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1018154</v>
      </c>
      <c r="Q75" s="295">
        <f t="shared" si="9"/>
        <v>22037</v>
      </c>
      <c r="R75" s="295">
        <f t="shared" si="9"/>
        <v>356361</v>
      </c>
      <c r="S75" s="295">
        <f t="shared" si="9"/>
        <v>232167</v>
      </c>
      <c r="T75" s="295">
        <f t="shared" si="9"/>
        <v>0</v>
      </c>
      <c r="U75" s="295">
        <f t="shared" si="9"/>
        <v>2288762</v>
      </c>
      <c r="V75" s="295">
        <f t="shared" si="9"/>
        <v>0</v>
      </c>
      <c r="W75" s="295">
        <f t="shared" si="9"/>
        <v>0</v>
      </c>
      <c r="X75" s="295">
        <f t="shared" si="9"/>
        <v>0</v>
      </c>
      <c r="Y75" s="295">
        <f t="shared" si="9"/>
        <v>5806629.2000000002</v>
      </c>
      <c r="Z75" s="295">
        <f t="shared" si="9"/>
        <v>0</v>
      </c>
      <c r="AA75" s="295">
        <f t="shared" si="9"/>
        <v>0</v>
      </c>
      <c r="AB75" s="295">
        <f t="shared" si="9"/>
        <v>2951171</v>
      </c>
      <c r="AC75" s="295">
        <f t="shared" si="9"/>
        <v>569843</v>
      </c>
      <c r="AD75" s="295">
        <f t="shared" si="9"/>
        <v>0</v>
      </c>
      <c r="AE75" s="295">
        <f t="shared" si="9"/>
        <v>1675209</v>
      </c>
      <c r="AF75" s="295">
        <f t="shared" si="9"/>
        <v>0</v>
      </c>
      <c r="AG75" s="295">
        <f t="shared" si="9"/>
        <v>4321805</v>
      </c>
      <c r="AH75" s="295">
        <f t="shared" si="9"/>
        <v>0</v>
      </c>
      <c r="AI75" s="295">
        <f t="shared" si="9"/>
        <v>0</v>
      </c>
      <c r="AJ75" s="295">
        <f t="shared" si="9"/>
        <v>1035704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33497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24922978.199999999</v>
      </c>
      <c r="CF75" s="2"/>
      <c r="CG75" s="2"/>
      <c r="CH75" s="2"/>
    </row>
    <row r="76" spans="1:86" ht="12.65" customHeight="1" x14ac:dyDescent="0.35">
      <c r="A76" s="302" t="s">
        <v>248</v>
      </c>
      <c r="B76" s="295"/>
      <c r="C76" s="300"/>
      <c r="D76" s="300"/>
      <c r="E76" s="185">
        <v>10104</v>
      </c>
      <c r="F76" s="185"/>
      <c r="G76" s="300"/>
      <c r="H76" s="300"/>
      <c r="I76" s="185"/>
      <c r="J76" s="185"/>
      <c r="K76" s="185"/>
      <c r="L76" s="185"/>
      <c r="M76" s="185"/>
      <c r="N76" s="185"/>
      <c r="O76" s="185"/>
      <c r="P76" s="185">
        <v>3817</v>
      </c>
      <c r="Q76" s="185"/>
      <c r="R76" s="185"/>
      <c r="S76" s="185"/>
      <c r="T76" s="185"/>
      <c r="U76" s="185">
        <v>1143</v>
      </c>
      <c r="V76" s="185"/>
      <c r="W76" s="185"/>
      <c r="X76" s="185"/>
      <c r="Y76" s="185">
        <v>4866</v>
      </c>
      <c r="Z76" s="185"/>
      <c r="AA76" s="185"/>
      <c r="AB76" s="185">
        <v>574</v>
      </c>
      <c r="AC76" s="185">
        <v>349</v>
      </c>
      <c r="AD76" s="185"/>
      <c r="AE76" s="185">
        <v>2748</v>
      </c>
      <c r="AF76" s="185"/>
      <c r="AG76" s="185">
        <v>2835</v>
      </c>
      <c r="AH76" s="185"/>
      <c r="AI76" s="185"/>
      <c r="AJ76" s="185">
        <v>5347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2674</v>
      </c>
      <c r="AZ76" s="185"/>
      <c r="BA76" s="185">
        <v>156</v>
      </c>
      <c r="BB76" s="185"/>
      <c r="BC76" s="185"/>
      <c r="BD76" s="185">
        <v>1045</v>
      </c>
      <c r="BE76" s="185">
        <v>6369</v>
      </c>
      <c r="BF76" s="185">
        <v>786</v>
      </c>
      <c r="BG76" s="185"/>
      <c r="BH76" s="185"/>
      <c r="BI76" s="185"/>
      <c r="BJ76" s="185"/>
      <c r="BK76" s="185"/>
      <c r="BL76" s="185"/>
      <c r="BM76" s="185"/>
      <c r="BN76" s="185">
        <v>17650</v>
      </c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305" t="s">
        <v>221</v>
      </c>
      <c r="CE76" s="295">
        <f t="shared" si="8"/>
        <v>60463</v>
      </c>
      <c r="CF76" s="295">
        <f>BE59-CE76</f>
        <v>0</v>
      </c>
      <c r="CG76" s="2"/>
      <c r="CH76" s="2"/>
    </row>
    <row r="77" spans="1:86" ht="12.65" customHeight="1" x14ac:dyDescent="0.35">
      <c r="A77" s="302" t="s">
        <v>249</v>
      </c>
      <c r="B77" s="295"/>
      <c r="C77" s="300"/>
      <c r="D77" s="300"/>
      <c r="E77" s="300">
        <v>5723</v>
      </c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>
        <v>134</v>
      </c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5" t="s">
        <v>221</v>
      </c>
      <c r="AY77" s="305" t="s">
        <v>221</v>
      </c>
      <c r="AZ77" s="300"/>
      <c r="BA77" s="300"/>
      <c r="BB77" s="300"/>
      <c r="BC77" s="300"/>
      <c r="BD77" s="305" t="s">
        <v>221</v>
      </c>
      <c r="BE77" s="305" t="s">
        <v>221</v>
      </c>
      <c r="BF77" s="300"/>
      <c r="BG77" s="305" t="s">
        <v>221</v>
      </c>
      <c r="BH77" s="300"/>
      <c r="BI77" s="300"/>
      <c r="BJ77" s="305" t="s">
        <v>221</v>
      </c>
      <c r="BK77" s="300"/>
      <c r="BL77" s="300"/>
      <c r="BM77" s="300"/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/>
      <c r="BT77" s="300"/>
      <c r="BU77" s="300"/>
      <c r="BV77" s="300"/>
      <c r="BW77" s="300"/>
      <c r="BX77" s="300"/>
      <c r="BY77" s="300"/>
      <c r="BZ77" s="300"/>
      <c r="CA77" s="300"/>
      <c r="CB77" s="300"/>
      <c r="CC77" s="305" t="s">
        <v>221</v>
      </c>
      <c r="CD77" s="305" t="s">
        <v>221</v>
      </c>
      <c r="CE77" s="295">
        <f>SUM(C77:CD77)</f>
        <v>5857</v>
      </c>
      <c r="CF77" s="295">
        <f>AY59-CE77</f>
        <v>0</v>
      </c>
      <c r="CG77" s="2"/>
      <c r="CH77" s="2"/>
    </row>
    <row r="78" spans="1:86" ht="12.65" customHeight="1" x14ac:dyDescent="0.35">
      <c r="A78" s="302" t="s">
        <v>250</v>
      </c>
      <c r="B78" s="295"/>
      <c r="C78" s="300"/>
      <c r="D78" s="300"/>
      <c r="E78" s="300">
        <v>1881</v>
      </c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>
        <v>591</v>
      </c>
      <c r="Q78" s="300"/>
      <c r="R78" s="300"/>
      <c r="S78" s="300"/>
      <c r="T78" s="300"/>
      <c r="U78" s="300">
        <v>366</v>
      </c>
      <c r="V78" s="300"/>
      <c r="W78" s="300"/>
      <c r="X78" s="300"/>
      <c r="Y78" s="300">
        <v>366</v>
      </c>
      <c r="Z78" s="300"/>
      <c r="AA78" s="300"/>
      <c r="AB78" s="300"/>
      <c r="AC78" s="300"/>
      <c r="AD78" s="300"/>
      <c r="AE78" s="300">
        <v>189</v>
      </c>
      <c r="AF78" s="300"/>
      <c r="AG78" s="300">
        <v>1036</v>
      </c>
      <c r="AH78" s="300"/>
      <c r="AI78" s="300"/>
      <c r="AJ78" s="300">
        <v>839</v>
      </c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5" t="s">
        <v>221</v>
      </c>
      <c r="AY78" s="305" t="s">
        <v>221</v>
      </c>
      <c r="AZ78" s="305" t="s">
        <v>221</v>
      </c>
      <c r="BA78" s="300">
        <v>2803</v>
      </c>
      <c r="BB78" s="300"/>
      <c r="BC78" s="300"/>
      <c r="BD78" s="305" t="s">
        <v>221</v>
      </c>
      <c r="BE78" s="305" t="s">
        <v>221</v>
      </c>
      <c r="BF78" s="305" t="s">
        <v>221</v>
      </c>
      <c r="BG78" s="305" t="s">
        <v>221</v>
      </c>
      <c r="BH78" s="300"/>
      <c r="BI78" s="300"/>
      <c r="BJ78" s="305" t="s">
        <v>221</v>
      </c>
      <c r="BK78" s="300"/>
      <c r="BL78" s="300"/>
      <c r="BM78" s="300"/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/>
      <c r="BT78" s="300"/>
      <c r="BU78" s="300"/>
      <c r="BV78" s="300"/>
      <c r="BW78" s="300"/>
      <c r="BX78" s="300"/>
      <c r="BY78" s="300"/>
      <c r="BZ78" s="300"/>
      <c r="CA78" s="300"/>
      <c r="CB78" s="300"/>
      <c r="CC78" s="305" t="s">
        <v>221</v>
      </c>
      <c r="CD78" s="305" t="s">
        <v>221</v>
      </c>
      <c r="CE78" s="295">
        <f t="shared" si="8"/>
        <v>8071</v>
      </c>
      <c r="CF78" s="295"/>
      <c r="CG78" s="2"/>
      <c r="CH78" s="2"/>
    </row>
    <row r="79" spans="1:86" ht="12.65" customHeight="1" x14ac:dyDescent="0.35">
      <c r="A79" s="302" t="s">
        <v>251</v>
      </c>
      <c r="B79" s="295"/>
      <c r="C79" s="225"/>
      <c r="D79" s="225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/>
      <c r="BI79" s="300"/>
      <c r="BJ79" s="305" t="s">
        <v>221</v>
      </c>
      <c r="BK79" s="300"/>
      <c r="BL79" s="300"/>
      <c r="BM79" s="300"/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/>
      <c r="BT79" s="300"/>
      <c r="BU79" s="300"/>
      <c r="BV79" s="300"/>
      <c r="BW79" s="300"/>
      <c r="BX79" s="300"/>
      <c r="BY79" s="300"/>
      <c r="BZ79" s="300"/>
      <c r="CA79" s="300"/>
      <c r="CB79" s="300"/>
      <c r="CC79" s="305" t="s">
        <v>221</v>
      </c>
      <c r="CD79" s="305" t="s">
        <v>221</v>
      </c>
      <c r="CE79" s="295">
        <f t="shared" si="8"/>
        <v>0</v>
      </c>
      <c r="CF79" s="295">
        <f>BA59</f>
        <v>0</v>
      </c>
      <c r="CG79" s="2"/>
      <c r="CH79" s="2"/>
    </row>
    <row r="80" spans="1:86" ht="12.65" customHeight="1" x14ac:dyDescent="0.35">
      <c r="A80" s="302" t="s">
        <v>252</v>
      </c>
      <c r="B80" s="295"/>
      <c r="C80" s="187"/>
      <c r="D80" s="187"/>
      <c r="E80" s="187">
        <v>7.38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f>1.94+0.1</f>
        <v>2.04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3.9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13.32</v>
      </c>
      <c r="CF80" s="310"/>
      <c r="CG80" s="2"/>
      <c r="CH80" s="2"/>
    </row>
    <row r="81" spans="1:86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</row>
    <row r="82" spans="1:86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</row>
    <row r="83" spans="1:86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</row>
    <row r="84" spans="1:86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</row>
    <row r="85" spans="1:86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</row>
    <row r="86" spans="1:86" ht="12.65" customHeight="1" x14ac:dyDescent="0.35">
      <c r="A86" s="295" t="s">
        <v>1251</v>
      </c>
      <c r="B86" s="312" t="s">
        <v>256</v>
      </c>
      <c r="C86" s="230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</row>
    <row r="87" spans="1:86" ht="12.65" customHeight="1" x14ac:dyDescent="0.35">
      <c r="A87" s="295" t="s">
        <v>258</v>
      </c>
      <c r="B87" s="312" t="s">
        <v>256</v>
      </c>
      <c r="C87" s="229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</row>
    <row r="88" spans="1:86" ht="12.65" customHeight="1" x14ac:dyDescent="0.35">
      <c r="A88" s="295" t="s">
        <v>259</v>
      </c>
      <c r="B88" s="312" t="s">
        <v>256</v>
      </c>
      <c r="C88" s="229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</row>
    <row r="89" spans="1:86" ht="12.65" customHeight="1" x14ac:dyDescent="0.35">
      <c r="A89" s="295" t="s">
        <v>260</v>
      </c>
      <c r="B89" s="312" t="s">
        <v>256</v>
      </c>
      <c r="C89" s="229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</row>
    <row r="90" spans="1:86" ht="12.65" customHeight="1" x14ac:dyDescent="0.35">
      <c r="A90" s="295" t="s">
        <v>261</v>
      </c>
      <c r="B90" s="312" t="s">
        <v>256</v>
      </c>
      <c r="C90" s="229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</row>
    <row r="91" spans="1:86" ht="12.65" customHeight="1" x14ac:dyDescent="0.35">
      <c r="A91" s="295" t="s">
        <v>262</v>
      </c>
      <c r="B91" s="312" t="s">
        <v>256</v>
      </c>
      <c r="C91" s="229" t="s">
        <v>1276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</row>
    <row r="92" spans="1:86" ht="12.65" customHeight="1" x14ac:dyDescent="0.35">
      <c r="A92" s="295" t="s">
        <v>263</v>
      </c>
      <c r="B92" s="312" t="s">
        <v>256</v>
      </c>
      <c r="C92" s="226" t="s">
        <v>1277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</row>
    <row r="93" spans="1:86" ht="12.65" customHeight="1" x14ac:dyDescent="0.35">
      <c r="A93" s="295" t="s">
        <v>264</v>
      </c>
      <c r="B93" s="312" t="s">
        <v>256</v>
      </c>
      <c r="C93" s="316" t="s">
        <v>1278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</row>
    <row r="94" spans="1:86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</row>
    <row r="95" spans="1:86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</row>
    <row r="96" spans="1:86" ht="12.65" customHeight="1" x14ac:dyDescent="0.35">
      <c r="A96" s="317" t="s">
        <v>266</v>
      </c>
      <c r="B96" s="317"/>
      <c r="C96" s="317"/>
      <c r="D96" s="317"/>
      <c r="E96" s="317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</row>
    <row r="97" spans="1:86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</row>
    <row r="98" spans="1:86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</row>
    <row r="99" spans="1:86" ht="12.65" customHeight="1" x14ac:dyDescent="0.35">
      <c r="A99" s="295" t="s">
        <v>268</v>
      </c>
      <c r="B99" s="312" t="s">
        <v>256</v>
      </c>
      <c r="C99" s="189" t="s">
        <v>1279</v>
      </c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</row>
    <row r="100" spans="1:86" ht="12.65" customHeight="1" x14ac:dyDescent="0.35">
      <c r="A100" s="317" t="s">
        <v>269</v>
      </c>
      <c r="B100" s="317"/>
      <c r="C100" s="317"/>
      <c r="D100" s="317"/>
      <c r="E100" s="317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</row>
    <row r="101" spans="1:86" ht="12.65" customHeight="1" x14ac:dyDescent="0.35">
      <c r="A101" s="295" t="s">
        <v>270</v>
      </c>
      <c r="B101" s="312" t="s">
        <v>256</v>
      </c>
      <c r="C101" s="189"/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</row>
    <row r="102" spans="1:86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1:86" ht="12.65" customHeight="1" x14ac:dyDescent="0.35">
      <c r="A103" s="317" t="s">
        <v>271</v>
      </c>
      <c r="B103" s="317"/>
      <c r="C103" s="317"/>
      <c r="D103" s="317"/>
      <c r="E103" s="317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1:86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1:86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1:86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1:86" ht="12.65" customHeight="1" x14ac:dyDescent="0.35">
      <c r="A107" s="295"/>
      <c r="B107" s="312"/>
      <c r="C107" s="318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1:86" ht="21.75" customHeight="1" x14ac:dyDescent="0.35">
      <c r="A108" s="319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1:86" ht="13.5" customHeight="1" x14ac:dyDescent="0.35">
      <c r="A109" s="295"/>
      <c r="B109" s="312"/>
      <c r="C109" s="318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1:86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1:86" ht="12.65" customHeight="1" x14ac:dyDescent="0.35">
      <c r="A111" s="295" t="s">
        <v>278</v>
      </c>
      <c r="B111" s="312" t="s">
        <v>256</v>
      </c>
      <c r="C111" s="189">
        <v>163</v>
      </c>
      <c r="D111" s="174">
        <v>491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1:86" ht="12.65" customHeight="1" x14ac:dyDescent="0.35">
      <c r="A112" s="295" t="s">
        <v>279</v>
      </c>
      <c r="B112" s="312" t="s">
        <v>256</v>
      </c>
      <c r="C112" s="189">
        <v>101</v>
      </c>
      <c r="D112" s="174">
        <v>1412</v>
      </c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1:86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1:86" ht="12.65" customHeight="1" x14ac:dyDescent="0.35">
      <c r="A114" s="295" t="s">
        <v>281</v>
      </c>
      <c r="B114" s="312" t="s">
        <v>256</v>
      </c>
      <c r="C114" s="189"/>
      <c r="D114" s="174"/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1:86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1:86" ht="12.65" customHeight="1" x14ac:dyDescent="0.35">
      <c r="A116" s="295" t="s">
        <v>283</v>
      </c>
      <c r="B116" s="312" t="s">
        <v>256</v>
      </c>
      <c r="C116" s="189">
        <v>2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1:86" ht="12.65" customHeight="1" x14ac:dyDescent="0.35">
      <c r="A117" s="295" t="s">
        <v>284</v>
      </c>
      <c r="B117" s="312" t="s">
        <v>256</v>
      </c>
      <c r="C117" s="189"/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1:86" ht="12.65" customHeight="1" x14ac:dyDescent="0.35">
      <c r="A118" s="295" t="s">
        <v>1238</v>
      </c>
      <c r="B118" s="312" t="s">
        <v>256</v>
      </c>
      <c r="C118" s="189">
        <v>17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1:86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1:86" ht="12.65" customHeight="1" x14ac:dyDescent="0.35">
      <c r="A120" s="295" t="s">
        <v>286</v>
      </c>
      <c r="B120" s="312" t="s">
        <v>256</v>
      </c>
      <c r="C120" s="189"/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1:86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1:86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1:86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1:86" ht="12.65" customHeight="1" x14ac:dyDescent="0.35">
      <c r="A124" s="295" t="s">
        <v>289</v>
      </c>
      <c r="B124" s="312"/>
      <c r="C124" s="189">
        <v>6</v>
      </c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1:86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1:86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1:86" ht="12.65" customHeight="1" x14ac:dyDescent="0.35">
      <c r="A127" s="295" t="s">
        <v>291</v>
      </c>
      <c r="B127" s="295"/>
      <c r="C127" s="303"/>
      <c r="D127" s="295"/>
      <c r="E127" s="295">
        <f>SUM(C116:C126)</f>
        <v>25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1:86" ht="12.65" customHeight="1" x14ac:dyDescent="0.35">
      <c r="A128" s="295" t="s">
        <v>292</v>
      </c>
      <c r="B128" s="312" t="s">
        <v>256</v>
      </c>
      <c r="C128" s="189">
        <v>25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1:86" ht="12.65" customHeight="1" x14ac:dyDescent="0.35">
      <c r="A129" s="295" t="s">
        <v>293</v>
      </c>
      <c r="B129" s="312" t="s">
        <v>256</v>
      </c>
      <c r="C129" s="189"/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1:86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1:86" ht="12.65" customHeight="1" x14ac:dyDescent="0.35">
      <c r="A131" s="295" t="s">
        <v>294</v>
      </c>
      <c r="B131" s="312" t="s">
        <v>256</v>
      </c>
      <c r="C131" s="189">
        <v>1360830</v>
      </c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1:86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1:86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1:86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1:86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1:86" ht="18" customHeight="1" x14ac:dyDescent="0.35">
      <c r="A136" s="311" t="s">
        <v>1239</v>
      </c>
      <c r="B136" s="319"/>
      <c r="C136" s="319"/>
      <c r="D136" s="319"/>
      <c r="E136" s="3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1:86" ht="12.65" customHeight="1" x14ac:dyDescent="0.35">
      <c r="A137" s="320" t="s">
        <v>295</v>
      </c>
      <c r="B137" s="321" t="s">
        <v>296</v>
      </c>
      <c r="C137" s="322" t="s">
        <v>297</v>
      </c>
      <c r="D137" s="321" t="s">
        <v>132</v>
      </c>
      <c r="E137" s="321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1:86" ht="12.65" customHeight="1" x14ac:dyDescent="0.35">
      <c r="A138" s="295" t="s">
        <v>277</v>
      </c>
      <c r="B138" s="174">
        <v>98</v>
      </c>
      <c r="C138" s="189">
        <v>37</v>
      </c>
      <c r="D138" s="174">
        <v>28</v>
      </c>
      <c r="E138" s="295">
        <f>SUM(B138:D138)</f>
        <v>163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1:86" ht="12.65" customHeight="1" x14ac:dyDescent="0.35">
      <c r="A139" s="295" t="s">
        <v>215</v>
      </c>
      <c r="B139" s="174">
        <v>310</v>
      </c>
      <c r="C139" s="189">
        <v>115</v>
      </c>
      <c r="D139" s="174">
        <v>66</v>
      </c>
      <c r="E139" s="295">
        <f>SUM(B139:D139)</f>
        <v>491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1:86" ht="12.65" customHeight="1" x14ac:dyDescent="0.35">
      <c r="A140" s="295" t="s">
        <v>298</v>
      </c>
      <c r="B140" s="174">
        <v>5230</v>
      </c>
      <c r="C140" s="174">
        <v>4235</v>
      </c>
      <c r="D140" s="174">
        <v>7994</v>
      </c>
      <c r="E140" s="295">
        <f>SUM(B140:D140)</f>
        <v>17459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1:86" ht="12.65" customHeight="1" x14ac:dyDescent="0.35">
      <c r="A141" s="295" t="s">
        <v>245</v>
      </c>
      <c r="B141" s="174">
        <v>1410245</v>
      </c>
      <c r="C141" s="189">
        <v>788266</v>
      </c>
      <c r="D141" s="174">
        <v>355034</v>
      </c>
      <c r="E141" s="295">
        <f>SUM(B141:D141)</f>
        <v>2553545</v>
      </c>
      <c r="F141" s="32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1:86" ht="12.65" customHeight="1" x14ac:dyDescent="0.35">
      <c r="A142" s="295" t="s">
        <v>246</v>
      </c>
      <c r="B142" s="174">
        <f>6284940.23+265166.06</f>
        <v>6550106.29</v>
      </c>
      <c r="C142" s="189">
        <f>50252.47+300138.59+150421+4200793.43</f>
        <v>4701605.49</v>
      </c>
      <c r="D142" s="174">
        <v>6771338</v>
      </c>
      <c r="E142" s="295">
        <f>SUM(B142:D142)</f>
        <v>18023049.780000001</v>
      </c>
      <c r="F142" s="32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1:86" ht="12.65" customHeight="1" x14ac:dyDescent="0.35">
      <c r="A143" s="320" t="s">
        <v>299</v>
      </c>
      <c r="B143" s="321" t="s">
        <v>296</v>
      </c>
      <c r="C143" s="322" t="s">
        <v>297</v>
      </c>
      <c r="D143" s="321" t="s">
        <v>132</v>
      </c>
      <c r="E143" s="321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1:86" ht="12.65" customHeight="1" x14ac:dyDescent="0.35">
      <c r="A144" s="295" t="s">
        <v>277</v>
      </c>
      <c r="B144" s="174">
        <v>81</v>
      </c>
      <c r="C144" s="189">
        <v>1</v>
      </c>
      <c r="D144" s="174">
        <v>19</v>
      </c>
      <c r="E144" s="295">
        <f>SUM(B144:D144)</f>
        <v>101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1:86" ht="12.65" customHeight="1" x14ac:dyDescent="0.35">
      <c r="A145" s="295" t="s">
        <v>215</v>
      </c>
      <c r="B145" s="174">
        <v>1127</v>
      </c>
      <c r="C145" s="189">
        <v>22</v>
      </c>
      <c r="D145" s="174">
        <v>263</v>
      </c>
      <c r="E145" s="295">
        <f>SUM(B145:D145)</f>
        <v>1412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1:86" ht="12.65" customHeight="1" x14ac:dyDescent="0.35">
      <c r="A146" s="295" t="s">
        <v>298</v>
      </c>
      <c r="B146" s="174">
        <v>0</v>
      </c>
      <c r="C146" s="189">
        <v>0</v>
      </c>
      <c r="D146" s="174">
        <v>0</v>
      </c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1:86" ht="12.65" customHeight="1" x14ac:dyDescent="0.35">
      <c r="A147" s="295" t="s">
        <v>245</v>
      </c>
      <c r="B147" s="174">
        <v>4105797</v>
      </c>
      <c r="C147" s="189">
        <v>54856</v>
      </c>
      <c r="D147" s="174">
        <v>185730</v>
      </c>
      <c r="E147" s="295">
        <f>SUM(B147:D147)</f>
        <v>4346383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1:86" ht="12.65" customHeight="1" x14ac:dyDescent="0.35">
      <c r="A148" s="295" t="s">
        <v>246</v>
      </c>
      <c r="B148" s="174">
        <v>0</v>
      </c>
      <c r="C148" s="189">
        <v>0</v>
      </c>
      <c r="D148" s="174">
        <v>0</v>
      </c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1:86" ht="12.65" customHeight="1" x14ac:dyDescent="0.35">
      <c r="A149" s="320" t="s">
        <v>300</v>
      </c>
      <c r="B149" s="321" t="s">
        <v>296</v>
      </c>
      <c r="C149" s="322" t="s">
        <v>297</v>
      </c>
      <c r="D149" s="321" t="s">
        <v>132</v>
      </c>
      <c r="E149" s="321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1:86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1:86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1:86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1:86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1:86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1:86" ht="12.65" customHeight="1" x14ac:dyDescent="0.35">
      <c r="A155" s="301"/>
      <c r="B155" s="301"/>
      <c r="C155" s="324"/>
      <c r="D155" s="325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1:86" ht="12.65" customHeight="1" x14ac:dyDescent="0.35">
      <c r="A156" s="320" t="s">
        <v>301</v>
      </c>
      <c r="B156" s="321" t="s">
        <v>302</v>
      </c>
      <c r="C156" s="322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1:86" ht="12.65" customHeight="1" x14ac:dyDescent="0.35">
      <c r="A157" s="301" t="s">
        <v>304</v>
      </c>
      <c r="B157" s="174">
        <v>3193400</v>
      </c>
      <c r="C157" s="174">
        <v>3154455</v>
      </c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1:86" ht="12.65" customHeight="1" x14ac:dyDescent="0.35">
      <c r="A158" s="301"/>
      <c r="B158" s="325"/>
      <c r="C158" s="324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1:86" ht="12.65" customHeight="1" x14ac:dyDescent="0.35">
      <c r="A159" s="301"/>
      <c r="B159" s="301"/>
      <c r="C159" s="324"/>
      <c r="D159" s="325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1:86" ht="12.65" customHeight="1" x14ac:dyDescent="0.35">
      <c r="A160" s="301"/>
      <c r="B160" s="301"/>
      <c r="C160" s="324"/>
      <c r="D160" s="325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1:86" ht="12.65" customHeight="1" x14ac:dyDescent="0.35">
      <c r="A161" s="301"/>
      <c r="B161" s="301"/>
      <c r="C161" s="324"/>
      <c r="D161" s="325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1:86" ht="12.65" customHeight="1" x14ac:dyDescent="0.35">
      <c r="A162" s="301"/>
      <c r="B162" s="301"/>
      <c r="C162" s="324"/>
      <c r="D162" s="325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1:86" ht="21.75" customHeight="1" x14ac:dyDescent="0.35">
      <c r="A163" s="319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1:86" ht="11.5" customHeight="1" x14ac:dyDescent="0.35">
      <c r="A164" s="317" t="s">
        <v>306</v>
      </c>
      <c r="B164" s="317"/>
      <c r="C164" s="317"/>
      <c r="D164" s="317"/>
      <c r="E164" s="317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1:86" ht="11.5" customHeight="1" x14ac:dyDescent="0.35">
      <c r="A165" s="295" t="s">
        <v>307</v>
      </c>
      <c r="B165" s="312" t="s">
        <v>256</v>
      </c>
      <c r="C165" s="189">
        <v>621143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1:86" ht="11.5" customHeight="1" x14ac:dyDescent="0.35">
      <c r="A166" s="295" t="s">
        <v>308</v>
      </c>
      <c r="B166" s="312" t="s">
        <v>256</v>
      </c>
      <c r="C166" s="189">
        <v>27083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1:86" ht="11.5" customHeight="1" x14ac:dyDescent="0.35">
      <c r="A167" s="301" t="s">
        <v>309</v>
      </c>
      <c r="B167" s="312" t="s">
        <v>256</v>
      </c>
      <c r="C167" s="189">
        <v>122500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1:86" ht="11.5" customHeight="1" x14ac:dyDescent="0.35">
      <c r="A168" s="295" t="s">
        <v>310</v>
      </c>
      <c r="B168" s="312" t="s">
        <v>256</v>
      </c>
      <c r="C168" s="189">
        <v>1289043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1:86" ht="11.5" customHeight="1" x14ac:dyDescent="0.35">
      <c r="A169" s="295" t="s">
        <v>311</v>
      </c>
      <c r="B169" s="312" t="s">
        <v>256</v>
      </c>
      <c r="C169" s="189">
        <v>8043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1:86" ht="11.5" customHeight="1" x14ac:dyDescent="0.35">
      <c r="A170" s="295" t="s">
        <v>312</v>
      </c>
      <c r="B170" s="312" t="s">
        <v>256</v>
      </c>
      <c r="C170" s="189">
        <v>191842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1:86" ht="11.5" customHeight="1" x14ac:dyDescent="0.35">
      <c r="A171" s="295" t="s">
        <v>313</v>
      </c>
      <c r="B171" s="312" t="s">
        <v>256</v>
      </c>
      <c r="C171" s="189">
        <v>194151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1:86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1:86" ht="11.5" customHeight="1" x14ac:dyDescent="0.35">
      <c r="A173" s="295" t="s">
        <v>203</v>
      </c>
      <c r="B173" s="295"/>
      <c r="C173" s="303"/>
      <c r="D173" s="295">
        <f>SUM(C165:C172)</f>
        <v>2453805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1:86" ht="11.5" customHeight="1" x14ac:dyDescent="0.35">
      <c r="A174" s="317" t="s">
        <v>314</v>
      </c>
      <c r="B174" s="317"/>
      <c r="C174" s="317"/>
      <c r="D174" s="317"/>
      <c r="E174" s="317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1:86" ht="11.5" customHeight="1" x14ac:dyDescent="0.35">
      <c r="A175" s="295" t="s">
        <v>315</v>
      </c>
      <c r="B175" s="312" t="s">
        <v>256</v>
      </c>
      <c r="C175" s="189"/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1:86" ht="11.5" customHeight="1" x14ac:dyDescent="0.35">
      <c r="A176" s="295" t="s">
        <v>316</v>
      </c>
      <c r="B176" s="312" t="s">
        <v>256</v>
      </c>
      <c r="C176" s="189">
        <v>13104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1:86" ht="11.5" customHeight="1" x14ac:dyDescent="0.35">
      <c r="A177" s="295" t="s">
        <v>203</v>
      </c>
      <c r="B177" s="295"/>
      <c r="C177" s="303"/>
      <c r="D177" s="295">
        <f>SUM(C175:C176)</f>
        <v>13104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1:86" ht="11.5" customHeight="1" x14ac:dyDescent="0.35">
      <c r="A178" s="317" t="s">
        <v>317</v>
      </c>
      <c r="B178" s="317"/>
      <c r="C178" s="317"/>
      <c r="D178" s="317"/>
      <c r="E178" s="317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1:86" ht="11.5" customHeight="1" x14ac:dyDescent="0.35">
      <c r="A179" s="295" t="s">
        <v>318</v>
      </c>
      <c r="B179" s="312" t="s">
        <v>256</v>
      </c>
      <c r="C179" s="189">
        <v>67483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1:86" ht="11.5" customHeight="1" x14ac:dyDescent="0.35">
      <c r="A180" s="295" t="s">
        <v>319</v>
      </c>
      <c r="B180" s="312" t="s">
        <v>256</v>
      </c>
      <c r="C180" s="189">
        <v>73860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1:86" ht="11.5" customHeight="1" x14ac:dyDescent="0.35">
      <c r="A181" s="295" t="s">
        <v>203</v>
      </c>
      <c r="B181" s="295"/>
      <c r="C181" s="303"/>
      <c r="D181" s="295">
        <f>SUM(C179:C180)</f>
        <v>141343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1:86" ht="11.5" customHeight="1" x14ac:dyDescent="0.35">
      <c r="A182" s="317" t="s">
        <v>320</v>
      </c>
      <c r="B182" s="317"/>
      <c r="C182" s="317"/>
      <c r="D182" s="317"/>
      <c r="E182" s="317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1:86" ht="11.5" customHeight="1" x14ac:dyDescent="0.35">
      <c r="A183" s="295" t="s">
        <v>321</v>
      </c>
      <c r="B183" s="312" t="s">
        <v>256</v>
      </c>
      <c r="C183" s="189">
        <v>7323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1:86" ht="11.5" customHeight="1" x14ac:dyDescent="0.35">
      <c r="A184" s="295" t="s">
        <v>322</v>
      </c>
      <c r="B184" s="312" t="s">
        <v>256</v>
      </c>
      <c r="C184" s="189">
        <v>64852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1:86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1:86" ht="11.5" customHeight="1" x14ac:dyDescent="0.35">
      <c r="A186" s="295" t="s">
        <v>203</v>
      </c>
      <c r="B186" s="295"/>
      <c r="C186" s="303"/>
      <c r="D186" s="295">
        <f>SUM(C183:C185)</f>
        <v>72175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1:86" ht="11.5" customHeight="1" x14ac:dyDescent="0.35">
      <c r="A187" s="317" t="s">
        <v>323</v>
      </c>
      <c r="B187" s="317"/>
      <c r="C187" s="317"/>
      <c r="D187" s="317"/>
      <c r="E187" s="31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1:86" ht="11.5" customHeight="1" x14ac:dyDescent="0.35">
      <c r="A188" s="295" t="s">
        <v>324</v>
      </c>
      <c r="B188" s="312" t="s">
        <v>256</v>
      </c>
      <c r="C188" s="189"/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1:86" ht="11.5" customHeight="1" x14ac:dyDescent="0.35">
      <c r="A189" s="295" t="s">
        <v>325</v>
      </c>
      <c r="B189" s="312" t="s">
        <v>256</v>
      </c>
      <c r="C189" s="189">
        <v>1058195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  <row r="190" spans="1:86" ht="11.5" customHeight="1" x14ac:dyDescent="0.35">
      <c r="A190" s="295" t="s">
        <v>203</v>
      </c>
      <c r="B190" s="295"/>
      <c r="C190" s="303"/>
      <c r="D190" s="295">
        <f>SUM(C188:C189)</f>
        <v>1058195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</row>
    <row r="191" spans="1:86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</row>
    <row r="192" spans="1:86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</row>
    <row r="193" spans="1:86" ht="12.65" customHeight="1" x14ac:dyDescent="0.35">
      <c r="A193" s="319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</row>
    <row r="194" spans="1:86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</row>
    <row r="195" spans="1:86" ht="12.65" customHeight="1" x14ac:dyDescent="0.35">
      <c r="A195" s="295" t="s">
        <v>332</v>
      </c>
      <c r="B195" s="174">
        <v>474331</v>
      </c>
      <c r="C195" s="189"/>
      <c r="D195" s="174"/>
      <c r="E195" s="295">
        <f t="shared" ref="E195:E203" si="10">SUM(B195:C195)-D195</f>
        <v>474331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</row>
    <row r="196" spans="1:86" ht="12.65" customHeight="1" x14ac:dyDescent="0.35">
      <c r="A196" s="295" t="s">
        <v>333</v>
      </c>
      <c r="B196" s="174">
        <v>503985</v>
      </c>
      <c r="C196" s="189"/>
      <c r="D196" s="174"/>
      <c r="E196" s="295">
        <f t="shared" si="10"/>
        <v>503985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</row>
    <row r="197" spans="1:86" ht="12.65" customHeight="1" x14ac:dyDescent="0.35">
      <c r="A197" s="295" t="s">
        <v>334</v>
      </c>
      <c r="B197" s="174">
        <v>18265939</v>
      </c>
      <c r="C197" s="189"/>
      <c r="D197" s="174"/>
      <c r="E197" s="295">
        <f t="shared" si="10"/>
        <v>18265939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</row>
    <row r="198" spans="1:86" ht="12.65" customHeight="1" x14ac:dyDescent="0.35">
      <c r="A198" s="295" t="s">
        <v>335</v>
      </c>
      <c r="B198" s="174"/>
      <c r="C198" s="189"/>
      <c r="D198" s="174"/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</row>
    <row r="199" spans="1:86" ht="12.65" customHeight="1" x14ac:dyDescent="0.35">
      <c r="A199" s="295" t="s">
        <v>336</v>
      </c>
      <c r="B199" s="174">
        <v>928390</v>
      </c>
      <c r="C199" s="189"/>
      <c r="D199" s="174"/>
      <c r="E199" s="295">
        <f t="shared" si="10"/>
        <v>928390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</row>
    <row r="200" spans="1:86" ht="12.65" customHeight="1" x14ac:dyDescent="0.35">
      <c r="A200" s="295" t="s">
        <v>337</v>
      </c>
      <c r="B200" s="174">
        <v>6061559</v>
      </c>
      <c r="C200" s="189">
        <v>22803</v>
      </c>
      <c r="D200" s="174">
        <v>13916</v>
      </c>
      <c r="E200" s="295">
        <f t="shared" si="10"/>
        <v>6070446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</row>
    <row r="201" spans="1:86" ht="12.65" customHeight="1" x14ac:dyDescent="0.35">
      <c r="A201" s="295" t="s">
        <v>338</v>
      </c>
      <c r="B201" s="174"/>
      <c r="C201" s="189"/>
      <c r="D201" s="174"/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</row>
    <row r="202" spans="1:86" ht="12.65" customHeight="1" x14ac:dyDescent="0.35">
      <c r="A202" s="295" t="s">
        <v>339</v>
      </c>
      <c r="B202" s="174"/>
      <c r="C202" s="189"/>
      <c r="D202" s="174"/>
      <c r="E202" s="295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</row>
    <row r="203" spans="1:86" ht="12.65" customHeight="1" x14ac:dyDescent="0.35">
      <c r="A203" s="295" t="s">
        <v>340</v>
      </c>
      <c r="B203" s="174">
        <v>509849</v>
      </c>
      <c r="C203" s="189">
        <v>3382878</v>
      </c>
      <c r="D203" s="174"/>
      <c r="E203" s="295">
        <f t="shared" si="10"/>
        <v>3892727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</row>
    <row r="204" spans="1:86" ht="12.65" customHeight="1" x14ac:dyDescent="0.35">
      <c r="A204" s="295" t="s">
        <v>203</v>
      </c>
      <c r="B204" s="295">
        <f>SUM(B195:B203)</f>
        <v>26744053</v>
      </c>
      <c r="C204" s="303">
        <f>SUM(C195:C203)</f>
        <v>3405681</v>
      </c>
      <c r="D204" s="295">
        <f>SUM(D195:D203)</f>
        <v>13916</v>
      </c>
      <c r="E204" s="295">
        <f>SUM(E195:E203)</f>
        <v>30135818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</row>
    <row r="205" spans="1:86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</row>
    <row r="206" spans="1:86" ht="12.65" customHeight="1" x14ac:dyDescent="0.35">
      <c r="A206" s="319" t="s">
        <v>341</v>
      </c>
      <c r="B206" s="319"/>
      <c r="C206" s="319"/>
      <c r="D206" s="319"/>
      <c r="E206" s="3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</row>
    <row r="207" spans="1:86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</row>
    <row r="208" spans="1:86" ht="12.65" customHeight="1" x14ac:dyDescent="0.35">
      <c r="A208" s="295" t="s">
        <v>332</v>
      </c>
      <c r="B208" s="325"/>
      <c r="C208" s="324"/>
      <c r="D208" s="325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</row>
    <row r="209" spans="1:86" ht="12.65" customHeight="1" x14ac:dyDescent="0.35">
      <c r="A209" s="295" t="s">
        <v>333</v>
      </c>
      <c r="B209" s="174">
        <v>178692</v>
      </c>
      <c r="C209" s="189">
        <v>20057</v>
      </c>
      <c r="D209" s="174"/>
      <c r="E209" s="295">
        <f t="shared" ref="E209:E216" si="11">SUM(B209:C209)-D209</f>
        <v>198749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</row>
    <row r="210" spans="1:86" ht="12.65" customHeight="1" x14ac:dyDescent="0.35">
      <c r="A210" s="295" t="s">
        <v>334</v>
      </c>
      <c r="B210" s="174">
        <v>9043917</v>
      </c>
      <c r="C210" s="189">
        <v>721352</v>
      </c>
      <c r="D210" s="174"/>
      <c r="E210" s="295">
        <f t="shared" si="11"/>
        <v>9765269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</row>
    <row r="211" spans="1:86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</row>
    <row r="212" spans="1:86" ht="12.65" customHeight="1" x14ac:dyDescent="0.35">
      <c r="A212" s="295" t="s">
        <v>336</v>
      </c>
      <c r="B212" s="174">
        <v>379468</v>
      </c>
      <c r="C212" s="189">
        <v>26611</v>
      </c>
      <c r="D212" s="174"/>
      <c r="E212" s="295">
        <f t="shared" si="11"/>
        <v>406079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</row>
    <row r="213" spans="1:86" ht="12.65" customHeight="1" x14ac:dyDescent="0.35">
      <c r="A213" s="295" t="s">
        <v>337</v>
      </c>
      <c r="B213" s="174">
        <v>5058804</v>
      </c>
      <c r="C213" s="189">
        <f>293284+230</f>
        <v>293514</v>
      </c>
      <c r="D213" s="174">
        <f>1672+230</f>
        <v>1902</v>
      </c>
      <c r="E213" s="295">
        <f t="shared" si="11"/>
        <v>5350416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</row>
    <row r="214" spans="1:86" ht="12.65" customHeight="1" x14ac:dyDescent="0.35">
      <c r="A214" s="295" t="s">
        <v>338</v>
      </c>
      <c r="B214" s="174"/>
      <c r="C214" s="189"/>
      <c r="D214" s="174"/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</row>
    <row r="215" spans="1:86" ht="12.65" customHeight="1" x14ac:dyDescent="0.35">
      <c r="A215" s="295" t="s">
        <v>339</v>
      </c>
      <c r="B215" s="174"/>
      <c r="C215" s="189"/>
      <c r="D215" s="174"/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</row>
    <row r="216" spans="1:86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</row>
    <row r="217" spans="1:86" ht="12.65" customHeight="1" x14ac:dyDescent="0.35">
      <c r="A217" s="295" t="s">
        <v>203</v>
      </c>
      <c r="B217" s="295">
        <f>SUM(B208:B216)</f>
        <v>14660881</v>
      </c>
      <c r="C217" s="303">
        <f>SUM(C208:C216)</f>
        <v>1061534</v>
      </c>
      <c r="D217" s="295">
        <f>SUM(D208:D216)</f>
        <v>1902</v>
      </c>
      <c r="E217" s="295">
        <f>SUM(E208:E216)</f>
        <v>15720513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</row>
    <row r="218" spans="1:86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</row>
    <row r="219" spans="1:86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</row>
    <row r="220" spans="1:86" ht="12.65" customHeight="1" x14ac:dyDescent="0.35">
      <c r="A220" s="311"/>
      <c r="B220" s="342" t="s">
        <v>1254</v>
      </c>
      <c r="C220" s="342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</row>
    <row r="221" spans="1:86" ht="12.65" customHeight="1" x14ac:dyDescent="0.35">
      <c r="A221" s="326" t="s">
        <v>1254</v>
      </c>
      <c r="B221" s="311"/>
      <c r="C221" s="189">
        <v>543936</v>
      </c>
      <c r="D221" s="312">
        <f>C221</f>
        <v>543936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</row>
    <row r="222" spans="1:86" ht="12.65" customHeight="1" x14ac:dyDescent="0.35">
      <c r="A222" s="317" t="s">
        <v>343</v>
      </c>
      <c r="B222" s="317"/>
      <c r="C222" s="317"/>
      <c r="D222" s="317"/>
      <c r="E222" s="317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</row>
    <row r="223" spans="1:86" ht="12.65" customHeight="1" x14ac:dyDescent="0.35">
      <c r="A223" s="295" t="s">
        <v>344</v>
      </c>
      <c r="B223" s="312" t="s">
        <v>256</v>
      </c>
      <c r="C223" s="189">
        <v>2519803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</row>
    <row r="224" spans="1:86" ht="12.65" customHeight="1" x14ac:dyDescent="0.35">
      <c r="A224" s="295" t="s">
        <v>345</v>
      </c>
      <c r="B224" s="312" t="s">
        <v>256</v>
      </c>
      <c r="C224" s="189">
        <v>2693276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</row>
    <row r="225" spans="1:86" ht="12.65" customHeight="1" x14ac:dyDescent="0.35">
      <c r="A225" s="295" t="s">
        <v>346</v>
      </c>
      <c r="B225" s="312" t="s">
        <v>256</v>
      </c>
      <c r="C225" s="189">
        <v>64939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</row>
    <row r="226" spans="1:86" ht="12.65" customHeight="1" x14ac:dyDescent="0.35">
      <c r="A226" s="295" t="s">
        <v>347</v>
      </c>
      <c r="B226" s="312" t="s">
        <v>256</v>
      </c>
      <c r="C226" s="189"/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</row>
    <row r="227" spans="1:86" ht="12.65" customHeight="1" x14ac:dyDescent="0.35">
      <c r="A227" s="295" t="s">
        <v>348</v>
      </c>
      <c r="B227" s="312" t="s">
        <v>256</v>
      </c>
      <c r="C227" s="189"/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</row>
    <row r="228" spans="1:86" ht="12.65" customHeight="1" x14ac:dyDescent="0.35">
      <c r="A228" s="295" t="s">
        <v>349</v>
      </c>
      <c r="B228" s="312" t="s">
        <v>256</v>
      </c>
      <c r="C228" s="189">
        <v>2446270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</row>
    <row r="229" spans="1:86" ht="12.65" customHeight="1" x14ac:dyDescent="0.35">
      <c r="A229" s="295" t="s">
        <v>350</v>
      </c>
      <c r="B229" s="295"/>
      <c r="C229" s="303"/>
      <c r="D229" s="295">
        <f>SUM(C223:C228)</f>
        <v>7724288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</row>
    <row r="230" spans="1:86" ht="12.65" customHeight="1" x14ac:dyDescent="0.35">
      <c r="A230" s="317" t="s">
        <v>351</v>
      </c>
      <c r="B230" s="317"/>
      <c r="C230" s="317"/>
      <c r="D230" s="317"/>
      <c r="E230" s="317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</row>
    <row r="231" spans="1:86" ht="12.65" customHeight="1" x14ac:dyDescent="0.35">
      <c r="A231" s="302" t="s">
        <v>352</v>
      </c>
      <c r="B231" s="312" t="s">
        <v>256</v>
      </c>
      <c r="C231" s="189">
        <v>102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</row>
    <row r="232" spans="1:86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</row>
    <row r="233" spans="1:86" ht="12.65" customHeight="1" x14ac:dyDescent="0.35">
      <c r="A233" s="302" t="s">
        <v>353</v>
      </c>
      <c r="B233" s="312" t="s">
        <v>256</v>
      </c>
      <c r="C233" s="189">
        <v>57924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</row>
    <row r="234" spans="1:86" ht="12.65" customHeight="1" x14ac:dyDescent="0.35">
      <c r="A234" s="302" t="s">
        <v>354</v>
      </c>
      <c r="B234" s="312" t="s">
        <v>256</v>
      </c>
      <c r="C234" s="189">
        <v>77205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</row>
    <row r="235" spans="1:86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</row>
    <row r="236" spans="1:86" ht="12.65" customHeight="1" x14ac:dyDescent="0.35">
      <c r="A236" s="302" t="s">
        <v>355</v>
      </c>
      <c r="B236" s="295"/>
      <c r="C236" s="303"/>
      <c r="D236" s="295">
        <f>SUM(C233:C235)</f>
        <v>135129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</row>
    <row r="237" spans="1:86" ht="12.65" customHeight="1" x14ac:dyDescent="0.35">
      <c r="A237" s="317" t="s">
        <v>356</v>
      </c>
      <c r="B237" s="317"/>
      <c r="C237" s="317"/>
      <c r="D237" s="317"/>
      <c r="E237" s="317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</row>
    <row r="238" spans="1:86" ht="12.65" customHeight="1" x14ac:dyDescent="0.35">
      <c r="A238" s="295" t="s">
        <v>357</v>
      </c>
      <c r="B238" s="312" t="s">
        <v>256</v>
      </c>
      <c r="C238" s="189">
        <v>300496</v>
      </c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</row>
    <row r="239" spans="1:86" ht="12.65" customHeight="1" x14ac:dyDescent="0.35">
      <c r="A239" s="295" t="s">
        <v>356</v>
      </c>
      <c r="B239" s="312" t="s">
        <v>256</v>
      </c>
      <c r="C239" s="189">
        <f>120473-43991</f>
        <v>76482</v>
      </c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</row>
    <row r="240" spans="1:86" ht="12.65" customHeight="1" x14ac:dyDescent="0.35">
      <c r="A240" s="295" t="s">
        <v>358</v>
      </c>
      <c r="B240" s="295"/>
      <c r="C240" s="303"/>
      <c r="D240" s="295">
        <f>SUM(C238:C239)</f>
        <v>376978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</row>
    <row r="241" spans="1:86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</row>
    <row r="242" spans="1:86" ht="12.65" customHeight="1" x14ac:dyDescent="0.35">
      <c r="A242" s="295" t="s">
        <v>359</v>
      </c>
      <c r="B242" s="295"/>
      <c r="C242" s="303"/>
      <c r="D242" s="295">
        <f>D221+D229+D236+D240</f>
        <v>8780331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</row>
    <row r="243" spans="1:86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</row>
    <row r="244" spans="1:86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</row>
    <row r="245" spans="1:86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</row>
    <row r="246" spans="1:86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</row>
    <row r="247" spans="1:86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</row>
    <row r="248" spans="1:86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</row>
    <row r="249" spans="1:86" ht="12.65" customHeight="1" x14ac:dyDescent="0.35">
      <c r="A249" s="317" t="s">
        <v>361</v>
      </c>
      <c r="B249" s="317"/>
      <c r="C249" s="317"/>
      <c r="D249" s="317"/>
      <c r="E249" s="317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</row>
    <row r="250" spans="1:86" ht="12.65" customHeight="1" x14ac:dyDescent="0.35">
      <c r="A250" s="295" t="s">
        <v>362</v>
      </c>
      <c r="B250" s="312" t="s">
        <v>256</v>
      </c>
      <c r="C250" s="189">
        <f>13280227-373</f>
        <v>13279854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</row>
    <row r="251" spans="1:86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</row>
    <row r="252" spans="1:86" ht="12.65" customHeight="1" x14ac:dyDescent="0.35">
      <c r="A252" s="295" t="s">
        <v>364</v>
      </c>
      <c r="B252" s="312" t="s">
        <v>256</v>
      </c>
      <c r="C252" s="189">
        <v>6717532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</row>
    <row r="253" spans="1:86" ht="12.65" customHeight="1" x14ac:dyDescent="0.35">
      <c r="A253" s="295" t="s">
        <v>365</v>
      </c>
      <c r="B253" s="312" t="s">
        <v>256</v>
      </c>
      <c r="C253" s="189">
        <v>4757191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</row>
    <row r="254" spans="1:86" ht="12.65" customHeight="1" x14ac:dyDescent="0.35">
      <c r="A254" s="295" t="s">
        <v>1240</v>
      </c>
      <c r="B254" s="312" t="s">
        <v>256</v>
      </c>
      <c r="C254" s="189">
        <v>-260000</v>
      </c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</row>
    <row r="255" spans="1:86" ht="12.65" customHeight="1" x14ac:dyDescent="0.35">
      <c r="A255" s="295" t="s">
        <v>366</v>
      </c>
      <c r="B255" s="312" t="s">
        <v>256</v>
      </c>
      <c r="C255" s="189">
        <v>570381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</row>
    <row r="256" spans="1:86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</row>
    <row r="257" spans="1:86" ht="12.65" customHeight="1" x14ac:dyDescent="0.35">
      <c r="A257" s="295" t="s">
        <v>368</v>
      </c>
      <c r="B257" s="312" t="s">
        <v>256</v>
      </c>
      <c r="C257" s="189">
        <v>161855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</row>
    <row r="258" spans="1:86" ht="12.65" customHeight="1" x14ac:dyDescent="0.35">
      <c r="A258" s="295" t="s">
        <v>369</v>
      </c>
      <c r="B258" s="312" t="s">
        <v>256</v>
      </c>
      <c r="C258" s="189">
        <v>190399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</row>
    <row r="259" spans="1:86" ht="12.65" customHeight="1" x14ac:dyDescent="0.35">
      <c r="A259" s="295" t="s">
        <v>370</v>
      </c>
      <c r="B259" s="312" t="s">
        <v>256</v>
      </c>
      <c r="C259" s="189"/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</row>
    <row r="260" spans="1:86" ht="11.25" customHeight="1" x14ac:dyDescent="0.35">
      <c r="A260" s="295" t="s">
        <v>371</v>
      </c>
      <c r="B260" s="295"/>
      <c r="C260" s="303"/>
      <c r="D260" s="295">
        <f>SUM(C250:C252)-C253+SUM(C254:C259)</f>
        <v>15902830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</row>
    <row r="261" spans="1:86" ht="12.65" customHeight="1" x14ac:dyDescent="0.35">
      <c r="A261" s="317" t="s">
        <v>372</v>
      </c>
      <c r="B261" s="317"/>
      <c r="C261" s="317"/>
      <c r="D261" s="317"/>
      <c r="E261" s="317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</row>
    <row r="262" spans="1:86" ht="12.65" customHeight="1" x14ac:dyDescent="0.35">
      <c r="A262" s="295" t="s">
        <v>362</v>
      </c>
      <c r="B262" s="312" t="s">
        <v>256</v>
      </c>
      <c r="C262" s="189">
        <v>3917729</v>
      </c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</row>
    <row r="263" spans="1:86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</row>
    <row r="264" spans="1:86" ht="12.65" customHeight="1" x14ac:dyDescent="0.35">
      <c r="A264" s="295" t="s">
        <v>373</v>
      </c>
      <c r="B264" s="312" t="s">
        <v>256</v>
      </c>
      <c r="C264" s="189"/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</row>
    <row r="265" spans="1:86" ht="11.25" customHeight="1" x14ac:dyDescent="0.35">
      <c r="A265" s="295" t="s">
        <v>374</v>
      </c>
      <c r="B265" s="295"/>
      <c r="C265" s="303"/>
      <c r="D265" s="295">
        <f>SUM(C262:C264)</f>
        <v>3917729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</row>
    <row r="266" spans="1:86" ht="12.65" customHeight="1" x14ac:dyDescent="0.35">
      <c r="A266" s="317" t="s">
        <v>375</v>
      </c>
      <c r="B266" s="317"/>
      <c r="C266" s="317"/>
      <c r="D266" s="317"/>
      <c r="E266" s="317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</row>
    <row r="267" spans="1:86" ht="12.65" customHeight="1" x14ac:dyDescent="0.35">
      <c r="A267" s="295" t="s">
        <v>332</v>
      </c>
      <c r="B267" s="312" t="s">
        <v>256</v>
      </c>
      <c r="C267" s="189">
        <v>474331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</row>
    <row r="268" spans="1:86" ht="12.65" customHeight="1" x14ac:dyDescent="0.35">
      <c r="A268" s="295" t="s">
        <v>333</v>
      </c>
      <c r="B268" s="312" t="s">
        <v>256</v>
      </c>
      <c r="C268" s="189">
        <v>503985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</row>
    <row r="269" spans="1:86" ht="12.65" customHeight="1" x14ac:dyDescent="0.35">
      <c r="A269" s="295" t="s">
        <v>334</v>
      </c>
      <c r="B269" s="312" t="s">
        <v>256</v>
      </c>
      <c r="C269" s="189">
        <v>18265939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</row>
    <row r="270" spans="1:86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</row>
    <row r="271" spans="1:86" ht="12.65" customHeight="1" x14ac:dyDescent="0.35">
      <c r="A271" s="295" t="s">
        <v>377</v>
      </c>
      <c r="B271" s="312" t="s">
        <v>256</v>
      </c>
      <c r="C271" s="189">
        <v>928390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</row>
    <row r="272" spans="1:86" ht="12.65" customHeight="1" x14ac:dyDescent="0.35">
      <c r="A272" s="295" t="s">
        <v>378</v>
      </c>
      <c r="B272" s="312" t="s">
        <v>256</v>
      </c>
      <c r="C272" s="189">
        <v>6070446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</row>
    <row r="273" spans="1:86" ht="12.65" customHeight="1" x14ac:dyDescent="0.35">
      <c r="A273" s="295" t="s">
        <v>339</v>
      </c>
      <c r="B273" s="312" t="s">
        <v>256</v>
      </c>
      <c r="C273" s="189"/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</row>
    <row r="274" spans="1:86" ht="12.65" customHeight="1" x14ac:dyDescent="0.35">
      <c r="A274" s="295" t="s">
        <v>340</v>
      </c>
      <c r="B274" s="312" t="s">
        <v>256</v>
      </c>
      <c r="C274" s="189">
        <v>3892727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</row>
    <row r="275" spans="1:86" ht="12.65" customHeight="1" x14ac:dyDescent="0.35">
      <c r="A275" s="295" t="s">
        <v>379</v>
      </c>
      <c r="B275" s="295"/>
      <c r="C275" s="303"/>
      <c r="D275" s="295">
        <f>SUM(C267:C274)</f>
        <v>30135818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</row>
    <row r="276" spans="1:86" ht="12.65" customHeight="1" x14ac:dyDescent="0.35">
      <c r="A276" s="295" t="s">
        <v>380</v>
      </c>
      <c r="B276" s="312" t="s">
        <v>256</v>
      </c>
      <c r="C276" s="189">
        <v>15720513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</row>
    <row r="277" spans="1:86" ht="12.65" customHeight="1" x14ac:dyDescent="0.35">
      <c r="A277" s="295" t="s">
        <v>381</v>
      </c>
      <c r="B277" s="295"/>
      <c r="C277" s="303"/>
      <c r="D277" s="295">
        <f>D275-C276</f>
        <v>14415305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</row>
    <row r="278" spans="1:86" ht="12.65" customHeight="1" x14ac:dyDescent="0.35">
      <c r="A278" s="317" t="s">
        <v>382</v>
      </c>
      <c r="B278" s="317"/>
      <c r="C278" s="317"/>
      <c r="D278" s="317"/>
      <c r="E278" s="317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</row>
    <row r="279" spans="1:86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</row>
    <row r="280" spans="1:86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</row>
    <row r="281" spans="1:86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</row>
    <row r="282" spans="1:86" ht="12.65" customHeight="1" x14ac:dyDescent="0.35">
      <c r="A282" s="295" t="s">
        <v>373</v>
      </c>
      <c r="B282" s="312" t="s">
        <v>256</v>
      </c>
      <c r="C282" s="189"/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</row>
    <row r="283" spans="1:86" ht="12.65" customHeight="1" x14ac:dyDescent="0.35">
      <c r="A283" s="295" t="s">
        <v>386</v>
      </c>
      <c r="B283" s="295"/>
      <c r="C283" s="303"/>
      <c r="D283" s="295">
        <f>C279-C280+C281+C282</f>
        <v>0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</row>
    <row r="284" spans="1:86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</row>
    <row r="285" spans="1:86" ht="12.65" customHeight="1" x14ac:dyDescent="0.35">
      <c r="A285" s="317" t="s">
        <v>387</v>
      </c>
      <c r="B285" s="317"/>
      <c r="C285" s="317"/>
      <c r="D285" s="317"/>
      <c r="E285" s="317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</row>
    <row r="286" spans="1:86" ht="12.65" customHeight="1" x14ac:dyDescent="0.35">
      <c r="A286" s="295" t="s">
        <v>388</v>
      </c>
      <c r="B286" s="312" t="s">
        <v>256</v>
      </c>
      <c r="C286" s="189"/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</row>
    <row r="287" spans="1:86" ht="12.65" customHeight="1" x14ac:dyDescent="0.35">
      <c r="A287" s="295" t="s">
        <v>389</v>
      </c>
      <c r="B287" s="312" t="s">
        <v>256</v>
      </c>
      <c r="C287" s="189"/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</row>
    <row r="288" spans="1:86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</row>
    <row r="289" spans="1:86" ht="12.65" customHeight="1" x14ac:dyDescent="0.35">
      <c r="A289" s="295" t="s">
        <v>391</v>
      </c>
      <c r="B289" s="312" t="s">
        <v>256</v>
      </c>
      <c r="C289" s="189"/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</row>
    <row r="290" spans="1:86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</row>
    <row r="291" spans="1:86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</row>
    <row r="292" spans="1:86" ht="12.65" customHeight="1" x14ac:dyDescent="0.35">
      <c r="A292" s="295" t="s">
        <v>393</v>
      </c>
      <c r="B292" s="295"/>
      <c r="C292" s="303"/>
      <c r="D292" s="295">
        <f>D260+D265+D277+D283+D290</f>
        <v>34235864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</row>
    <row r="293" spans="1:86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</row>
    <row r="294" spans="1:86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</row>
    <row r="295" spans="1:86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</row>
    <row r="296" spans="1:86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</row>
    <row r="297" spans="1:86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</row>
    <row r="298" spans="1:86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</row>
    <row r="299" spans="1:86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</row>
    <row r="300" spans="1:86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</row>
    <row r="301" spans="1:86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</row>
    <row r="302" spans="1:86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</row>
    <row r="303" spans="1:86" ht="12.65" customHeight="1" x14ac:dyDescent="0.35">
      <c r="A303" s="317" t="s">
        <v>395</v>
      </c>
      <c r="B303" s="317"/>
      <c r="C303" s="317"/>
      <c r="D303" s="317"/>
      <c r="E303" s="317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</row>
    <row r="304" spans="1:86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</row>
    <row r="305" spans="1:86" ht="12.65" customHeight="1" x14ac:dyDescent="0.35">
      <c r="A305" s="295" t="s">
        <v>397</v>
      </c>
      <c r="B305" s="312" t="s">
        <v>256</v>
      </c>
      <c r="C305" s="189">
        <v>1380266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</row>
    <row r="306" spans="1:86" ht="12.65" customHeight="1" x14ac:dyDescent="0.35">
      <c r="A306" s="295" t="s">
        <v>398</v>
      </c>
      <c r="B306" s="312" t="s">
        <v>256</v>
      </c>
      <c r="C306" s="189">
        <v>1013905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</row>
    <row r="307" spans="1:86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</row>
    <row r="308" spans="1:86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</row>
    <row r="309" spans="1:86" ht="12.65" customHeight="1" x14ac:dyDescent="0.35">
      <c r="A309" s="295" t="s">
        <v>1241</v>
      </c>
      <c r="B309" s="312" t="s">
        <v>256</v>
      </c>
      <c r="C309" s="189">
        <f>10203098-260000</f>
        <v>9943098</v>
      </c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</row>
    <row r="310" spans="1:86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</row>
    <row r="311" spans="1:86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</row>
    <row r="312" spans="1:86" ht="12.65" customHeight="1" x14ac:dyDescent="0.35">
      <c r="A312" s="295" t="s">
        <v>403</v>
      </c>
      <c r="B312" s="312" t="s">
        <v>256</v>
      </c>
      <c r="C312" s="189"/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</row>
    <row r="313" spans="1:86" ht="12.65" customHeight="1" x14ac:dyDescent="0.35">
      <c r="A313" s="295" t="s">
        <v>404</v>
      </c>
      <c r="B313" s="312" t="s">
        <v>256</v>
      </c>
      <c r="C313" s="189">
        <v>505000</v>
      </c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</row>
    <row r="314" spans="1:86" ht="12.65" customHeight="1" x14ac:dyDescent="0.35">
      <c r="A314" s="295" t="s">
        <v>405</v>
      </c>
      <c r="B314" s="295"/>
      <c r="C314" s="303"/>
      <c r="D314" s="295">
        <f>SUM(C304:C313)</f>
        <v>12842269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</row>
    <row r="315" spans="1:86" ht="12.65" customHeight="1" x14ac:dyDescent="0.35">
      <c r="A315" s="317" t="s">
        <v>406</v>
      </c>
      <c r="B315" s="317"/>
      <c r="C315" s="317"/>
      <c r="D315" s="317"/>
      <c r="E315" s="317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</row>
    <row r="316" spans="1:86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</row>
    <row r="317" spans="1:86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</row>
    <row r="318" spans="1:86" ht="12.65" customHeight="1" x14ac:dyDescent="0.35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</row>
    <row r="319" spans="1:86" ht="12.65" customHeight="1" x14ac:dyDescent="0.35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</row>
    <row r="320" spans="1:86" ht="12.65" customHeight="1" x14ac:dyDescent="0.35">
      <c r="A320" s="317" t="s">
        <v>411</v>
      </c>
      <c r="B320" s="317"/>
      <c r="C320" s="317"/>
      <c r="D320" s="317"/>
      <c r="E320" s="317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</row>
    <row r="321" spans="1:86" ht="12.65" customHeight="1" x14ac:dyDescent="0.35">
      <c r="A321" s="295" t="s">
        <v>412</v>
      </c>
      <c r="B321" s="312" t="s">
        <v>256</v>
      </c>
      <c r="C321" s="189"/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</row>
    <row r="322" spans="1:86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</row>
    <row r="323" spans="1:86" ht="12.65" customHeight="1" x14ac:dyDescent="0.35">
      <c r="A323" s="295" t="s">
        <v>414</v>
      </c>
      <c r="B323" s="312" t="s">
        <v>256</v>
      </c>
      <c r="C323" s="189"/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</row>
    <row r="324" spans="1:86" ht="12.65" customHeight="1" x14ac:dyDescent="0.35">
      <c r="A324" s="302" t="s">
        <v>415</v>
      </c>
      <c r="B324" s="312" t="s">
        <v>256</v>
      </c>
      <c r="C324" s="189">
        <v>126658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</row>
    <row r="325" spans="1:86" ht="12.65" customHeight="1" x14ac:dyDescent="0.35">
      <c r="A325" s="295" t="s">
        <v>416</v>
      </c>
      <c r="B325" s="312" t="s">
        <v>256</v>
      </c>
      <c r="C325" s="189">
        <v>19545000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</row>
    <row r="326" spans="1:86" ht="12.65" customHeight="1" x14ac:dyDescent="0.35">
      <c r="A326" s="302" t="s">
        <v>417</v>
      </c>
      <c r="B326" s="312" t="s">
        <v>256</v>
      </c>
      <c r="C326" s="189"/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</row>
    <row r="327" spans="1:86" ht="19.5" customHeight="1" x14ac:dyDescent="0.35">
      <c r="A327" s="295" t="s">
        <v>418</v>
      </c>
      <c r="B327" s="312" t="s">
        <v>256</v>
      </c>
      <c r="C327" s="189">
        <v>338314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</row>
    <row r="328" spans="1:86" ht="12.65" customHeight="1" x14ac:dyDescent="0.35">
      <c r="A328" s="295" t="s">
        <v>203</v>
      </c>
      <c r="B328" s="295"/>
      <c r="C328" s="303"/>
      <c r="D328" s="295">
        <f>SUM(C321:C327)</f>
        <v>20009972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</row>
    <row r="329" spans="1:86" ht="12.65" customHeight="1" x14ac:dyDescent="0.35">
      <c r="A329" s="295" t="s">
        <v>419</v>
      </c>
      <c r="B329" s="295"/>
      <c r="C329" s="303"/>
      <c r="D329" s="295">
        <f>C313</f>
        <v>505000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</row>
    <row r="330" spans="1:86" ht="12.65" customHeight="1" x14ac:dyDescent="0.35">
      <c r="A330" s="295" t="s">
        <v>420</v>
      </c>
      <c r="B330" s="295"/>
      <c r="C330" s="303"/>
      <c r="D330" s="295">
        <f>D328-D329</f>
        <v>19504972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</row>
    <row r="331" spans="1:86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</row>
    <row r="332" spans="1:86" ht="12.65" customHeight="1" x14ac:dyDescent="0.35">
      <c r="A332" s="295" t="s">
        <v>421</v>
      </c>
      <c r="B332" s="312" t="s">
        <v>256</v>
      </c>
      <c r="C332" s="222">
        <f>1861708+26915</f>
        <v>1888623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</row>
    <row r="333" spans="1:86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</row>
    <row r="334" spans="1:86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</row>
    <row r="335" spans="1:86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</row>
    <row r="336" spans="1:86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</row>
    <row r="337" spans="1:86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</row>
    <row r="338" spans="1:86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</row>
    <row r="339" spans="1:86" ht="12.65" customHeight="1" x14ac:dyDescent="0.35">
      <c r="A339" s="295" t="s">
        <v>424</v>
      </c>
      <c r="B339" s="295"/>
      <c r="C339" s="303"/>
      <c r="D339" s="295">
        <f>D314+D319+D330+C332+C336+C337</f>
        <v>34235864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</row>
    <row r="340" spans="1:86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</row>
    <row r="341" spans="1:86" ht="12.65" customHeight="1" x14ac:dyDescent="0.35">
      <c r="A341" s="295" t="s">
        <v>425</v>
      </c>
      <c r="B341" s="295"/>
      <c r="C341" s="303"/>
      <c r="D341" s="295">
        <f>D292</f>
        <v>34235864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</row>
    <row r="342" spans="1:86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</row>
    <row r="343" spans="1:86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</row>
    <row r="344" spans="1:86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</row>
    <row r="345" spans="1:86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</row>
    <row r="346" spans="1:86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</row>
    <row r="347" spans="1:86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</row>
    <row r="348" spans="1:86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</row>
    <row r="349" spans="1:86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</row>
    <row r="350" spans="1:86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</row>
    <row r="351" spans="1:86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</row>
    <row r="352" spans="1:86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</row>
    <row r="353" spans="1:86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</row>
    <row r="354" spans="1:86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</row>
    <row r="355" spans="1:86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</row>
    <row r="356" spans="1:86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</row>
    <row r="357" spans="1:86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</row>
    <row r="358" spans="1:86" ht="12.65" customHeight="1" x14ac:dyDescent="0.35">
      <c r="A358" s="317" t="s">
        <v>427</v>
      </c>
      <c r="B358" s="317"/>
      <c r="C358" s="317"/>
      <c r="D358" s="317"/>
      <c r="E358" s="317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</row>
    <row r="359" spans="1:86" ht="12.65" customHeight="1" x14ac:dyDescent="0.35">
      <c r="A359" s="295" t="s">
        <v>428</v>
      </c>
      <c r="B359" s="312" t="s">
        <v>256</v>
      </c>
      <c r="C359" s="189">
        <v>6899928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</row>
    <row r="360" spans="1:86" ht="12.65" customHeight="1" x14ac:dyDescent="0.35">
      <c r="A360" s="295" t="s">
        <v>429</v>
      </c>
      <c r="B360" s="312" t="s">
        <v>256</v>
      </c>
      <c r="C360" s="189">
        <v>18023050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</row>
    <row r="361" spans="1:86" ht="12.65" customHeight="1" x14ac:dyDescent="0.35">
      <c r="A361" s="295" t="s">
        <v>430</v>
      </c>
      <c r="B361" s="295"/>
      <c r="C361" s="303"/>
      <c r="D361" s="295">
        <f>SUM(C359:C360)</f>
        <v>24922978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</row>
    <row r="362" spans="1:86" ht="12.65" customHeight="1" x14ac:dyDescent="0.35">
      <c r="A362" s="317" t="s">
        <v>431</v>
      </c>
      <c r="B362" s="317"/>
      <c r="C362" s="317"/>
      <c r="D362" s="317"/>
      <c r="E362" s="317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</row>
    <row r="363" spans="1:86" ht="12.65" customHeight="1" x14ac:dyDescent="0.35">
      <c r="A363" s="295" t="s">
        <v>1254</v>
      </c>
      <c r="B363" s="317"/>
      <c r="C363" s="189">
        <v>543936</v>
      </c>
      <c r="D363" s="295"/>
      <c r="E363" s="317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</row>
    <row r="364" spans="1:86" ht="12.65" customHeight="1" x14ac:dyDescent="0.35">
      <c r="A364" s="295" t="s">
        <v>432</v>
      </c>
      <c r="B364" s="312" t="s">
        <v>256</v>
      </c>
      <c r="C364" s="189">
        <v>7724288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</row>
    <row r="365" spans="1:86" ht="12.65" customHeight="1" x14ac:dyDescent="0.35">
      <c r="A365" s="295" t="s">
        <v>433</v>
      </c>
      <c r="B365" s="312" t="s">
        <v>256</v>
      </c>
      <c r="C365" s="189">
        <v>135129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</row>
    <row r="366" spans="1:86" ht="12.65" customHeight="1" x14ac:dyDescent="0.35">
      <c r="A366" s="295" t="s">
        <v>434</v>
      </c>
      <c r="B366" s="312" t="s">
        <v>256</v>
      </c>
      <c r="C366" s="189">
        <f>300496+76482</f>
        <v>376978</v>
      </c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</row>
    <row r="367" spans="1:86" ht="12.65" customHeight="1" x14ac:dyDescent="0.35">
      <c r="A367" s="295" t="s">
        <v>359</v>
      </c>
      <c r="B367" s="295"/>
      <c r="C367" s="303"/>
      <c r="D367" s="295">
        <f>SUM(C363:C366)</f>
        <v>8780331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</row>
    <row r="368" spans="1:86" ht="12.65" customHeight="1" x14ac:dyDescent="0.35">
      <c r="A368" s="295" t="s">
        <v>435</v>
      </c>
      <c r="B368" s="295"/>
      <c r="C368" s="303"/>
      <c r="D368" s="295">
        <f>D361-D367</f>
        <v>16142647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</row>
    <row r="369" spans="1:86" ht="12.65" customHeight="1" x14ac:dyDescent="0.35">
      <c r="A369" s="317" t="s">
        <v>436</v>
      </c>
      <c r="B369" s="317"/>
      <c r="C369" s="317"/>
      <c r="D369" s="317"/>
      <c r="E369" s="317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</row>
    <row r="370" spans="1:86" ht="12.65" customHeight="1" x14ac:dyDescent="0.35">
      <c r="A370" s="295" t="s">
        <v>437</v>
      </c>
      <c r="B370" s="312" t="s">
        <v>256</v>
      </c>
      <c r="C370" s="189">
        <v>154573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</row>
    <row r="371" spans="1:86" ht="12.65" customHeight="1" x14ac:dyDescent="0.35">
      <c r="A371" s="295" t="s">
        <v>438</v>
      </c>
      <c r="B371" s="312" t="s">
        <v>256</v>
      </c>
      <c r="C371" s="189">
        <v>601879</v>
      </c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</row>
    <row r="372" spans="1:86" ht="12.65" customHeight="1" x14ac:dyDescent="0.35">
      <c r="A372" s="295" t="s">
        <v>439</v>
      </c>
      <c r="B372" s="295"/>
      <c r="C372" s="303"/>
      <c r="D372" s="295">
        <f>SUM(C370:C371)</f>
        <v>756452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</row>
    <row r="373" spans="1:86" ht="12.65" customHeight="1" x14ac:dyDescent="0.35">
      <c r="A373" s="295" t="s">
        <v>440</v>
      </c>
      <c r="B373" s="295"/>
      <c r="C373" s="303"/>
      <c r="D373" s="295">
        <f>D368+D372</f>
        <v>16899099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</row>
    <row r="374" spans="1:86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</row>
    <row r="375" spans="1:86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</row>
    <row r="376" spans="1:86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</row>
    <row r="377" spans="1:86" ht="12.65" customHeight="1" x14ac:dyDescent="0.35">
      <c r="A377" s="317" t="s">
        <v>441</v>
      </c>
      <c r="B377" s="317"/>
      <c r="C377" s="317"/>
      <c r="D377" s="317"/>
      <c r="E377" s="317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</row>
    <row r="378" spans="1:86" ht="12.65" customHeight="1" x14ac:dyDescent="0.35">
      <c r="A378" s="295" t="s">
        <v>442</v>
      </c>
      <c r="B378" s="312" t="s">
        <v>256</v>
      </c>
      <c r="C378" s="189">
        <v>8760027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</row>
    <row r="379" spans="1:86" ht="12.65" customHeight="1" x14ac:dyDescent="0.35">
      <c r="A379" s="295" t="s">
        <v>3</v>
      </c>
      <c r="B379" s="312" t="s">
        <v>256</v>
      </c>
      <c r="C379" s="189">
        <v>2453805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</row>
    <row r="380" spans="1:86" ht="12.65" customHeight="1" x14ac:dyDescent="0.35">
      <c r="A380" s="295" t="s">
        <v>236</v>
      </c>
      <c r="B380" s="312" t="s">
        <v>256</v>
      </c>
      <c r="C380" s="189">
        <v>1949068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</row>
    <row r="381" spans="1:86" ht="12.65" customHeight="1" x14ac:dyDescent="0.35">
      <c r="A381" s="295" t="s">
        <v>443</v>
      </c>
      <c r="B381" s="312" t="s">
        <v>256</v>
      </c>
      <c r="C381" s="189">
        <v>1669286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</row>
    <row r="382" spans="1:86" ht="12.65" customHeight="1" x14ac:dyDescent="0.35">
      <c r="A382" s="295" t="s">
        <v>444</v>
      </c>
      <c r="B382" s="312" t="s">
        <v>256</v>
      </c>
      <c r="C382" s="189">
        <v>282489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</row>
    <row r="383" spans="1:86" ht="12.65" customHeight="1" x14ac:dyDescent="0.35">
      <c r="A383" s="295" t="s">
        <v>445</v>
      </c>
      <c r="B383" s="312" t="s">
        <v>256</v>
      </c>
      <c r="C383" s="189">
        <v>2063910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</row>
    <row r="384" spans="1:86" ht="12.65" customHeight="1" x14ac:dyDescent="0.35">
      <c r="A384" s="295" t="s">
        <v>6</v>
      </c>
      <c r="B384" s="312" t="s">
        <v>256</v>
      </c>
      <c r="C384" s="189">
        <v>1061534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</row>
    <row r="385" spans="1:86" ht="12.65" customHeight="1" x14ac:dyDescent="0.35">
      <c r="A385" s="295" t="s">
        <v>446</v>
      </c>
      <c r="B385" s="312" t="s">
        <v>256</v>
      </c>
      <c r="C385" s="189">
        <v>13104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</row>
    <row r="386" spans="1:86" ht="12.65" customHeight="1" x14ac:dyDescent="0.35">
      <c r="A386" s="295" t="s">
        <v>447</v>
      </c>
      <c r="B386" s="312" t="s">
        <v>256</v>
      </c>
      <c r="C386" s="189">
        <v>141343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</row>
    <row r="387" spans="1:86" ht="12.65" customHeight="1" x14ac:dyDescent="0.35">
      <c r="A387" s="295" t="s">
        <v>448</v>
      </c>
      <c r="B387" s="312" t="s">
        <v>256</v>
      </c>
      <c r="C387" s="189">
        <v>72175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</row>
    <row r="388" spans="1:86" ht="12.65" customHeight="1" x14ac:dyDescent="0.35">
      <c r="A388" s="295" t="s">
        <v>449</v>
      </c>
      <c r="B388" s="312" t="s">
        <v>256</v>
      </c>
      <c r="C388" s="189">
        <v>1058195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</row>
    <row r="389" spans="1:86" ht="12.65" customHeight="1" x14ac:dyDescent="0.35">
      <c r="A389" s="295" t="s">
        <v>451</v>
      </c>
      <c r="B389" s="312" t="s">
        <v>256</v>
      </c>
      <c r="C389" s="189">
        <f>196912+6666</f>
        <v>203578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</row>
    <row r="390" spans="1:86" ht="12.65" customHeight="1" x14ac:dyDescent="0.35">
      <c r="A390" s="295" t="s">
        <v>452</v>
      </c>
      <c r="B390" s="295"/>
      <c r="C390" s="303"/>
      <c r="D390" s="295">
        <f>SUM(C378:C389)</f>
        <v>19728514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</row>
    <row r="391" spans="1:86" ht="12.65" customHeight="1" x14ac:dyDescent="0.35">
      <c r="A391" s="295" t="s">
        <v>453</v>
      </c>
      <c r="B391" s="295"/>
      <c r="C391" s="303"/>
      <c r="D391" s="295">
        <f>D373-D390</f>
        <v>-2829415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</row>
    <row r="392" spans="1:86" ht="12.65" customHeight="1" x14ac:dyDescent="0.35">
      <c r="A392" s="295" t="s">
        <v>454</v>
      </c>
      <c r="B392" s="312" t="s">
        <v>256</v>
      </c>
      <c r="C392" s="189">
        <f>4234805+1058195-601879+2</f>
        <v>4691123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</row>
    <row r="393" spans="1:86" ht="12.65" customHeight="1" x14ac:dyDescent="0.35">
      <c r="A393" s="295" t="s">
        <v>455</v>
      </c>
      <c r="B393" s="295"/>
      <c r="C393" s="303"/>
      <c r="D393" s="295">
        <f>D391+C392</f>
        <v>1861708</v>
      </c>
      <c r="E393" s="295"/>
      <c r="F393" s="327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</row>
    <row r="394" spans="1:86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</row>
    <row r="395" spans="1:86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</row>
    <row r="396" spans="1:86" ht="13.5" customHeight="1" x14ac:dyDescent="0.35">
      <c r="A396" s="295" t="s">
        <v>458</v>
      </c>
      <c r="B396" s="295"/>
      <c r="C396" s="303"/>
      <c r="D396" s="295">
        <f>D393+C394-C395</f>
        <v>1861708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</row>
    <row r="397" spans="1:86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</row>
    <row r="398" spans="1:86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</row>
    <row r="399" spans="1:86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</row>
    <row r="400" spans="1:86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</row>
    <row r="401" spans="1:86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</row>
    <row r="402" spans="1:86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</row>
    <row r="403" spans="1:86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</row>
    <row r="404" spans="1:86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</row>
    <row r="405" spans="1:86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</row>
    <row r="406" spans="1:86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</row>
    <row r="407" spans="1:86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</row>
    <row r="408" spans="1:86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</row>
    <row r="409" spans="1:86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</row>
    <row r="410" spans="1:86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</row>
    <row r="411" spans="1:86" ht="12.65" customHeight="1" x14ac:dyDescent="0.35">
      <c r="A411" s="2"/>
      <c r="B411" s="2"/>
      <c r="C411" s="328" t="s">
        <v>459</v>
      </c>
      <c r="D411" s="2"/>
      <c r="E411" s="32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</row>
    <row r="412" spans="1:86" ht="12.65" customHeight="1" x14ac:dyDescent="0.35">
      <c r="A412" s="2" t="str">
        <f>C84&amp;"   "&amp;"H-"&amp;FIXED(C83,0,TRUE)&amp;"     FYE "&amp;C82</f>
        <v>Skyline Health   H-0     FYE 12/31/2020</v>
      </c>
      <c r="B412" s="2"/>
      <c r="C412" s="2"/>
      <c r="D412" s="2"/>
      <c r="E412" s="32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</row>
    <row r="413" spans="1:86" ht="12.65" customHeight="1" x14ac:dyDescent="0.35">
      <c r="A413" s="2" t="s">
        <v>460</v>
      </c>
      <c r="B413" s="328" t="s">
        <v>461</v>
      </c>
      <c r="C413" s="328" t="s">
        <v>1242</v>
      </c>
      <c r="D413" s="328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</row>
    <row r="414" spans="1:86" ht="12.65" customHeight="1" x14ac:dyDescent="0.35">
      <c r="A414" s="2" t="s">
        <v>463</v>
      </c>
      <c r="B414" s="2">
        <f>C111</f>
        <v>163</v>
      </c>
      <c r="C414" s="2">
        <f>E138</f>
        <v>163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</row>
    <row r="415" spans="1:86" ht="12.65" customHeight="1" x14ac:dyDescent="0.35">
      <c r="A415" s="2" t="s">
        <v>464</v>
      </c>
      <c r="B415" s="2">
        <f>D111</f>
        <v>491</v>
      </c>
      <c r="C415" s="2">
        <f>E139</f>
        <v>491</v>
      </c>
      <c r="D415" s="2">
        <f>SUM(C59:H59)+N59</f>
        <v>491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</row>
    <row r="416" spans="1:86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</row>
    <row r="417" spans="1:86" ht="12.65" customHeight="1" x14ac:dyDescent="0.35">
      <c r="A417" s="2" t="s">
        <v>465</v>
      </c>
      <c r="B417" s="2">
        <f>C112</f>
        <v>101</v>
      </c>
      <c r="C417" s="2">
        <f>E144</f>
        <v>101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</row>
    <row r="418" spans="1:86" ht="12.65" customHeight="1" x14ac:dyDescent="0.35">
      <c r="A418" s="2" t="s">
        <v>466</v>
      </c>
      <c r="B418" s="2">
        <f>D112</f>
        <v>1412</v>
      </c>
      <c r="C418" s="2">
        <f>E145</f>
        <v>1412</v>
      </c>
      <c r="D418" s="2">
        <f>K59+L59</f>
        <v>1412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</row>
    <row r="419" spans="1:86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</row>
    <row r="420" spans="1:86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</row>
    <row r="421" spans="1:86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</row>
    <row r="422" spans="1:86" ht="12.65" customHeight="1" x14ac:dyDescent="0.35">
      <c r="A422" s="330"/>
      <c r="B422" s="330"/>
      <c r="C422" s="328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</row>
    <row r="423" spans="1:86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</row>
    <row r="424" spans="1:86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</row>
    <row r="425" spans="1:86" ht="12.65" customHeight="1" x14ac:dyDescent="0.35">
      <c r="A425" s="330"/>
      <c r="B425" s="330"/>
      <c r="C425" s="330"/>
      <c r="D425" s="330"/>
      <c r="E425" s="2"/>
      <c r="F425" s="330"/>
      <c r="G425" s="330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</row>
    <row r="426" spans="1:86" ht="12.65" customHeight="1" x14ac:dyDescent="0.35">
      <c r="A426" s="2" t="s">
        <v>470</v>
      </c>
      <c r="B426" s="328" t="s">
        <v>471</v>
      </c>
      <c r="C426" s="328" t="s">
        <v>462</v>
      </c>
      <c r="D426" s="328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</row>
    <row r="427" spans="1:86" ht="12.65" customHeight="1" x14ac:dyDescent="0.35">
      <c r="A427" s="2" t="s">
        <v>473</v>
      </c>
      <c r="B427" s="2">
        <f t="shared" ref="B427:B437" si="12">C378</f>
        <v>8760027</v>
      </c>
      <c r="C427" s="2">
        <f t="shared" ref="C427:C434" si="13">CE61</f>
        <v>8760027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</row>
    <row r="428" spans="1:86" ht="12.65" customHeight="1" x14ac:dyDescent="0.35">
      <c r="A428" s="2" t="s">
        <v>3</v>
      </c>
      <c r="B428" s="2">
        <f t="shared" si="12"/>
        <v>2453805</v>
      </c>
      <c r="C428" s="2">
        <f t="shared" si="13"/>
        <v>2453805</v>
      </c>
      <c r="D428" s="2">
        <f>D173</f>
        <v>2453805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</row>
    <row r="429" spans="1:86" ht="12.65" customHeight="1" x14ac:dyDescent="0.35">
      <c r="A429" s="2" t="s">
        <v>236</v>
      </c>
      <c r="B429" s="2">
        <f t="shared" si="12"/>
        <v>1949068</v>
      </c>
      <c r="C429" s="2">
        <f t="shared" si="13"/>
        <v>1949068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</row>
    <row r="430" spans="1:86" ht="12.65" customHeight="1" x14ac:dyDescent="0.35">
      <c r="A430" s="2" t="s">
        <v>237</v>
      </c>
      <c r="B430" s="2">
        <f t="shared" si="12"/>
        <v>1669286</v>
      </c>
      <c r="C430" s="2">
        <f t="shared" si="13"/>
        <v>1669286.29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</row>
    <row r="431" spans="1:86" ht="12.65" customHeight="1" x14ac:dyDescent="0.35">
      <c r="A431" s="2" t="s">
        <v>444</v>
      </c>
      <c r="B431" s="2">
        <f t="shared" si="12"/>
        <v>282489</v>
      </c>
      <c r="C431" s="2">
        <f t="shared" si="13"/>
        <v>282488.73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</row>
    <row r="432" spans="1:86" ht="12.65" customHeight="1" x14ac:dyDescent="0.35">
      <c r="A432" s="2" t="s">
        <v>445</v>
      </c>
      <c r="B432" s="2">
        <f t="shared" si="12"/>
        <v>2063910</v>
      </c>
      <c r="C432" s="2">
        <f t="shared" si="13"/>
        <v>2063910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</row>
    <row r="433" spans="1:86" ht="12.65" customHeight="1" x14ac:dyDescent="0.35">
      <c r="A433" s="2" t="s">
        <v>6</v>
      </c>
      <c r="B433" s="2">
        <f t="shared" si="12"/>
        <v>1061534</v>
      </c>
      <c r="C433" s="2">
        <f t="shared" si="13"/>
        <v>1061534</v>
      </c>
      <c r="D433" s="2">
        <f>C217</f>
        <v>1061534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</row>
    <row r="434" spans="1:86" ht="12.65" customHeight="1" x14ac:dyDescent="0.35">
      <c r="A434" s="2" t="s">
        <v>474</v>
      </c>
      <c r="B434" s="2">
        <f t="shared" si="12"/>
        <v>13104</v>
      </c>
      <c r="C434" s="2">
        <f t="shared" si="13"/>
        <v>13104</v>
      </c>
      <c r="D434" s="2">
        <f>D177</f>
        <v>13104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</row>
    <row r="435" spans="1:86" ht="12.65" customHeight="1" x14ac:dyDescent="0.35">
      <c r="A435" s="2" t="s">
        <v>447</v>
      </c>
      <c r="B435" s="2">
        <f t="shared" si="12"/>
        <v>141343</v>
      </c>
      <c r="C435" s="2"/>
      <c r="D435" s="2">
        <f>D181</f>
        <v>141343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</row>
    <row r="436" spans="1:86" ht="12.65" customHeight="1" x14ac:dyDescent="0.35">
      <c r="A436" s="2" t="s">
        <v>475</v>
      </c>
      <c r="B436" s="2">
        <f t="shared" si="12"/>
        <v>72175</v>
      </c>
      <c r="C436" s="2"/>
      <c r="D436" s="2">
        <f>D186</f>
        <v>72175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</row>
    <row r="437" spans="1:86" ht="12.65" customHeight="1" x14ac:dyDescent="0.35">
      <c r="A437" s="2" t="s">
        <v>449</v>
      </c>
      <c r="B437" s="2">
        <f t="shared" si="12"/>
        <v>1058195</v>
      </c>
      <c r="C437" s="2"/>
      <c r="D437" s="2">
        <f>D190</f>
        <v>1058195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</row>
    <row r="438" spans="1:86" ht="12.65" customHeight="1" x14ac:dyDescent="0.35">
      <c r="A438" s="2" t="s">
        <v>476</v>
      </c>
      <c r="B438" s="2">
        <f>C386+C387+C388</f>
        <v>1271713</v>
      </c>
      <c r="C438" s="2">
        <f>CD69</f>
        <v>1271713</v>
      </c>
      <c r="D438" s="2">
        <f>D181+D186+D190</f>
        <v>1271713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</row>
    <row r="439" spans="1:86" ht="12.65" customHeight="1" x14ac:dyDescent="0.35">
      <c r="A439" s="2" t="s">
        <v>451</v>
      </c>
      <c r="B439" s="2">
        <f>C389</f>
        <v>203578</v>
      </c>
      <c r="C439" s="2">
        <f>SUM(C69:CC69)</f>
        <v>203578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</row>
    <row r="440" spans="1:86" ht="12.65" customHeight="1" x14ac:dyDescent="0.35">
      <c r="A440" s="2" t="s">
        <v>477</v>
      </c>
      <c r="B440" s="2">
        <f>B438+B439</f>
        <v>1475291</v>
      </c>
      <c r="C440" s="2">
        <f>CE69</f>
        <v>1475291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</row>
    <row r="441" spans="1:86" ht="12.65" customHeight="1" x14ac:dyDescent="0.35">
      <c r="A441" s="2" t="s">
        <v>478</v>
      </c>
      <c r="B441" s="2">
        <f>D390</f>
        <v>19728514</v>
      </c>
      <c r="C441" s="2">
        <f>SUM(C427:C437)+C440</f>
        <v>19728514.02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</row>
    <row r="442" spans="1:86" ht="12.65" customHeight="1" x14ac:dyDescent="0.35">
      <c r="A442" s="330"/>
      <c r="B442" s="330"/>
      <c r="C442" s="330"/>
      <c r="D442" s="330"/>
      <c r="E442" s="2"/>
      <c r="F442" s="330"/>
      <c r="G442" s="330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</row>
    <row r="443" spans="1:86" ht="12.65" customHeight="1" x14ac:dyDescent="0.35">
      <c r="A443" s="2" t="s">
        <v>479</v>
      </c>
      <c r="B443" s="328" t="s">
        <v>480</v>
      </c>
      <c r="C443" s="328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</row>
    <row r="444" spans="1:86" ht="12.65" customHeight="1" x14ac:dyDescent="0.35">
      <c r="A444" s="2" t="s">
        <v>1256</v>
      </c>
      <c r="B444" s="2">
        <f>D221</f>
        <v>543936</v>
      </c>
      <c r="C444" s="2">
        <f>C363</f>
        <v>543936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</row>
    <row r="445" spans="1:86" ht="12.65" customHeight="1" x14ac:dyDescent="0.35">
      <c r="A445" s="2" t="s">
        <v>343</v>
      </c>
      <c r="B445" s="2">
        <f>D229</f>
        <v>7724288</v>
      </c>
      <c r="C445" s="2">
        <f>C364</f>
        <v>7724288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</row>
    <row r="446" spans="1:86" ht="12.65" customHeight="1" x14ac:dyDescent="0.35">
      <c r="A446" s="2" t="s">
        <v>351</v>
      </c>
      <c r="B446" s="2">
        <f>D236</f>
        <v>135129</v>
      </c>
      <c r="C446" s="2">
        <f>C365</f>
        <v>135129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</row>
    <row r="447" spans="1:86" ht="12.65" customHeight="1" x14ac:dyDescent="0.35">
      <c r="A447" s="2" t="s">
        <v>356</v>
      </c>
      <c r="B447" s="2">
        <f>D240</f>
        <v>376978</v>
      </c>
      <c r="C447" s="2">
        <f>C366</f>
        <v>376978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</row>
    <row r="448" spans="1:86" ht="12.65" customHeight="1" x14ac:dyDescent="0.35">
      <c r="A448" s="2" t="s">
        <v>358</v>
      </c>
      <c r="B448" s="2">
        <f>D242</f>
        <v>8780331</v>
      </c>
      <c r="C448" s="2">
        <f>D367</f>
        <v>8780331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</row>
    <row r="449" spans="1:86" ht="12.65" customHeight="1" x14ac:dyDescent="0.35">
      <c r="A449" s="330"/>
      <c r="B449" s="330"/>
      <c r="C449" s="330"/>
      <c r="D449" s="330"/>
      <c r="E449" s="2"/>
      <c r="F449" s="330"/>
      <c r="G449" s="330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</row>
    <row r="450" spans="1:86" ht="12.65" customHeight="1" x14ac:dyDescent="0.35">
      <c r="A450" s="2" t="s">
        <v>481</v>
      </c>
      <c r="B450" s="328" t="s">
        <v>482</v>
      </c>
      <c r="C450" s="330"/>
      <c r="D450" s="330"/>
      <c r="E450" s="2"/>
      <c r="F450" s="330"/>
      <c r="G450" s="330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</row>
    <row r="451" spans="1:86" ht="12.65" customHeight="1" x14ac:dyDescent="0.35">
      <c r="A451" s="2"/>
      <c r="B451" s="328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</row>
    <row r="452" spans="1:86" ht="12.65" customHeight="1" x14ac:dyDescent="0.35">
      <c r="A452" s="2"/>
      <c r="B452" s="328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</row>
    <row r="453" spans="1:86" ht="12.65" customHeight="1" x14ac:dyDescent="0.35">
      <c r="A453" s="323" t="s">
        <v>484</v>
      </c>
      <c r="B453" s="2">
        <f>C231</f>
        <v>102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</row>
    <row r="454" spans="1:86" ht="12.65" customHeight="1" x14ac:dyDescent="0.35">
      <c r="A454" s="2" t="s">
        <v>168</v>
      </c>
      <c r="B454" s="2">
        <f>C233</f>
        <v>57924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</row>
    <row r="455" spans="1:86" ht="12.65" customHeight="1" x14ac:dyDescent="0.35">
      <c r="A455" s="2" t="s">
        <v>131</v>
      </c>
      <c r="B455" s="2">
        <f>C234</f>
        <v>77205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</row>
    <row r="456" spans="1:86" ht="12.65" customHeight="1" x14ac:dyDescent="0.35">
      <c r="A456" s="330"/>
      <c r="B456" s="330"/>
      <c r="C456" s="330"/>
      <c r="D456" s="330"/>
      <c r="E456" s="2"/>
      <c r="F456" s="330"/>
      <c r="G456" s="330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</row>
    <row r="457" spans="1:86" ht="12.65" customHeight="1" x14ac:dyDescent="0.35">
      <c r="A457" s="2" t="s">
        <v>485</v>
      </c>
      <c r="B457" s="328" t="s">
        <v>471</v>
      </c>
      <c r="C457" s="328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</row>
    <row r="458" spans="1:86" ht="12.65" customHeight="1" x14ac:dyDescent="0.35">
      <c r="A458" s="2" t="s">
        <v>487</v>
      </c>
      <c r="B458" s="2">
        <f>C370</f>
        <v>154573</v>
      </c>
      <c r="C458" s="2">
        <f>CE70</f>
        <v>154573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</row>
    <row r="459" spans="1:86" ht="12.65" customHeight="1" x14ac:dyDescent="0.35">
      <c r="A459" s="2" t="s">
        <v>244</v>
      </c>
      <c r="B459" s="2">
        <f>C371</f>
        <v>601879</v>
      </c>
      <c r="C459" s="2">
        <f>CE72</f>
        <v>601879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</row>
    <row r="460" spans="1:86" ht="12.65" customHeight="1" x14ac:dyDescent="0.35">
      <c r="A460" s="330"/>
      <c r="B460" s="330"/>
      <c r="C460" s="330"/>
      <c r="D460" s="330"/>
      <c r="E460" s="2"/>
      <c r="F460" s="330"/>
      <c r="G460" s="330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</row>
    <row r="461" spans="1:86" ht="12.65" customHeight="1" x14ac:dyDescent="0.35">
      <c r="A461" s="2" t="s">
        <v>488</v>
      </c>
      <c r="B461" s="328"/>
      <c r="C461" s="328"/>
      <c r="D461" s="328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</row>
    <row r="462" spans="1:86" ht="12.65" customHeight="1" x14ac:dyDescent="0.35">
      <c r="A462" s="2"/>
      <c r="B462" s="328" t="s">
        <v>471</v>
      </c>
      <c r="C462" s="328" t="s">
        <v>486</v>
      </c>
      <c r="D462" s="328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</row>
    <row r="463" spans="1:86" ht="12.65" customHeight="1" x14ac:dyDescent="0.35">
      <c r="A463" s="2" t="s">
        <v>245</v>
      </c>
      <c r="B463" s="2">
        <f>C359</f>
        <v>6899928</v>
      </c>
      <c r="C463" s="2">
        <f>CE73</f>
        <v>6899928</v>
      </c>
      <c r="D463" s="2">
        <f>E141+E147+E153</f>
        <v>6899928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</row>
    <row r="464" spans="1:86" ht="12.65" customHeight="1" x14ac:dyDescent="0.35">
      <c r="A464" s="2" t="s">
        <v>246</v>
      </c>
      <c r="B464" s="2">
        <f>C360</f>
        <v>18023050</v>
      </c>
      <c r="C464" s="2">
        <f>CE74</f>
        <v>18023050.199999999</v>
      </c>
      <c r="D464" s="2">
        <f>E142+E148+E154</f>
        <v>18023049.780000001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</row>
    <row r="465" spans="1:86" ht="12.65" customHeight="1" x14ac:dyDescent="0.35">
      <c r="A465" s="2" t="s">
        <v>247</v>
      </c>
      <c r="B465" s="2">
        <f>D361</f>
        <v>24922978</v>
      </c>
      <c r="C465" s="2">
        <f>CE75</f>
        <v>24922978.199999999</v>
      </c>
      <c r="D465" s="2">
        <f>D463+D464</f>
        <v>24922977.780000001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</row>
    <row r="466" spans="1:86" ht="12.65" customHeight="1" x14ac:dyDescent="0.35">
      <c r="A466" s="330"/>
      <c r="B466" s="330"/>
      <c r="C466" s="330"/>
      <c r="D466" s="330"/>
      <c r="E466" s="2"/>
      <c r="F466" s="330"/>
      <c r="G466" s="330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</row>
    <row r="467" spans="1:86" ht="12.65" customHeight="1" x14ac:dyDescent="0.35">
      <c r="A467" s="2" t="s">
        <v>491</v>
      </c>
      <c r="B467" s="328" t="s">
        <v>492</v>
      </c>
      <c r="C467" s="328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</row>
    <row r="468" spans="1:86" ht="12.65" customHeight="1" x14ac:dyDescent="0.35">
      <c r="A468" s="2" t="s">
        <v>332</v>
      </c>
      <c r="B468" s="2">
        <f t="shared" ref="B468:B475" si="14">C267</f>
        <v>474331</v>
      </c>
      <c r="C468" s="2">
        <f>E195</f>
        <v>474331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</row>
    <row r="469" spans="1:86" ht="12.65" customHeight="1" x14ac:dyDescent="0.35">
      <c r="A469" s="2" t="s">
        <v>333</v>
      </c>
      <c r="B469" s="2">
        <f t="shared" si="14"/>
        <v>503985</v>
      </c>
      <c r="C469" s="2">
        <f>E196</f>
        <v>503985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</row>
    <row r="470" spans="1:86" ht="12.65" customHeight="1" x14ac:dyDescent="0.35">
      <c r="A470" s="2" t="s">
        <v>334</v>
      </c>
      <c r="B470" s="2">
        <f t="shared" si="14"/>
        <v>18265939</v>
      </c>
      <c r="C470" s="2">
        <f>E197</f>
        <v>18265939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</row>
    <row r="471" spans="1:86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</row>
    <row r="472" spans="1:86" ht="12.65" customHeight="1" x14ac:dyDescent="0.35">
      <c r="A472" s="2" t="s">
        <v>377</v>
      </c>
      <c r="B472" s="2">
        <f t="shared" si="14"/>
        <v>928390</v>
      </c>
      <c r="C472" s="2">
        <f>E199</f>
        <v>928390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</row>
    <row r="473" spans="1:86" ht="12.65" customHeight="1" x14ac:dyDescent="0.35">
      <c r="A473" s="2" t="s">
        <v>495</v>
      </c>
      <c r="B473" s="2">
        <f t="shared" si="14"/>
        <v>6070446</v>
      </c>
      <c r="C473" s="2">
        <f>SUM(E200:E201)</f>
        <v>6070446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</row>
    <row r="474" spans="1:86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</row>
    <row r="475" spans="1:86" ht="12.65" customHeight="1" x14ac:dyDescent="0.35">
      <c r="A475" s="2" t="s">
        <v>340</v>
      </c>
      <c r="B475" s="2">
        <f t="shared" si="14"/>
        <v>3892727</v>
      </c>
      <c r="C475" s="2">
        <f>E203</f>
        <v>3892727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</row>
    <row r="476" spans="1:86" ht="12.65" customHeight="1" x14ac:dyDescent="0.35">
      <c r="A476" s="2" t="s">
        <v>203</v>
      </c>
      <c r="B476" s="2">
        <f>D275</f>
        <v>30135818</v>
      </c>
      <c r="C476" s="2">
        <f>E204</f>
        <v>30135818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</row>
    <row r="477" spans="1:86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</row>
    <row r="478" spans="1:86" ht="12.65" customHeight="1" x14ac:dyDescent="0.35">
      <c r="A478" s="2" t="s">
        <v>496</v>
      </c>
      <c r="B478" s="2">
        <f>C276</f>
        <v>15720513</v>
      </c>
      <c r="C478" s="2">
        <f>E217</f>
        <v>15720513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</row>
    <row r="479" spans="1:86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</row>
    <row r="480" spans="1:86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</row>
    <row r="481" spans="1:86" ht="12.65" customHeight="1" x14ac:dyDescent="0.35">
      <c r="A481" s="2" t="s">
        <v>498</v>
      </c>
      <c r="B481" s="2"/>
      <c r="C481" s="2">
        <f>D341</f>
        <v>34235864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</row>
    <row r="482" spans="1:86" ht="12.65" customHeight="1" x14ac:dyDescent="0.35">
      <c r="A482" s="2" t="s">
        <v>499</v>
      </c>
      <c r="B482" s="2"/>
      <c r="C482" s="2">
        <f>D339</f>
        <v>34235864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</row>
    <row r="483" spans="1:86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</row>
    <row r="484" spans="1:86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</row>
    <row r="485" spans="1:86" ht="12.65" customHeight="1" x14ac:dyDescent="0.35">
      <c r="A485" s="323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</row>
    <row r="486" spans="1:86" ht="12.65" customHeight="1" x14ac:dyDescent="0.35">
      <c r="A486" s="323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</row>
    <row r="487" spans="1:86" ht="12.65" customHeight="1" x14ac:dyDescent="0.35">
      <c r="A487" s="323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</row>
    <row r="488" spans="1:86" ht="12.65" customHeight="1" x14ac:dyDescent="0.35">
      <c r="A488" s="32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</row>
    <row r="489" spans="1:86" ht="12.65" customHeight="1" x14ac:dyDescent="0.35">
      <c r="A489" s="331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</row>
    <row r="490" spans="1:86" ht="12.65" customHeight="1" x14ac:dyDescent="0.35">
      <c r="A490" s="323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</row>
    <row r="491" spans="1:86" ht="12.65" customHeight="1" x14ac:dyDescent="0.35">
      <c r="A491" s="32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</row>
    <row r="492" spans="1:86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</row>
    <row r="493" spans="1:86" ht="12.65" customHeight="1" x14ac:dyDescent="0.35">
      <c r="A493" s="2" t="str">
        <f>C83</f>
        <v>096</v>
      </c>
      <c r="B493" s="332" t="str">
        <f>RIGHT('[1]Prior Year'!C82,4)</f>
        <v>2019</v>
      </c>
      <c r="C493" s="332" t="str">
        <f>RIGHT(C82,4)</f>
        <v>2020</v>
      </c>
      <c r="D493" s="332" t="str">
        <f>RIGHT('[1]Prior Year'!C82,4)</f>
        <v>2019</v>
      </c>
      <c r="E493" s="332" t="str">
        <f>RIGHT(C82,4)</f>
        <v>2020</v>
      </c>
      <c r="F493" s="332" t="str">
        <f>RIGHT('[1]Prior Year'!C82,4)</f>
        <v>2019</v>
      </c>
      <c r="G493" s="332" t="str">
        <f>RIGHT(C82,4)</f>
        <v>2020</v>
      </c>
      <c r="H493" s="332"/>
      <c r="I493" s="2"/>
      <c r="J493" s="2"/>
      <c r="K493" s="332"/>
      <c r="L493" s="33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</row>
    <row r="494" spans="1:86" ht="12.65" customHeight="1" x14ac:dyDescent="0.35">
      <c r="A494" s="331"/>
      <c r="B494" s="328" t="s">
        <v>505</v>
      </c>
      <c r="C494" s="328" t="s">
        <v>505</v>
      </c>
      <c r="D494" s="333" t="s">
        <v>506</v>
      </c>
      <c r="E494" s="333" t="s">
        <v>506</v>
      </c>
      <c r="F494" s="332" t="s">
        <v>507</v>
      </c>
      <c r="G494" s="332" t="s">
        <v>507</v>
      </c>
      <c r="H494" s="332" t="s">
        <v>508</v>
      </c>
      <c r="I494" s="2"/>
      <c r="J494" s="2"/>
      <c r="K494" s="332"/>
      <c r="L494" s="33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</row>
    <row r="495" spans="1:86" ht="12.65" customHeight="1" x14ac:dyDescent="0.35">
      <c r="A495" s="2"/>
      <c r="B495" s="328" t="s">
        <v>303</v>
      </c>
      <c r="C495" s="328" t="s">
        <v>303</v>
      </c>
      <c r="D495" s="328" t="s">
        <v>509</v>
      </c>
      <c r="E495" s="328" t="s">
        <v>509</v>
      </c>
      <c r="F495" s="332" t="s">
        <v>510</v>
      </c>
      <c r="G495" s="332" t="s">
        <v>510</v>
      </c>
      <c r="H495" s="332" t="s">
        <v>511</v>
      </c>
      <c r="I495" s="2"/>
      <c r="J495" s="2"/>
      <c r="K495" s="332"/>
      <c r="L495" s="33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</row>
    <row r="496" spans="1:86" ht="12.65" customHeight="1" x14ac:dyDescent="0.35">
      <c r="A496" s="2" t="s">
        <v>512</v>
      </c>
      <c r="B496" s="334">
        <f>'[1]Prior Year'!C71</f>
        <v>785</v>
      </c>
      <c r="C496" s="334">
        <f>C71</f>
        <v>0</v>
      </c>
      <c r="D496" s="334">
        <f>'[1]Prior Year'!C59</f>
        <v>0</v>
      </c>
      <c r="E496" s="2">
        <f>C59</f>
        <v>0</v>
      </c>
      <c r="F496" s="335" t="str">
        <f t="shared" ref="F496:G511" si="15">IF(B496=0,"",IF(D496=0,"",B496/D496))</f>
        <v/>
      </c>
      <c r="G496" s="335" t="str">
        <f t="shared" si="15"/>
        <v/>
      </c>
      <c r="H496" s="336" t="str">
        <f>IF(B496=0,"",IF(C496=0,"",IF(D496=0,"",IF(E496=0,"",IF(G496/F496-1&lt;-0.25,G496/F496-1,IF(G496/F496-1&gt;0.25,G496/F496-1,""))))))</f>
        <v/>
      </c>
      <c r="I496" s="267"/>
      <c r="J496" s="2"/>
      <c r="K496" s="332"/>
      <c r="L496" s="33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</row>
    <row r="497" spans="1:86" ht="12.65" customHeight="1" x14ac:dyDescent="0.35">
      <c r="A497" s="2" t="s">
        <v>513</v>
      </c>
      <c r="B497" s="334">
        <f>'[1]Prior Year'!D71</f>
        <v>0</v>
      </c>
      <c r="C497" s="334">
        <f>D71</f>
        <v>0</v>
      </c>
      <c r="D497" s="334">
        <f>'[1]Prior Year'!D59</f>
        <v>0</v>
      </c>
      <c r="E497" s="2">
        <f>D59</f>
        <v>0</v>
      </c>
      <c r="F497" s="335" t="str">
        <f t="shared" si="15"/>
        <v/>
      </c>
      <c r="G497" s="335" t="str">
        <f t="shared" si="15"/>
        <v/>
      </c>
      <c r="H497" s="336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2"/>
      <c r="L497" s="33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</row>
    <row r="498" spans="1:86" ht="12.65" customHeight="1" x14ac:dyDescent="0.35">
      <c r="A498" s="2" t="s">
        <v>514</v>
      </c>
      <c r="B498" s="334">
        <f>'[1]Prior Year'!E71</f>
        <v>2836160</v>
      </c>
      <c r="C498" s="334">
        <f>E71</f>
        <v>2825274.4</v>
      </c>
      <c r="D498" s="334">
        <f>'[1]Prior Year'!E59</f>
        <v>699</v>
      </c>
      <c r="E498" s="2">
        <f>E59</f>
        <v>491</v>
      </c>
      <c r="F498" s="335">
        <f t="shared" si="15"/>
        <v>4057.4535050071531</v>
      </c>
      <c r="G498" s="335">
        <f t="shared" si="15"/>
        <v>5754.1230142566192</v>
      </c>
      <c r="H498" s="336">
        <f t="shared" si="16"/>
        <v>0.41816117107828066</v>
      </c>
      <c r="I498" s="267"/>
      <c r="J498" s="2"/>
      <c r="K498" s="332"/>
      <c r="L498" s="33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</row>
    <row r="499" spans="1:86" ht="12.65" customHeight="1" x14ac:dyDescent="0.35">
      <c r="A499" s="2" t="s">
        <v>515</v>
      </c>
      <c r="B499" s="334">
        <f>'[1]Prior Year'!F71</f>
        <v>0</v>
      </c>
      <c r="C499" s="334">
        <f>F71</f>
        <v>0</v>
      </c>
      <c r="D499" s="334">
        <f>'[1]Prior Year'!F59</f>
        <v>0</v>
      </c>
      <c r="E499" s="2">
        <f>F59</f>
        <v>0</v>
      </c>
      <c r="F499" s="335" t="str">
        <f t="shared" si="15"/>
        <v/>
      </c>
      <c r="G499" s="335" t="str">
        <f t="shared" si="15"/>
        <v/>
      </c>
      <c r="H499" s="336" t="str">
        <f t="shared" si="16"/>
        <v/>
      </c>
      <c r="I499" s="267"/>
      <c r="J499" s="2"/>
      <c r="K499" s="332"/>
      <c r="L499" s="33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</row>
    <row r="500" spans="1:86" ht="12.65" customHeight="1" x14ac:dyDescent="0.35">
      <c r="A500" s="2" t="s">
        <v>516</v>
      </c>
      <c r="B500" s="334">
        <f>'[1]Prior Year'!G71</f>
        <v>0</v>
      </c>
      <c r="C500" s="334">
        <f>G71</f>
        <v>0</v>
      </c>
      <c r="D500" s="334">
        <f>'[1]Prior Year'!G59</f>
        <v>0</v>
      </c>
      <c r="E500" s="2">
        <f>G59</f>
        <v>0</v>
      </c>
      <c r="F500" s="335" t="str">
        <f t="shared" si="15"/>
        <v/>
      </c>
      <c r="G500" s="335" t="str">
        <f t="shared" si="15"/>
        <v/>
      </c>
      <c r="H500" s="336" t="str">
        <f t="shared" si="16"/>
        <v/>
      </c>
      <c r="I500" s="267"/>
      <c r="J500" s="2"/>
      <c r="K500" s="332"/>
      <c r="L500" s="33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</row>
    <row r="501" spans="1:86" ht="12.65" customHeight="1" x14ac:dyDescent="0.35">
      <c r="A501" s="2" t="s">
        <v>517</v>
      </c>
      <c r="B501" s="334">
        <f>'[1]Prior Year'!H71</f>
        <v>0</v>
      </c>
      <c r="C501" s="334">
        <f>H71</f>
        <v>0</v>
      </c>
      <c r="D501" s="334">
        <f>'[1]Prior Year'!H59</f>
        <v>0</v>
      </c>
      <c r="E501" s="2">
        <f>H59</f>
        <v>0</v>
      </c>
      <c r="F501" s="335" t="str">
        <f t="shared" si="15"/>
        <v/>
      </c>
      <c r="G501" s="335" t="str">
        <f t="shared" si="15"/>
        <v/>
      </c>
      <c r="H501" s="336" t="str">
        <f t="shared" si="16"/>
        <v/>
      </c>
      <c r="I501" s="267"/>
      <c r="J501" s="2"/>
      <c r="K501" s="332"/>
      <c r="L501" s="33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</row>
    <row r="502" spans="1:86" ht="12.65" customHeight="1" x14ac:dyDescent="0.35">
      <c r="A502" s="2" t="s">
        <v>518</v>
      </c>
      <c r="B502" s="334">
        <f>'[1]Prior Year'!I71</f>
        <v>0</v>
      </c>
      <c r="C502" s="334">
        <f>I71</f>
        <v>0</v>
      </c>
      <c r="D502" s="334">
        <f>'[1]Prior Year'!I59</f>
        <v>0</v>
      </c>
      <c r="E502" s="2">
        <f>I59</f>
        <v>0</v>
      </c>
      <c r="F502" s="335" t="str">
        <f t="shared" si="15"/>
        <v/>
      </c>
      <c r="G502" s="335" t="str">
        <f t="shared" si="15"/>
        <v/>
      </c>
      <c r="H502" s="336" t="str">
        <f t="shared" si="16"/>
        <v/>
      </c>
      <c r="I502" s="267"/>
      <c r="J502" s="2"/>
      <c r="K502" s="332"/>
      <c r="L502" s="33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</row>
    <row r="503" spans="1:86" ht="12.65" customHeight="1" x14ac:dyDescent="0.35">
      <c r="A503" s="2" t="s">
        <v>519</v>
      </c>
      <c r="B503" s="334">
        <f>'[1]Prior Year'!J71</f>
        <v>0</v>
      </c>
      <c r="C503" s="334">
        <f>J71</f>
        <v>0</v>
      </c>
      <c r="D503" s="334">
        <f>'[1]Prior Year'!J59</f>
        <v>0</v>
      </c>
      <c r="E503" s="2">
        <f>J59</f>
        <v>0</v>
      </c>
      <c r="F503" s="335" t="str">
        <f t="shared" si="15"/>
        <v/>
      </c>
      <c r="G503" s="335" t="str">
        <f t="shared" si="15"/>
        <v/>
      </c>
      <c r="H503" s="336" t="str">
        <f t="shared" si="16"/>
        <v/>
      </c>
      <c r="I503" s="267"/>
      <c r="J503" s="2"/>
      <c r="K503" s="332"/>
      <c r="L503" s="33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</row>
    <row r="504" spans="1:86" ht="12.65" customHeight="1" x14ac:dyDescent="0.35">
      <c r="A504" s="2" t="s">
        <v>520</v>
      </c>
      <c r="B504" s="334">
        <f>'[1]Prior Year'!K71</f>
        <v>0</v>
      </c>
      <c r="C504" s="334">
        <f>K71</f>
        <v>0</v>
      </c>
      <c r="D504" s="334">
        <f>'[1]Prior Year'!K59</f>
        <v>0</v>
      </c>
      <c r="E504" s="2">
        <f>K59</f>
        <v>0</v>
      </c>
      <c r="F504" s="335" t="str">
        <f t="shared" si="15"/>
        <v/>
      </c>
      <c r="G504" s="335" t="str">
        <f t="shared" si="15"/>
        <v/>
      </c>
      <c r="H504" s="336" t="str">
        <f t="shared" si="16"/>
        <v/>
      </c>
      <c r="I504" s="267"/>
      <c r="J504" s="2"/>
      <c r="K504" s="332"/>
      <c r="L504" s="33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</row>
    <row r="505" spans="1:86" ht="12.65" customHeight="1" x14ac:dyDescent="0.35">
      <c r="A505" s="2" t="s">
        <v>521</v>
      </c>
      <c r="B505" s="334">
        <f>'[1]Prior Year'!L71</f>
        <v>50192</v>
      </c>
      <c r="C505" s="334">
        <f>L71</f>
        <v>29338</v>
      </c>
      <c r="D505" s="334">
        <f>'[1]Prior Year'!L59</f>
        <v>1514</v>
      </c>
      <c r="E505" s="2">
        <f>L59</f>
        <v>1412</v>
      </c>
      <c r="F505" s="335">
        <f t="shared" si="15"/>
        <v>33.151915455746369</v>
      </c>
      <c r="G505" s="335">
        <f t="shared" si="15"/>
        <v>20.777620396600568</v>
      </c>
      <c r="H505" s="336">
        <f t="shared" si="16"/>
        <v>-0.37326033470566511</v>
      </c>
      <c r="I505" s="267"/>
      <c r="J505" s="2"/>
      <c r="K505" s="332"/>
      <c r="L505" s="33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</row>
    <row r="506" spans="1:86" ht="12.65" customHeight="1" x14ac:dyDescent="0.35">
      <c r="A506" s="2" t="s">
        <v>522</v>
      </c>
      <c r="B506" s="334">
        <f>'[1]Prior Year'!M71</f>
        <v>0</v>
      </c>
      <c r="C506" s="334">
        <f>M71</f>
        <v>0</v>
      </c>
      <c r="D506" s="334">
        <f>'[1]Prior Year'!M59</f>
        <v>0</v>
      </c>
      <c r="E506" s="2">
        <f>M59</f>
        <v>0</v>
      </c>
      <c r="F506" s="335" t="str">
        <f t="shared" si="15"/>
        <v/>
      </c>
      <c r="G506" s="335" t="str">
        <f t="shared" si="15"/>
        <v/>
      </c>
      <c r="H506" s="336" t="str">
        <f t="shared" si="16"/>
        <v/>
      </c>
      <c r="I506" s="267"/>
      <c r="J506" s="2"/>
      <c r="K506" s="332"/>
      <c r="L506" s="33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</row>
    <row r="507" spans="1:86" ht="12.65" customHeight="1" x14ac:dyDescent="0.35">
      <c r="A507" s="2" t="s">
        <v>523</v>
      </c>
      <c r="B507" s="334">
        <f>'[1]Prior Year'!N71</f>
        <v>0</v>
      </c>
      <c r="C507" s="334">
        <f>N71</f>
        <v>0</v>
      </c>
      <c r="D507" s="334">
        <f>'[1]Prior Year'!N59</f>
        <v>0</v>
      </c>
      <c r="E507" s="2">
        <f>N59</f>
        <v>0</v>
      </c>
      <c r="F507" s="335" t="str">
        <f t="shared" si="15"/>
        <v/>
      </c>
      <c r="G507" s="335" t="str">
        <f t="shared" si="15"/>
        <v/>
      </c>
      <c r="H507" s="336" t="str">
        <f t="shared" si="16"/>
        <v/>
      </c>
      <c r="I507" s="267"/>
      <c r="J507" s="2"/>
      <c r="K507" s="332"/>
      <c r="L507" s="33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</row>
    <row r="508" spans="1:86" ht="12.65" customHeight="1" x14ac:dyDescent="0.35">
      <c r="A508" s="2" t="s">
        <v>524</v>
      </c>
      <c r="B508" s="334">
        <f>'[1]Prior Year'!O71</f>
        <v>0</v>
      </c>
      <c r="C508" s="334">
        <f>O71</f>
        <v>0</v>
      </c>
      <c r="D508" s="334">
        <f>'[1]Prior Year'!O59</f>
        <v>0</v>
      </c>
      <c r="E508" s="2">
        <f>O59</f>
        <v>0</v>
      </c>
      <c r="F508" s="335" t="str">
        <f t="shared" si="15"/>
        <v/>
      </c>
      <c r="G508" s="335" t="str">
        <f t="shared" si="15"/>
        <v/>
      </c>
      <c r="H508" s="336" t="str">
        <f t="shared" si="16"/>
        <v/>
      </c>
      <c r="I508" s="267"/>
      <c r="J508" s="2"/>
      <c r="K508" s="332"/>
      <c r="L508" s="33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</row>
    <row r="509" spans="1:86" ht="12.65" customHeight="1" x14ac:dyDescent="0.35">
      <c r="A509" s="2" t="s">
        <v>525</v>
      </c>
      <c r="B509" s="334">
        <f>'[1]Prior Year'!P71</f>
        <v>688783</v>
      </c>
      <c r="C509" s="334">
        <f>P71</f>
        <v>709962</v>
      </c>
      <c r="D509" s="334">
        <f>'[1]Prior Year'!P59</f>
        <v>379</v>
      </c>
      <c r="E509" s="2">
        <f>P59</f>
        <v>258</v>
      </c>
      <c r="F509" s="335">
        <f t="shared" si="15"/>
        <v>1817.3693931398416</v>
      </c>
      <c r="G509" s="335">
        <f t="shared" si="15"/>
        <v>2751.7906976744184</v>
      </c>
      <c r="H509" s="336">
        <f t="shared" si="16"/>
        <v>0.51416146220014824</v>
      </c>
      <c r="I509" s="267"/>
      <c r="J509" s="2"/>
      <c r="K509" s="332"/>
      <c r="L509" s="33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</row>
    <row r="510" spans="1:86" ht="12.65" customHeight="1" x14ac:dyDescent="0.35">
      <c r="A510" s="2" t="s">
        <v>526</v>
      </c>
      <c r="B510" s="334">
        <f>'[1]Prior Year'!Q71</f>
        <v>0</v>
      </c>
      <c r="C510" s="334">
        <f>Q71</f>
        <v>0</v>
      </c>
      <c r="D510" s="334">
        <f>'[1]Prior Year'!Q59</f>
        <v>0</v>
      </c>
      <c r="E510" s="2">
        <f>Q59</f>
        <v>0</v>
      </c>
      <c r="F510" s="335" t="str">
        <f t="shared" si="15"/>
        <v/>
      </c>
      <c r="G510" s="335" t="str">
        <f t="shared" si="15"/>
        <v/>
      </c>
      <c r="H510" s="336" t="str">
        <f t="shared" si="16"/>
        <v/>
      </c>
      <c r="I510" s="267"/>
      <c r="J510" s="2"/>
      <c r="K510" s="332"/>
      <c r="L510" s="33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</row>
    <row r="511" spans="1:86" ht="12.65" customHeight="1" x14ac:dyDescent="0.35">
      <c r="A511" s="2" t="s">
        <v>527</v>
      </c>
      <c r="B511" s="334">
        <f>'[1]Prior Year'!R71</f>
        <v>392073</v>
      </c>
      <c r="C511" s="334">
        <f>R71</f>
        <v>391809</v>
      </c>
      <c r="D511" s="334">
        <f>'[1]Prior Year'!R59</f>
        <v>0</v>
      </c>
      <c r="E511" s="2">
        <f>R59</f>
        <v>11812</v>
      </c>
      <c r="F511" s="335" t="str">
        <f t="shared" si="15"/>
        <v/>
      </c>
      <c r="G511" s="335">
        <f t="shared" si="15"/>
        <v>33.170419911953942</v>
      </c>
      <c r="H511" s="336" t="str">
        <f t="shared" si="16"/>
        <v/>
      </c>
      <c r="I511" s="267"/>
      <c r="J511" s="2"/>
      <c r="K511" s="332"/>
      <c r="L511" s="33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</row>
    <row r="512" spans="1:86" ht="12.65" customHeight="1" x14ac:dyDescent="0.35">
      <c r="A512" s="2" t="s">
        <v>528</v>
      </c>
      <c r="B512" s="334">
        <f>'[1]Prior Year'!S71</f>
        <v>169217</v>
      </c>
      <c r="C512" s="334">
        <f>S71</f>
        <v>183185</v>
      </c>
      <c r="D512" s="328" t="s">
        <v>529</v>
      </c>
      <c r="E512" s="328" t="s">
        <v>529</v>
      </c>
      <c r="F512" s="335" t="str">
        <f t="shared" ref="F512:G527" si="17">IF(B512=0,"",IF(D512=0,"",B512/D512))</f>
        <v/>
      </c>
      <c r="G512" s="335" t="str">
        <f t="shared" si="17"/>
        <v/>
      </c>
      <c r="H512" s="336" t="str">
        <f t="shared" si="16"/>
        <v/>
      </c>
      <c r="I512" s="267"/>
      <c r="J512" s="2"/>
      <c r="K512" s="332"/>
      <c r="L512" s="33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</row>
    <row r="513" spans="1:86" ht="12.65" customHeight="1" x14ac:dyDescent="0.35">
      <c r="A513" s="2" t="s">
        <v>1245</v>
      </c>
      <c r="B513" s="334">
        <f>'[1]Prior Year'!T71</f>
        <v>0</v>
      </c>
      <c r="C513" s="334">
        <f>T71</f>
        <v>0</v>
      </c>
      <c r="D513" s="328" t="s">
        <v>529</v>
      </c>
      <c r="E513" s="328" t="s">
        <v>529</v>
      </c>
      <c r="F513" s="335" t="str">
        <f t="shared" si="17"/>
        <v/>
      </c>
      <c r="G513" s="335" t="str">
        <f t="shared" si="17"/>
        <v/>
      </c>
      <c r="H513" s="336" t="str">
        <f t="shared" si="16"/>
        <v/>
      </c>
      <c r="I513" s="267"/>
      <c r="J513" s="2"/>
      <c r="K513" s="332"/>
      <c r="L513" s="33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</row>
    <row r="514" spans="1:86" ht="12.65" customHeight="1" x14ac:dyDescent="0.35">
      <c r="A514" s="2" t="s">
        <v>530</v>
      </c>
      <c r="B514" s="334">
        <f>'[1]Prior Year'!U71</f>
        <v>1093589</v>
      </c>
      <c r="C514" s="334">
        <f>U71</f>
        <v>1176295.8900000001</v>
      </c>
      <c r="D514" s="334">
        <f>'[1]Prior Year'!U59</f>
        <v>30798</v>
      </c>
      <c r="E514" s="2">
        <f>U59</f>
        <v>25017</v>
      </c>
      <c r="F514" s="335">
        <f t="shared" si="17"/>
        <v>35.508442106630298</v>
      </c>
      <c r="G514" s="335">
        <f t="shared" si="17"/>
        <v>47.01986209377624</v>
      </c>
      <c r="H514" s="336">
        <f t="shared" si="16"/>
        <v>0.32418825789590122</v>
      </c>
      <c r="I514" s="267"/>
      <c r="J514" s="2"/>
      <c r="K514" s="332"/>
      <c r="L514" s="33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</row>
    <row r="515" spans="1:86" ht="12.65" customHeight="1" x14ac:dyDescent="0.35">
      <c r="A515" s="2" t="s">
        <v>531</v>
      </c>
      <c r="B515" s="334">
        <f>'[1]Prior Year'!V71</f>
        <v>0</v>
      </c>
      <c r="C515" s="334">
        <f>V71</f>
        <v>0</v>
      </c>
      <c r="D515" s="334">
        <f>'[1]Prior Year'!V59</f>
        <v>0</v>
      </c>
      <c r="E515" s="2">
        <f>V59</f>
        <v>0</v>
      </c>
      <c r="F515" s="335" t="str">
        <f t="shared" si="17"/>
        <v/>
      </c>
      <c r="G515" s="335" t="str">
        <f t="shared" si="17"/>
        <v/>
      </c>
      <c r="H515" s="336" t="str">
        <f t="shared" si="16"/>
        <v/>
      </c>
      <c r="I515" s="267"/>
      <c r="J515" s="2"/>
      <c r="K515" s="332"/>
      <c r="L515" s="33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</row>
    <row r="516" spans="1:86" ht="12.65" customHeight="1" x14ac:dyDescent="0.35">
      <c r="A516" s="2" t="s">
        <v>532</v>
      </c>
      <c r="B516" s="334">
        <f>'[1]Prior Year'!W71</f>
        <v>0</v>
      </c>
      <c r="C516" s="334">
        <f>W71</f>
        <v>0</v>
      </c>
      <c r="D516" s="334">
        <f>'[1]Prior Year'!W59</f>
        <v>0</v>
      </c>
      <c r="E516" s="2">
        <f>W59</f>
        <v>0</v>
      </c>
      <c r="F516" s="335" t="str">
        <f t="shared" si="17"/>
        <v/>
      </c>
      <c r="G516" s="335" t="str">
        <f t="shared" si="17"/>
        <v/>
      </c>
      <c r="H516" s="336" t="str">
        <f t="shared" si="16"/>
        <v/>
      </c>
      <c r="I516" s="267"/>
      <c r="J516" s="2"/>
      <c r="K516" s="332"/>
      <c r="L516" s="33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</row>
    <row r="517" spans="1:86" ht="12.65" customHeight="1" x14ac:dyDescent="0.35">
      <c r="A517" s="2" t="s">
        <v>533</v>
      </c>
      <c r="B517" s="334">
        <f>'[1]Prior Year'!X71</f>
        <v>0</v>
      </c>
      <c r="C517" s="334">
        <f>X71</f>
        <v>0</v>
      </c>
      <c r="D517" s="334">
        <f>'[1]Prior Year'!X59</f>
        <v>0</v>
      </c>
      <c r="E517" s="2">
        <f>X59</f>
        <v>0</v>
      </c>
      <c r="F517" s="335" t="str">
        <f t="shared" si="17"/>
        <v/>
      </c>
      <c r="G517" s="335" t="str">
        <f t="shared" si="17"/>
        <v/>
      </c>
      <c r="H517" s="336" t="str">
        <f t="shared" si="16"/>
        <v/>
      </c>
      <c r="I517" s="267"/>
      <c r="J517" s="2"/>
      <c r="K517" s="332"/>
      <c r="L517" s="33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</row>
    <row r="518" spans="1:86" ht="12.65" customHeight="1" x14ac:dyDescent="0.35">
      <c r="A518" s="2" t="s">
        <v>534</v>
      </c>
      <c r="B518" s="334">
        <f>'[1]Prior Year'!Y71</f>
        <v>1406673</v>
      </c>
      <c r="C518" s="334">
        <f>Y71</f>
        <v>1360340</v>
      </c>
      <c r="D518" s="334">
        <f>'[1]Prior Year'!Y59</f>
        <v>8624</v>
      </c>
      <c r="E518" s="2">
        <f>Y59</f>
        <v>7274</v>
      </c>
      <c r="F518" s="335">
        <f t="shared" si="17"/>
        <v>163.11143320964749</v>
      </c>
      <c r="G518" s="335">
        <f t="shared" si="17"/>
        <v>187.01402254605443</v>
      </c>
      <c r="H518" s="336" t="str">
        <f t="shared" si="16"/>
        <v/>
      </c>
      <c r="I518" s="267"/>
      <c r="J518" s="2"/>
      <c r="K518" s="332"/>
      <c r="L518" s="33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</row>
    <row r="519" spans="1:86" ht="12.65" customHeight="1" x14ac:dyDescent="0.35">
      <c r="A519" s="2" t="s">
        <v>535</v>
      </c>
      <c r="B519" s="334">
        <f>'[1]Prior Year'!Z71</f>
        <v>0</v>
      </c>
      <c r="C519" s="334">
        <f>Z71</f>
        <v>0</v>
      </c>
      <c r="D519" s="334">
        <f>'[1]Prior Year'!Z59</f>
        <v>0</v>
      </c>
      <c r="E519" s="2">
        <f>Z59</f>
        <v>0</v>
      </c>
      <c r="F519" s="335" t="str">
        <f t="shared" si="17"/>
        <v/>
      </c>
      <c r="G519" s="335" t="str">
        <f t="shared" si="17"/>
        <v/>
      </c>
      <c r="H519" s="336" t="str">
        <f t="shared" si="16"/>
        <v/>
      </c>
      <c r="I519" s="267"/>
      <c r="J519" s="2"/>
      <c r="K519" s="332"/>
      <c r="L519" s="33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</row>
    <row r="520" spans="1:86" ht="12.65" customHeight="1" x14ac:dyDescent="0.35">
      <c r="A520" s="2" t="s">
        <v>536</v>
      </c>
      <c r="B520" s="334">
        <f>'[1]Prior Year'!AA71</f>
        <v>0</v>
      </c>
      <c r="C520" s="334">
        <f>AA71</f>
        <v>0</v>
      </c>
      <c r="D520" s="334">
        <f>'[1]Prior Year'!AA59</f>
        <v>0</v>
      </c>
      <c r="E520" s="2">
        <f>AA59</f>
        <v>0</v>
      </c>
      <c r="F520" s="335" t="str">
        <f t="shared" si="17"/>
        <v/>
      </c>
      <c r="G520" s="335" t="str">
        <f t="shared" si="17"/>
        <v/>
      </c>
      <c r="H520" s="336" t="str">
        <f t="shared" si="16"/>
        <v/>
      </c>
      <c r="I520" s="267"/>
      <c r="J520" s="2"/>
      <c r="K520" s="332"/>
      <c r="L520" s="33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</row>
    <row r="521" spans="1:86" ht="12.65" customHeight="1" x14ac:dyDescent="0.35">
      <c r="A521" s="2" t="s">
        <v>537</v>
      </c>
      <c r="B521" s="334">
        <f>'[1]Prior Year'!AB71</f>
        <v>666878</v>
      </c>
      <c r="C521" s="334">
        <f>AB71</f>
        <v>862093</v>
      </c>
      <c r="D521" s="328" t="s">
        <v>529</v>
      </c>
      <c r="E521" s="328" t="s">
        <v>529</v>
      </c>
      <c r="F521" s="335" t="str">
        <f t="shared" si="17"/>
        <v/>
      </c>
      <c r="G521" s="335" t="str">
        <f t="shared" si="17"/>
        <v/>
      </c>
      <c r="H521" s="336" t="str">
        <f t="shared" si="16"/>
        <v/>
      </c>
      <c r="I521" s="267"/>
      <c r="J521" s="2"/>
      <c r="K521" s="332"/>
      <c r="L521" s="33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</row>
    <row r="522" spans="1:86" ht="12.65" customHeight="1" x14ac:dyDescent="0.35">
      <c r="A522" s="2" t="s">
        <v>538</v>
      </c>
      <c r="B522" s="334">
        <f>'[1]Prior Year'!AC71</f>
        <v>147226</v>
      </c>
      <c r="C522" s="334">
        <f>AC71</f>
        <v>160915</v>
      </c>
      <c r="D522" s="334">
        <f>'[1]Prior Year'!AC59</f>
        <v>1004</v>
      </c>
      <c r="E522" s="2">
        <f>AC59</f>
        <v>755</v>
      </c>
      <c r="F522" s="335">
        <f t="shared" si="17"/>
        <v>146.63944223107569</v>
      </c>
      <c r="G522" s="335">
        <f t="shared" si="17"/>
        <v>213.13245033112582</v>
      </c>
      <c r="H522" s="336">
        <f t="shared" si="16"/>
        <v>0.45344558795627354</v>
      </c>
      <c r="I522" s="267"/>
      <c r="J522" s="2"/>
      <c r="K522" s="332"/>
      <c r="L522" s="33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</row>
    <row r="523" spans="1:86" ht="12.65" customHeight="1" x14ac:dyDescent="0.35">
      <c r="A523" s="2" t="s">
        <v>539</v>
      </c>
      <c r="B523" s="334">
        <f>'[1]Prior Year'!AD71</f>
        <v>0</v>
      </c>
      <c r="C523" s="334">
        <f>AD71</f>
        <v>0</v>
      </c>
      <c r="D523" s="334">
        <f>'[1]Prior Year'!AD59</f>
        <v>0</v>
      </c>
      <c r="E523" s="2">
        <f>AD59</f>
        <v>0</v>
      </c>
      <c r="F523" s="335" t="str">
        <f t="shared" si="17"/>
        <v/>
      </c>
      <c r="G523" s="335" t="str">
        <f t="shared" si="17"/>
        <v/>
      </c>
      <c r="H523" s="336" t="str">
        <f t="shared" si="16"/>
        <v/>
      </c>
      <c r="I523" s="267"/>
      <c r="J523" s="2"/>
      <c r="K523" s="332"/>
      <c r="L523" s="33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</row>
    <row r="524" spans="1:86" ht="12.65" customHeight="1" x14ac:dyDescent="0.35">
      <c r="A524" s="2" t="s">
        <v>540</v>
      </c>
      <c r="B524" s="334">
        <f>'[1]Prior Year'!AE71</f>
        <v>931231</v>
      </c>
      <c r="C524" s="334">
        <f>AE71</f>
        <v>854491</v>
      </c>
      <c r="D524" s="334">
        <f>'[1]Prior Year'!AE59</f>
        <v>8542</v>
      </c>
      <c r="E524" s="2">
        <f>AE59</f>
        <v>5778</v>
      </c>
      <c r="F524" s="335">
        <f t="shared" si="17"/>
        <v>109.01791149613673</v>
      </c>
      <c r="G524" s="335">
        <f t="shared" si="17"/>
        <v>147.88698511595709</v>
      </c>
      <c r="H524" s="336">
        <f t="shared" si="16"/>
        <v>0.35653841727831814</v>
      </c>
      <c r="I524" s="267"/>
      <c r="J524" s="2"/>
      <c r="K524" s="332"/>
      <c r="L524" s="33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</row>
    <row r="525" spans="1:86" ht="12.65" customHeight="1" x14ac:dyDescent="0.35">
      <c r="A525" s="2" t="s">
        <v>541</v>
      </c>
      <c r="B525" s="334">
        <f>'[1]Prior Year'!AF71</f>
        <v>0</v>
      </c>
      <c r="C525" s="334">
        <f>AF71</f>
        <v>0</v>
      </c>
      <c r="D525" s="334">
        <f>'[1]Prior Year'!AF59</f>
        <v>0</v>
      </c>
      <c r="E525" s="2">
        <f>AF59</f>
        <v>0</v>
      </c>
      <c r="F525" s="335" t="str">
        <f t="shared" si="17"/>
        <v/>
      </c>
      <c r="G525" s="335" t="str">
        <f t="shared" si="17"/>
        <v/>
      </c>
      <c r="H525" s="336" t="str">
        <f t="shared" si="16"/>
        <v/>
      </c>
      <c r="I525" s="267"/>
      <c r="J525" s="2"/>
      <c r="K525" s="332"/>
      <c r="L525" s="33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</row>
    <row r="526" spans="1:86" ht="12.65" customHeight="1" x14ac:dyDescent="0.35">
      <c r="A526" s="2" t="s">
        <v>542</v>
      </c>
      <c r="B526" s="334">
        <f>'[1]Prior Year'!AG71</f>
        <v>2173798</v>
      </c>
      <c r="C526" s="334">
        <f>AG71</f>
        <v>2293934</v>
      </c>
      <c r="D526" s="334">
        <f>'[1]Prior Year'!AG59</f>
        <v>3567</v>
      </c>
      <c r="E526" s="2">
        <f>AG59</f>
        <v>2874</v>
      </c>
      <c r="F526" s="335">
        <f t="shared" si="17"/>
        <v>609.41911970843842</v>
      </c>
      <c r="G526" s="335">
        <f t="shared" si="17"/>
        <v>798.16771050800276</v>
      </c>
      <c r="H526" s="336">
        <f t="shared" si="16"/>
        <v>0.30971885307744595</v>
      </c>
      <c r="I526" s="267"/>
      <c r="J526" s="2"/>
      <c r="K526" s="332"/>
      <c r="L526" s="33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</row>
    <row r="527" spans="1:86" ht="12.65" customHeight="1" x14ac:dyDescent="0.35">
      <c r="A527" s="2" t="s">
        <v>543</v>
      </c>
      <c r="B527" s="334">
        <f>'[1]Prior Year'!AH71</f>
        <v>0</v>
      </c>
      <c r="C527" s="334">
        <f>AH71</f>
        <v>0</v>
      </c>
      <c r="D527" s="334">
        <f>'[1]Prior Year'!AH59</f>
        <v>0</v>
      </c>
      <c r="E527" s="2">
        <f>AH59</f>
        <v>0</v>
      </c>
      <c r="F527" s="335" t="str">
        <f t="shared" si="17"/>
        <v/>
      </c>
      <c r="G527" s="335" t="str">
        <f t="shared" si="17"/>
        <v/>
      </c>
      <c r="H527" s="336" t="str">
        <f t="shared" si="16"/>
        <v/>
      </c>
      <c r="I527" s="267"/>
      <c r="J527" s="2"/>
      <c r="K527" s="332"/>
      <c r="L527" s="33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</row>
    <row r="528" spans="1:86" ht="12.65" customHeight="1" x14ac:dyDescent="0.35">
      <c r="A528" s="2" t="s">
        <v>544</v>
      </c>
      <c r="B528" s="334">
        <f>'[1]Prior Year'!AI71</f>
        <v>0</v>
      </c>
      <c r="C528" s="334">
        <f>AI71</f>
        <v>0</v>
      </c>
      <c r="D528" s="334">
        <f>'[1]Prior Year'!AI59</f>
        <v>0</v>
      </c>
      <c r="E528" s="2">
        <f>AI59</f>
        <v>0</v>
      </c>
      <c r="F528" s="335" t="str">
        <f t="shared" ref="F528:G540" si="18">IF(B528=0,"",IF(D528=0,"",B528/D528))</f>
        <v/>
      </c>
      <c r="G528" s="335" t="str">
        <f t="shared" si="18"/>
        <v/>
      </c>
      <c r="H528" s="336" t="str">
        <f t="shared" si="16"/>
        <v/>
      </c>
      <c r="I528" s="267"/>
      <c r="J528" s="2"/>
      <c r="K528" s="332"/>
      <c r="L528" s="33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</row>
    <row r="529" spans="1:86" ht="12.65" customHeight="1" x14ac:dyDescent="0.35">
      <c r="A529" s="2" t="s">
        <v>545</v>
      </c>
      <c r="B529" s="334">
        <f>'[1]Prior Year'!AJ71</f>
        <v>1014417</v>
      </c>
      <c r="C529" s="334">
        <f>AJ71</f>
        <v>1318720</v>
      </c>
      <c r="D529" s="334">
        <f>'[1]Prior Year'!AJ59</f>
        <v>2544</v>
      </c>
      <c r="E529" s="2">
        <f>AJ59</f>
        <v>2959</v>
      </c>
      <c r="F529" s="335">
        <f t="shared" si="18"/>
        <v>398.74882075471697</v>
      </c>
      <c r="G529" s="335">
        <f t="shared" si="18"/>
        <v>445.6640757012504</v>
      </c>
      <c r="H529" s="336" t="str">
        <f t="shared" si="16"/>
        <v/>
      </c>
      <c r="I529" s="267"/>
      <c r="J529" s="2"/>
      <c r="K529" s="332"/>
      <c r="L529" s="33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</row>
    <row r="530" spans="1:86" ht="12.65" customHeight="1" x14ac:dyDescent="0.35">
      <c r="A530" s="2" t="s">
        <v>546</v>
      </c>
      <c r="B530" s="334">
        <f>'[1]Prior Year'!AK71</f>
        <v>0</v>
      </c>
      <c r="C530" s="334">
        <f>AK71</f>
        <v>0</v>
      </c>
      <c r="D530" s="334">
        <f>'[1]Prior Year'!AK59</f>
        <v>0</v>
      </c>
      <c r="E530" s="2">
        <f>AK59</f>
        <v>0</v>
      </c>
      <c r="F530" s="335" t="str">
        <f t="shared" si="18"/>
        <v/>
      </c>
      <c r="G530" s="335" t="str">
        <f t="shared" si="18"/>
        <v/>
      </c>
      <c r="H530" s="336" t="str">
        <f t="shared" si="16"/>
        <v/>
      </c>
      <c r="I530" s="267"/>
      <c r="J530" s="2"/>
      <c r="K530" s="332"/>
      <c r="L530" s="33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</row>
    <row r="531" spans="1:86" ht="12.65" customHeight="1" x14ac:dyDescent="0.35">
      <c r="A531" s="2" t="s">
        <v>547</v>
      </c>
      <c r="B531" s="334">
        <f>'[1]Prior Year'!AL71</f>
        <v>0</v>
      </c>
      <c r="C531" s="334">
        <f>AL71</f>
        <v>0</v>
      </c>
      <c r="D531" s="334">
        <f>'[1]Prior Year'!AL59</f>
        <v>0</v>
      </c>
      <c r="E531" s="2">
        <f>AL59</f>
        <v>0</v>
      </c>
      <c r="F531" s="335" t="str">
        <f t="shared" si="18"/>
        <v/>
      </c>
      <c r="G531" s="335" t="str">
        <f t="shared" si="18"/>
        <v/>
      </c>
      <c r="H531" s="336" t="str">
        <f t="shared" si="16"/>
        <v/>
      </c>
      <c r="I531" s="267"/>
      <c r="J531" s="2"/>
      <c r="K531" s="332"/>
      <c r="L531" s="33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</row>
    <row r="532" spans="1:86" ht="12.65" customHeight="1" x14ac:dyDescent="0.35">
      <c r="A532" s="2" t="s">
        <v>548</v>
      </c>
      <c r="B532" s="334">
        <f>'[1]Prior Year'!AM71</f>
        <v>0</v>
      </c>
      <c r="C532" s="334">
        <f>AM71</f>
        <v>0</v>
      </c>
      <c r="D532" s="334">
        <f>'[1]Prior Year'!AM59</f>
        <v>0</v>
      </c>
      <c r="E532" s="2">
        <f>AM59</f>
        <v>0</v>
      </c>
      <c r="F532" s="335" t="str">
        <f t="shared" si="18"/>
        <v/>
      </c>
      <c r="G532" s="335" t="str">
        <f t="shared" si="18"/>
        <v/>
      </c>
      <c r="H532" s="336" t="str">
        <f t="shared" si="16"/>
        <v/>
      </c>
      <c r="I532" s="267"/>
      <c r="J532" s="2"/>
      <c r="K532" s="332"/>
      <c r="L532" s="33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</row>
    <row r="533" spans="1:86" ht="12.65" customHeight="1" x14ac:dyDescent="0.35">
      <c r="A533" s="2" t="s">
        <v>1246</v>
      </c>
      <c r="B533" s="334">
        <f>'[1]Prior Year'!AN71</f>
        <v>0</v>
      </c>
      <c r="C533" s="334">
        <f>AN71</f>
        <v>0</v>
      </c>
      <c r="D533" s="334">
        <f>'[1]Prior Year'!AN59</f>
        <v>0</v>
      </c>
      <c r="E533" s="2">
        <f>AN59</f>
        <v>0</v>
      </c>
      <c r="F533" s="335" t="str">
        <f t="shared" si="18"/>
        <v/>
      </c>
      <c r="G533" s="335" t="str">
        <f t="shared" si="18"/>
        <v/>
      </c>
      <c r="H533" s="336" t="str">
        <f t="shared" si="16"/>
        <v/>
      </c>
      <c r="I533" s="267"/>
      <c r="J533" s="2"/>
      <c r="K533" s="332"/>
      <c r="L533" s="33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</row>
    <row r="534" spans="1:86" ht="12.65" customHeight="1" x14ac:dyDescent="0.35">
      <c r="A534" s="2" t="s">
        <v>549</v>
      </c>
      <c r="B534" s="334">
        <f>'[1]Prior Year'!AO71</f>
        <v>0</v>
      </c>
      <c r="C534" s="334">
        <f>AO71</f>
        <v>0</v>
      </c>
      <c r="D534" s="334">
        <f>'[1]Prior Year'!AO59</f>
        <v>0</v>
      </c>
      <c r="E534" s="2">
        <f>AO59</f>
        <v>0</v>
      </c>
      <c r="F534" s="335" t="str">
        <f t="shared" si="18"/>
        <v/>
      </c>
      <c r="G534" s="335" t="str">
        <f t="shared" si="18"/>
        <v/>
      </c>
      <c r="H534" s="336" t="str">
        <f t="shared" si="16"/>
        <v/>
      </c>
      <c r="I534" s="267"/>
      <c r="J534" s="2"/>
      <c r="K534" s="332"/>
      <c r="L534" s="33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</row>
    <row r="535" spans="1:86" ht="12.65" customHeight="1" x14ac:dyDescent="0.35">
      <c r="A535" s="2" t="s">
        <v>550</v>
      </c>
      <c r="B535" s="334">
        <f>'[1]Prior Year'!AP71</f>
        <v>0</v>
      </c>
      <c r="C535" s="334">
        <f>AP71</f>
        <v>35270</v>
      </c>
      <c r="D535" s="334">
        <f>'[1]Prior Year'!AP59</f>
        <v>0</v>
      </c>
      <c r="E535" s="2">
        <f>AP59</f>
        <v>118</v>
      </c>
      <c r="F535" s="335" t="str">
        <f t="shared" si="18"/>
        <v/>
      </c>
      <c r="G535" s="335">
        <f t="shared" si="18"/>
        <v>298.89830508474574</v>
      </c>
      <c r="H535" s="336" t="str">
        <f t="shared" si="16"/>
        <v/>
      </c>
      <c r="I535" s="267"/>
      <c r="J535" s="2"/>
      <c r="K535" s="332"/>
      <c r="L535" s="33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</row>
    <row r="536" spans="1:86" ht="12.65" customHeight="1" x14ac:dyDescent="0.35">
      <c r="A536" s="2" t="s">
        <v>551</v>
      </c>
      <c r="B536" s="334">
        <f>'[1]Prior Year'!AQ71</f>
        <v>0</v>
      </c>
      <c r="C536" s="334">
        <f>AQ71</f>
        <v>0</v>
      </c>
      <c r="D536" s="334">
        <f>'[1]Prior Year'!AQ59</f>
        <v>0</v>
      </c>
      <c r="E536" s="2">
        <f>AQ59</f>
        <v>0</v>
      </c>
      <c r="F536" s="335" t="str">
        <f t="shared" si="18"/>
        <v/>
      </c>
      <c r="G536" s="335" t="str">
        <f t="shared" si="18"/>
        <v/>
      </c>
      <c r="H536" s="336" t="str">
        <f t="shared" si="16"/>
        <v/>
      </c>
      <c r="I536" s="267"/>
      <c r="J536" s="2"/>
      <c r="K536" s="332"/>
      <c r="L536" s="33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</row>
    <row r="537" spans="1:86" ht="12.65" customHeight="1" x14ac:dyDescent="0.35">
      <c r="A537" s="2" t="s">
        <v>552</v>
      </c>
      <c r="B537" s="334">
        <f>'[1]Prior Year'!AR71</f>
        <v>0</v>
      </c>
      <c r="C537" s="334">
        <f>AR71</f>
        <v>0</v>
      </c>
      <c r="D537" s="334">
        <f>'[1]Prior Year'!AR59</f>
        <v>0</v>
      </c>
      <c r="E537" s="2">
        <f>AR59</f>
        <v>0</v>
      </c>
      <c r="F537" s="335" t="str">
        <f t="shared" si="18"/>
        <v/>
      </c>
      <c r="G537" s="335" t="str">
        <f t="shared" si="18"/>
        <v/>
      </c>
      <c r="H537" s="336" t="str">
        <f t="shared" si="16"/>
        <v/>
      </c>
      <c r="I537" s="267"/>
      <c r="J537" s="2"/>
      <c r="K537" s="332"/>
      <c r="L537" s="33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</row>
    <row r="538" spans="1:86" ht="12.65" customHeight="1" x14ac:dyDescent="0.35">
      <c r="A538" s="2" t="s">
        <v>553</v>
      </c>
      <c r="B538" s="334">
        <f>'[1]Prior Year'!AS71</f>
        <v>0</v>
      </c>
      <c r="C538" s="334">
        <f>AS71</f>
        <v>0</v>
      </c>
      <c r="D538" s="334">
        <f>'[1]Prior Year'!AS59</f>
        <v>0</v>
      </c>
      <c r="E538" s="2">
        <f>AS59</f>
        <v>0</v>
      </c>
      <c r="F538" s="335" t="str">
        <f t="shared" si="18"/>
        <v/>
      </c>
      <c r="G538" s="335" t="str">
        <f t="shared" si="18"/>
        <v/>
      </c>
      <c r="H538" s="336" t="str">
        <f t="shared" si="16"/>
        <v/>
      </c>
      <c r="I538" s="267"/>
      <c r="J538" s="2"/>
      <c r="K538" s="332"/>
      <c r="L538" s="33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</row>
    <row r="539" spans="1:86" ht="12.65" customHeight="1" x14ac:dyDescent="0.35">
      <c r="A539" s="2" t="s">
        <v>554</v>
      </c>
      <c r="B539" s="334">
        <f>'[1]Prior Year'!AT71</f>
        <v>0</v>
      </c>
      <c r="C539" s="334">
        <f>AT71</f>
        <v>0</v>
      </c>
      <c r="D539" s="334">
        <f>'[1]Prior Year'!AT59</f>
        <v>0</v>
      </c>
      <c r="E539" s="2">
        <f>AT59</f>
        <v>0</v>
      </c>
      <c r="F539" s="335" t="str">
        <f t="shared" si="18"/>
        <v/>
      </c>
      <c r="G539" s="335" t="str">
        <f t="shared" si="18"/>
        <v/>
      </c>
      <c r="H539" s="336" t="str">
        <f t="shared" si="16"/>
        <v/>
      </c>
      <c r="I539" s="267"/>
      <c r="J539" s="2"/>
      <c r="K539" s="332"/>
      <c r="L539" s="33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</row>
    <row r="540" spans="1:86" ht="12.65" customHeight="1" x14ac:dyDescent="0.35">
      <c r="A540" s="2" t="s">
        <v>555</v>
      </c>
      <c r="B540" s="334">
        <f>'[1]Prior Year'!AU71</f>
        <v>0</v>
      </c>
      <c r="C540" s="334">
        <f>AU71</f>
        <v>0</v>
      </c>
      <c r="D540" s="334">
        <f>'[1]Prior Year'!AU59</f>
        <v>0</v>
      </c>
      <c r="E540" s="2">
        <f>AU59</f>
        <v>0</v>
      </c>
      <c r="F540" s="335" t="str">
        <f t="shared" si="18"/>
        <v/>
      </c>
      <c r="G540" s="335" t="str">
        <f t="shared" si="18"/>
        <v/>
      </c>
      <c r="H540" s="336" t="str">
        <f t="shared" si="16"/>
        <v/>
      </c>
      <c r="I540" s="267"/>
      <c r="J540" s="2"/>
      <c r="K540" s="332"/>
      <c r="L540" s="33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</row>
    <row r="541" spans="1:86" ht="12.65" customHeight="1" x14ac:dyDescent="0.35">
      <c r="A541" s="2" t="s">
        <v>556</v>
      </c>
      <c r="B541" s="334">
        <f>'[1]Prior Year'!AV71</f>
        <v>0</v>
      </c>
      <c r="C541" s="334">
        <f>AV71</f>
        <v>0</v>
      </c>
      <c r="D541" s="328" t="s">
        <v>529</v>
      </c>
      <c r="E541" s="328" t="s">
        <v>529</v>
      </c>
      <c r="F541" s="335"/>
      <c r="G541" s="335"/>
      <c r="H541" s="336"/>
      <c r="I541" s="267"/>
      <c r="J541" s="2"/>
      <c r="K541" s="332"/>
      <c r="L541" s="33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</row>
    <row r="542" spans="1:86" ht="12.65" customHeight="1" x14ac:dyDescent="0.35">
      <c r="A542" s="2" t="s">
        <v>1247</v>
      </c>
      <c r="B542" s="334">
        <f>'[1]Prior Year'!AW71</f>
        <v>0</v>
      </c>
      <c r="C542" s="334">
        <f>AW71</f>
        <v>0</v>
      </c>
      <c r="D542" s="328" t="s">
        <v>529</v>
      </c>
      <c r="E542" s="328" t="s">
        <v>529</v>
      </c>
      <c r="F542" s="335"/>
      <c r="G542" s="335"/>
      <c r="H542" s="336"/>
      <c r="I542" s="267"/>
      <c r="J542" s="2"/>
      <c r="K542" s="332"/>
      <c r="L542" s="33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</row>
    <row r="543" spans="1:86" ht="12.65" customHeight="1" x14ac:dyDescent="0.35">
      <c r="A543" s="2" t="s">
        <v>557</v>
      </c>
      <c r="B543" s="334">
        <f>'[1]Prior Year'!AX71</f>
        <v>0</v>
      </c>
      <c r="C543" s="334">
        <f>AX71</f>
        <v>0</v>
      </c>
      <c r="D543" s="328" t="s">
        <v>529</v>
      </c>
      <c r="E543" s="328" t="s">
        <v>529</v>
      </c>
      <c r="F543" s="335"/>
      <c r="G543" s="335"/>
      <c r="H543" s="336"/>
      <c r="I543" s="267"/>
      <c r="J543" s="2"/>
      <c r="K543" s="332"/>
      <c r="L543" s="33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</row>
    <row r="544" spans="1:86" ht="12.65" customHeight="1" x14ac:dyDescent="0.35">
      <c r="A544" s="2" t="s">
        <v>558</v>
      </c>
      <c r="B544" s="334">
        <f>'[1]Prior Year'!AY71</f>
        <v>343033</v>
      </c>
      <c r="C544" s="334">
        <f>AY71</f>
        <v>420879</v>
      </c>
      <c r="D544" s="334">
        <f>'[1]Prior Year'!AY59</f>
        <v>7173</v>
      </c>
      <c r="E544" s="2">
        <f>AY59</f>
        <v>5857</v>
      </c>
      <c r="F544" s="335">
        <f t="shared" ref="F544:G550" si="19">IF(B544=0,"",IF(D544=0,"",B544/D544))</f>
        <v>47.82280775128956</v>
      </c>
      <c r="G544" s="335">
        <f t="shared" si="19"/>
        <v>71.859142905924529</v>
      </c>
      <c r="H544" s="336">
        <f t="shared" si="16"/>
        <v>0.50261237858805607</v>
      </c>
      <c r="I544" s="267"/>
      <c r="J544" s="2"/>
      <c r="K544" s="332"/>
      <c r="L544" s="33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</row>
    <row r="545" spans="1:86" ht="12.65" customHeight="1" x14ac:dyDescent="0.35">
      <c r="A545" s="2" t="s">
        <v>559</v>
      </c>
      <c r="B545" s="334">
        <f>'[1]Prior Year'!AZ71</f>
        <v>0</v>
      </c>
      <c r="C545" s="334">
        <f>AZ71</f>
        <v>0</v>
      </c>
      <c r="D545" s="334">
        <f>'[1]Prior Year'!AZ59</f>
        <v>0</v>
      </c>
      <c r="E545" s="2">
        <f>AZ59</f>
        <v>0</v>
      </c>
      <c r="F545" s="335" t="str">
        <f t="shared" si="19"/>
        <v/>
      </c>
      <c r="G545" s="335" t="str">
        <f t="shared" si="19"/>
        <v/>
      </c>
      <c r="H545" s="336" t="str">
        <f t="shared" si="16"/>
        <v/>
      </c>
      <c r="I545" s="267"/>
      <c r="J545" s="2"/>
      <c r="K545" s="332"/>
      <c r="L545" s="33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</row>
    <row r="546" spans="1:86" ht="12.65" customHeight="1" x14ac:dyDescent="0.35">
      <c r="A546" s="2" t="s">
        <v>560</v>
      </c>
      <c r="B546" s="334">
        <f>'[1]Prior Year'!BA71</f>
        <v>7920</v>
      </c>
      <c r="C546" s="334">
        <f>BA71</f>
        <v>10853</v>
      </c>
      <c r="D546" s="334">
        <f>'[1]Prior Year'!BA59</f>
        <v>0</v>
      </c>
      <c r="E546" s="2">
        <f>BA59</f>
        <v>0</v>
      </c>
      <c r="F546" s="335" t="str">
        <f t="shared" si="19"/>
        <v/>
      </c>
      <c r="G546" s="335" t="str">
        <f t="shared" si="19"/>
        <v/>
      </c>
      <c r="H546" s="336" t="str">
        <f t="shared" si="16"/>
        <v/>
      </c>
      <c r="I546" s="267"/>
      <c r="J546" s="2"/>
      <c r="K546" s="332"/>
      <c r="L546" s="33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</row>
    <row r="547" spans="1:86" ht="12.65" customHeight="1" x14ac:dyDescent="0.35">
      <c r="A547" s="2" t="s">
        <v>561</v>
      </c>
      <c r="B547" s="334">
        <f>'[1]Prior Year'!BB71</f>
        <v>0</v>
      </c>
      <c r="C547" s="334">
        <f>BB71</f>
        <v>0</v>
      </c>
      <c r="D547" s="328" t="s">
        <v>529</v>
      </c>
      <c r="E547" s="328" t="s">
        <v>529</v>
      </c>
      <c r="F547" s="335"/>
      <c r="G547" s="335"/>
      <c r="H547" s="336"/>
      <c r="I547" s="267"/>
      <c r="J547" s="2"/>
      <c r="K547" s="332"/>
      <c r="L547" s="33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</row>
    <row r="548" spans="1:86" ht="12.65" customHeight="1" x14ac:dyDescent="0.35">
      <c r="A548" s="2" t="s">
        <v>562</v>
      </c>
      <c r="B548" s="334">
        <f>'[1]Prior Year'!BC71</f>
        <v>0</v>
      </c>
      <c r="C548" s="334">
        <f>BC71</f>
        <v>0</v>
      </c>
      <c r="D548" s="328" t="s">
        <v>529</v>
      </c>
      <c r="E548" s="328" t="s">
        <v>529</v>
      </c>
      <c r="F548" s="335"/>
      <c r="G548" s="335"/>
      <c r="H548" s="336"/>
      <c r="I548" s="267"/>
      <c r="J548" s="2"/>
      <c r="K548" s="332"/>
      <c r="L548" s="33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</row>
    <row r="549" spans="1:86" ht="12.65" customHeight="1" x14ac:dyDescent="0.35">
      <c r="A549" s="2" t="s">
        <v>563</v>
      </c>
      <c r="B549" s="334">
        <f>'[1]Prior Year'!BD71</f>
        <v>134941</v>
      </c>
      <c r="C549" s="334">
        <f>BD71</f>
        <v>149355</v>
      </c>
      <c r="D549" s="328" t="s">
        <v>529</v>
      </c>
      <c r="E549" s="328" t="s">
        <v>529</v>
      </c>
      <c r="F549" s="335"/>
      <c r="G549" s="335"/>
      <c r="H549" s="336"/>
      <c r="I549" s="267"/>
      <c r="J549" s="2"/>
      <c r="K549" s="332"/>
      <c r="L549" s="33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</row>
    <row r="550" spans="1:86" ht="12.65" customHeight="1" x14ac:dyDescent="0.35">
      <c r="A550" s="2" t="s">
        <v>564</v>
      </c>
      <c r="B550" s="334">
        <f>'[1]Prior Year'!BE71</f>
        <v>627046</v>
      </c>
      <c r="C550" s="334">
        <f>BE71</f>
        <v>744472</v>
      </c>
      <c r="D550" s="334">
        <f>'[1]Prior Year'!BE59</f>
        <v>60463</v>
      </c>
      <c r="E550" s="2">
        <f>BE59</f>
        <v>60463</v>
      </c>
      <c r="F550" s="335">
        <f t="shared" si="19"/>
        <v>10.370739129715695</v>
      </c>
      <c r="G550" s="335">
        <f t="shared" si="19"/>
        <v>12.312852488298629</v>
      </c>
      <c r="H550" s="336" t="str">
        <f t="shared" si="16"/>
        <v/>
      </c>
      <c r="I550" s="267"/>
      <c r="J550" s="2"/>
      <c r="K550" s="332"/>
      <c r="L550" s="33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</row>
    <row r="551" spans="1:86" ht="12.65" customHeight="1" x14ac:dyDescent="0.35">
      <c r="A551" s="2" t="s">
        <v>565</v>
      </c>
      <c r="B551" s="334">
        <f>'[1]Prior Year'!BF71</f>
        <v>273331</v>
      </c>
      <c r="C551" s="334">
        <f>BF71</f>
        <v>309402</v>
      </c>
      <c r="D551" s="328" t="s">
        <v>529</v>
      </c>
      <c r="E551" s="328" t="s">
        <v>529</v>
      </c>
      <c r="F551" s="335"/>
      <c r="G551" s="335"/>
      <c r="H551" s="336"/>
      <c r="I551" s="267"/>
      <c r="J551" s="323"/>
      <c r="K551" s="2"/>
      <c r="L551" s="2"/>
      <c r="M551" s="336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</row>
    <row r="552" spans="1:86" ht="12.65" customHeight="1" x14ac:dyDescent="0.35">
      <c r="A552" s="2" t="s">
        <v>566</v>
      </c>
      <c r="B552" s="334">
        <f>'[1]Prior Year'!BG71</f>
        <v>0</v>
      </c>
      <c r="C552" s="334">
        <f>BG71</f>
        <v>0</v>
      </c>
      <c r="D552" s="328" t="s">
        <v>529</v>
      </c>
      <c r="E552" s="328" t="s">
        <v>529</v>
      </c>
      <c r="F552" s="335"/>
      <c r="G552" s="335"/>
      <c r="H552" s="336"/>
      <c r="I552" s="2"/>
      <c r="J552" s="323"/>
      <c r="K552" s="2"/>
      <c r="L552" s="2"/>
      <c r="M552" s="336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</row>
    <row r="553" spans="1:86" ht="12.65" customHeight="1" x14ac:dyDescent="0.35">
      <c r="A553" s="2" t="s">
        <v>567</v>
      </c>
      <c r="B553" s="334">
        <f>'[1]Prior Year'!BH71</f>
        <v>1100134</v>
      </c>
      <c r="C553" s="334">
        <f>BH71</f>
        <v>991300</v>
      </c>
      <c r="D553" s="328" t="s">
        <v>529</v>
      </c>
      <c r="E553" s="328" t="s">
        <v>529</v>
      </c>
      <c r="F553" s="335"/>
      <c r="G553" s="335"/>
      <c r="H553" s="336"/>
      <c r="I553" s="2"/>
      <c r="J553" s="323"/>
      <c r="K553" s="2"/>
      <c r="L553" s="2"/>
      <c r="M553" s="336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</row>
    <row r="554" spans="1:86" ht="12.65" customHeight="1" x14ac:dyDescent="0.35">
      <c r="A554" s="2" t="s">
        <v>568</v>
      </c>
      <c r="B554" s="334">
        <f>'[1]Prior Year'!BI71</f>
        <v>0</v>
      </c>
      <c r="C554" s="334">
        <f>BI71</f>
        <v>0</v>
      </c>
      <c r="D554" s="328" t="s">
        <v>529</v>
      </c>
      <c r="E554" s="328" t="s">
        <v>529</v>
      </c>
      <c r="F554" s="335"/>
      <c r="G554" s="335"/>
      <c r="H554" s="336"/>
      <c r="I554" s="2"/>
      <c r="J554" s="323"/>
      <c r="K554" s="2"/>
      <c r="L554" s="2"/>
      <c r="M554" s="336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</row>
    <row r="555" spans="1:86" ht="12.65" customHeight="1" x14ac:dyDescent="0.35">
      <c r="A555" s="2" t="s">
        <v>569</v>
      </c>
      <c r="B555" s="334">
        <f>'[1]Prior Year'!BJ71</f>
        <v>458507</v>
      </c>
      <c r="C555" s="334">
        <f>BJ71</f>
        <v>429296</v>
      </c>
      <c r="D555" s="328" t="s">
        <v>529</v>
      </c>
      <c r="E555" s="328" t="s">
        <v>529</v>
      </c>
      <c r="F555" s="335"/>
      <c r="G555" s="335"/>
      <c r="H555" s="336"/>
      <c r="I555" s="2"/>
      <c r="J555" s="323"/>
      <c r="K555" s="2"/>
      <c r="L555" s="2"/>
      <c r="M555" s="336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</row>
    <row r="556" spans="1:86" ht="12.65" customHeight="1" x14ac:dyDescent="0.35">
      <c r="A556" s="2" t="s">
        <v>570</v>
      </c>
      <c r="B556" s="334">
        <f>'[1]Prior Year'!BK71</f>
        <v>390610</v>
      </c>
      <c r="C556" s="334">
        <f>BK71</f>
        <v>336634</v>
      </c>
      <c r="D556" s="328" t="s">
        <v>529</v>
      </c>
      <c r="E556" s="328" t="s">
        <v>529</v>
      </c>
      <c r="F556" s="335"/>
      <c r="G556" s="335"/>
      <c r="H556" s="336"/>
      <c r="I556" s="2"/>
      <c r="J556" s="323"/>
      <c r="K556" s="2"/>
      <c r="L556" s="2"/>
      <c r="M556" s="336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</row>
    <row r="557" spans="1:86" ht="12.65" customHeight="1" x14ac:dyDescent="0.35">
      <c r="A557" s="2" t="s">
        <v>571</v>
      </c>
      <c r="B557" s="334">
        <f>'[1]Prior Year'!BL71</f>
        <v>0</v>
      </c>
      <c r="C557" s="334">
        <f>BL71</f>
        <v>0</v>
      </c>
      <c r="D557" s="328" t="s">
        <v>529</v>
      </c>
      <c r="E557" s="328" t="s">
        <v>529</v>
      </c>
      <c r="F557" s="335"/>
      <c r="G557" s="335"/>
      <c r="H557" s="336"/>
      <c r="I557" s="2"/>
      <c r="J557" s="323"/>
      <c r="K557" s="2"/>
      <c r="L557" s="2"/>
      <c r="M557" s="336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</row>
    <row r="558" spans="1:86" ht="12.65" customHeight="1" x14ac:dyDescent="0.35">
      <c r="A558" s="2" t="s">
        <v>572</v>
      </c>
      <c r="B558" s="334">
        <f>'[1]Prior Year'!BM71</f>
        <v>0</v>
      </c>
      <c r="C558" s="334">
        <f>BM71</f>
        <v>0</v>
      </c>
      <c r="D558" s="328" t="s">
        <v>529</v>
      </c>
      <c r="E558" s="328" t="s">
        <v>529</v>
      </c>
      <c r="F558" s="335"/>
      <c r="G558" s="335"/>
      <c r="H558" s="336"/>
      <c r="I558" s="2"/>
      <c r="J558" s="323"/>
      <c r="K558" s="2"/>
      <c r="L558" s="2"/>
      <c r="M558" s="336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</row>
    <row r="559" spans="1:86" ht="12.65" customHeight="1" x14ac:dyDescent="0.35">
      <c r="A559" s="2" t="s">
        <v>573</v>
      </c>
      <c r="B559" s="334">
        <f>'[1]Prior Year'!BN71</f>
        <v>443327</v>
      </c>
      <c r="C559" s="334">
        <f>BN71</f>
        <v>760203.73</v>
      </c>
      <c r="D559" s="328" t="s">
        <v>529</v>
      </c>
      <c r="E559" s="328" t="s">
        <v>529</v>
      </c>
      <c r="F559" s="335"/>
      <c r="G559" s="335"/>
      <c r="H559" s="336"/>
      <c r="I559" s="2"/>
      <c r="J559" s="323"/>
      <c r="K559" s="2"/>
      <c r="L559" s="2"/>
      <c r="M559" s="336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</row>
    <row r="560" spans="1:86" ht="12.65" customHeight="1" x14ac:dyDescent="0.35">
      <c r="A560" s="2" t="s">
        <v>574</v>
      </c>
      <c r="B560" s="334">
        <f>'[1]Prior Year'!BO71</f>
        <v>0</v>
      </c>
      <c r="C560" s="334">
        <f>BO71</f>
        <v>2210</v>
      </c>
      <c r="D560" s="328" t="s">
        <v>529</v>
      </c>
      <c r="E560" s="328" t="s">
        <v>529</v>
      </c>
      <c r="F560" s="335"/>
      <c r="G560" s="335"/>
      <c r="H560" s="336"/>
      <c r="I560" s="2"/>
      <c r="J560" s="323"/>
      <c r="K560" s="2"/>
      <c r="L560" s="2"/>
      <c r="M560" s="336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</row>
    <row r="561" spans="1:86" ht="12.65" customHeight="1" x14ac:dyDescent="0.35">
      <c r="A561" s="2" t="s">
        <v>575</v>
      </c>
      <c r="B561" s="334">
        <f>'[1]Prior Year'!BP71</f>
        <v>208649</v>
      </c>
      <c r="C561" s="334">
        <f>BP71</f>
        <v>205630</v>
      </c>
      <c r="D561" s="328" t="s">
        <v>529</v>
      </c>
      <c r="E561" s="328" t="s">
        <v>529</v>
      </c>
      <c r="F561" s="335"/>
      <c r="G561" s="335"/>
      <c r="H561" s="336"/>
      <c r="I561" s="2"/>
      <c r="J561" s="323"/>
      <c r="K561" s="2"/>
      <c r="L561" s="2"/>
      <c r="M561" s="336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</row>
    <row r="562" spans="1:86" ht="12.65" customHeight="1" x14ac:dyDescent="0.35">
      <c r="A562" s="2" t="s">
        <v>576</v>
      </c>
      <c r="B562" s="334">
        <f>'[1]Prior Year'!BQ71</f>
        <v>0</v>
      </c>
      <c r="C562" s="334">
        <f>BQ71</f>
        <v>0</v>
      </c>
      <c r="D562" s="328" t="s">
        <v>529</v>
      </c>
      <c r="E562" s="328" t="s">
        <v>529</v>
      </c>
      <c r="F562" s="335"/>
      <c r="G562" s="335"/>
      <c r="H562" s="336"/>
      <c r="I562" s="2"/>
      <c r="J562" s="323"/>
      <c r="K562" s="2"/>
      <c r="L562" s="2"/>
      <c r="M562" s="336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</row>
    <row r="563" spans="1:86" ht="12.65" customHeight="1" x14ac:dyDescent="0.35">
      <c r="A563" s="2" t="s">
        <v>577</v>
      </c>
      <c r="B563" s="334">
        <f>'[1]Prior Year'!BR71</f>
        <v>230063</v>
      </c>
      <c r="C563" s="334">
        <f>BR71</f>
        <v>216830</v>
      </c>
      <c r="D563" s="328" t="s">
        <v>529</v>
      </c>
      <c r="E563" s="328" t="s">
        <v>529</v>
      </c>
      <c r="F563" s="335"/>
      <c r="G563" s="335"/>
      <c r="H563" s="336"/>
      <c r="I563" s="2"/>
      <c r="J563" s="323"/>
      <c r="K563" s="2"/>
      <c r="L563" s="2"/>
      <c r="M563" s="336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</row>
    <row r="564" spans="1:86" ht="12.65" customHeight="1" x14ac:dyDescent="0.35">
      <c r="A564" s="2" t="s">
        <v>1248</v>
      </c>
      <c r="B564" s="334">
        <f>'[1]Prior Year'!BS71</f>
        <v>0</v>
      </c>
      <c r="C564" s="334">
        <f>BS71</f>
        <v>0</v>
      </c>
      <c r="D564" s="328" t="s">
        <v>529</v>
      </c>
      <c r="E564" s="328" t="s">
        <v>529</v>
      </c>
      <c r="F564" s="335"/>
      <c r="G564" s="335"/>
      <c r="H564" s="336"/>
      <c r="I564" s="2"/>
      <c r="J564" s="323"/>
      <c r="K564" s="2"/>
      <c r="L564" s="2"/>
      <c r="M564" s="336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</row>
    <row r="565" spans="1:86" ht="12.65" customHeight="1" x14ac:dyDescent="0.35">
      <c r="A565" s="2" t="s">
        <v>578</v>
      </c>
      <c r="B565" s="334">
        <f>'[1]Prior Year'!BT71</f>
        <v>0</v>
      </c>
      <c r="C565" s="334">
        <f>BT71</f>
        <v>0</v>
      </c>
      <c r="D565" s="328" t="s">
        <v>529</v>
      </c>
      <c r="E565" s="328" t="s">
        <v>529</v>
      </c>
      <c r="F565" s="335"/>
      <c r="G565" s="335"/>
      <c r="H565" s="336"/>
      <c r="I565" s="2"/>
      <c r="J565" s="323"/>
      <c r="K565" s="2"/>
      <c r="L565" s="2"/>
      <c r="M565" s="336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</row>
    <row r="566" spans="1:86" ht="12.65" customHeight="1" x14ac:dyDescent="0.35">
      <c r="A566" s="2" t="s">
        <v>579</v>
      </c>
      <c r="B566" s="334">
        <f>'[1]Prior Year'!BU71</f>
        <v>0</v>
      </c>
      <c r="C566" s="334">
        <f>BU71</f>
        <v>0</v>
      </c>
      <c r="D566" s="328" t="s">
        <v>529</v>
      </c>
      <c r="E566" s="328" t="s">
        <v>529</v>
      </c>
      <c r="F566" s="335"/>
      <c r="G566" s="335"/>
      <c r="H566" s="336"/>
      <c r="I566" s="2"/>
      <c r="J566" s="323"/>
      <c r="K566" s="2"/>
      <c r="L566" s="2"/>
      <c r="M566" s="336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</row>
    <row r="567" spans="1:86" ht="12.65" customHeight="1" x14ac:dyDescent="0.35">
      <c r="A567" s="2" t="s">
        <v>580</v>
      </c>
      <c r="B567" s="334">
        <f>'[1]Prior Year'!BV71</f>
        <v>234063</v>
      </c>
      <c r="C567" s="334">
        <f>BV71</f>
        <v>242959</v>
      </c>
      <c r="D567" s="328" t="s">
        <v>529</v>
      </c>
      <c r="E567" s="328" t="s">
        <v>529</v>
      </c>
      <c r="F567" s="335"/>
      <c r="G567" s="335"/>
      <c r="H567" s="336"/>
      <c r="I567" s="2"/>
      <c r="J567" s="323"/>
      <c r="K567" s="2"/>
      <c r="L567" s="2"/>
      <c r="M567" s="336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</row>
    <row r="568" spans="1:86" ht="12.65" customHeight="1" x14ac:dyDescent="0.35">
      <c r="A568" s="2" t="s">
        <v>581</v>
      </c>
      <c r="B568" s="334">
        <f>'[1]Prior Year'!BW71</f>
        <v>0</v>
      </c>
      <c r="C568" s="334">
        <f>BW71</f>
        <v>0</v>
      </c>
      <c r="D568" s="328" t="s">
        <v>529</v>
      </c>
      <c r="E568" s="328" t="s">
        <v>529</v>
      </c>
      <c r="F568" s="335"/>
      <c r="G568" s="335"/>
      <c r="H568" s="336"/>
      <c r="I568" s="2"/>
      <c r="J568" s="323"/>
      <c r="K568" s="2"/>
      <c r="L568" s="2"/>
      <c r="M568" s="336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</row>
    <row r="569" spans="1:86" ht="12.65" customHeight="1" x14ac:dyDescent="0.35">
      <c r="A569" s="2" t="s">
        <v>582</v>
      </c>
      <c r="B569" s="334">
        <f>'[1]Prior Year'!BX71</f>
        <v>141792</v>
      </c>
      <c r="C569" s="334">
        <f>BX71</f>
        <v>141537</v>
      </c>
      <c r="D569" s="328" t="s">
        <v>529</v>
      </c>
      <c r="E569" s="328" t="s">
        <v>529</v>
      </c>
      <c r="F569" s="335"/>
      <c r="G569" s="335"/>
      <c r="H569" s="336"/>
      <c r="I569" s="2"/>
      <c r="J569" s="323"/>
      <c r="K569" s="2"/>
      <c r="L569" s="2"/>
      <c r="M569" s="336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</row>
    <row r="570" spans="1:86" ht="12.65" customHeight="1" x14ac:dyDescent="0.35">
      <c r="A570" s="2" t="s">
        <v>583</v>
      </c>
      <c r="B570" s="334">
        <f>'[1]Prior Year'!BY71</f>
        <v>477819</v>
      </c>
      <c r="C570" s="334">
        <f>BY71</f>
        <v>477544</v>
      </c>
      <c r="D570" s="328" t="s">
        <v>529</v>
      </c>
      <c r="E570" s="328" t="s">
        <v>529</v>
      </c>
      <c r="F570" s="335"/>
      <c r="G570" s="335"/>
      <c r="H570" s="336"/>
      <c r="I570" s="2"/>
      <c r="J570" s="323"/>
      <c r="K570" s="2"/>
      <c r="L570" s="2"/>
      <c r="M570" s="336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</row>
    <row r="571" spans="1:86" ht="12.65" customHeight="1" x14ac:dyDescent="0.35">
      <c r="A571" s="2" t="s">
        <v>584</v>
      </c>
      <c r="B571" s="334">
        <f>'[1]Prior Year'!BZ71</f>
        <v>0</v>
      </c>
      <c r="C571" s="334">
        <f>BZ71</f>
        <v>0</v>
      </c>
      <c r="D571" s="328" t="s">
        <v>529</v>
      </c>
      <c r="E571" s="328" t="s">
        <v>529</v>
      </c>
      <c r="F571" s="335"/>
      <c r="G571" s="335"/>
      <c r="H571" s="336"/>
      <c r="I571" s="2"/>
      <c r="J571" s="323"/>
      <c r="K571" s="2"/>
      <c r="L571" s="2"/>
      <c r="M571" s="336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</row>
    <row r="572" spans="1:86" ht="12.65" customHeight="1" x14ac:dyDescent="0.35">
      <c r="A572" s="2" t="s">
        <v>585</v>
      </c>
      <c r="B572" s="334">
        <f>'[1]Prior Year'!CA71</f>
        <v>48023</v>
      </c>
      <c r="C572" s="334">
        <f>CA71</f>
        <v>32721</v>
      </c>
      <c r="D572" s="328" t="s">
        <v>529</v>
      </c>
      <c r="E572" s="328" t="s">
        <v>529</v>
      </c>
      <c r="F572" s="335"/>
      <c r="G572" s="335"/>
      <c r="H572" s="336"/>
      <c r="I572" s="2"/>
      <c r="J572" s="323"/>
      <c r="K572" s="2"/>
      <c r="L572" s="2"/>
      <c r="M572" s="336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</row>
    <row r="573" spans="1:86" ht="12.65" customHeight="1" x14ac:dyDescent="0.35">
      <c r="A573" s="2" t="s">
        <v>586</v>
      </c>
      <c r="B573" s="334">
        <f>'[1]Prior Year'!CB71</f>
        <v>62032</v>
      </c>
      <c r="C573" s="334">
        <f>CB71</f>
        <v>66456</v>
      </c>
      <c r="D573" s="328" t="s">
        <v>529</v>
      </c>
      <c r="E573" s="328" t="s">
        <v>529</v>
      </c>
      <c r="F573" s="335"/>
      <c r="G573" s="335"/>
      <c r="H573" s="336"/>
      <c r="I573" s="2"/>
      <c r="J573" s="323"/>
      <c r="K573" s="2"/>
      <c r="L573" s="2"/>
      <c r="M573" s="336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</row>
    <row r="574" spans="1:86" ht="12.65" customHeight="1" x14ac:dyDescent="0.35">
      <c r="A574" s="2" t="s">
        <v>587</v>
      </c>
      <c r="B574" s="334">
        <f>'[1]Prior Year'!CC71</f>
        <v>972213</v>
      </c>
      <c r="C574" s="334">
        <f>CC71</f>
        <v>716892</v>
      </c>
      <c r="D574" s="328" t="s">
        <v>529</v>
      </c>
      <c r="E574" s="328" t="s">
        <v>529</v>
      </c>
      <c r="F574" s="335"/>
      <c r="G574" s="335"/>
      <c r="H574" s="336"/>
      <c r="I574" s="2"/>
      <c r="J574" s="323"/>
      <c r="K574" s="2"/>
      <c r="L574" s="2"/>
      <c r="M574" s="336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</row>
    <row r="575" spans="1:86" ht="12.65" customHeight="1" x14ac:dyDescent="0.35">
      <c r="A575" s="2" t="s">
        <v>588</v>
      </c>
      <c r="B575" s="334">
        <f>'[1]Prior Year'!CD71</f>
        <v>1112935</v>
      </c>
      <c r="C575" s="334">
        <f>CD71</f>
        <v>1117140</v>
      </c>
      <c r="D575" s="328" t="s">
        <v>529</v>
      </c>
      <c r="E575" s="328" t="s">
        <v>529</v>
      </c>
      <c r="F575" s="335"/>
      <c r="G575" s="335"/>
      <c r="H575" s="33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</row>
    <row r="576" spans="1:86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6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</row>
    <row r="577" spans="1:86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6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</row>
    <row r="578" spans="1:86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6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</row>
    <row r="579" spans="1:86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</row>
    <row r="580" spans="1:86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</row>
    <row r="581" spans="1:86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</row>
    <row r="582" spans="1:86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</row>
    <row r="583" spans="1:86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</row>
    <row r="584" spans="1:86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</row>
    <row r="585" spans="1:86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</row>
    <row r="586" spans="1:86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</row>
    <row r="587" spans="1:86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</row>
    <row r="588" spans="1:86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</row>
    <row r="589" spans="1:86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</row>
    <row r="590" spans="1:86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</row>
    <row r="591" spans="1:86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</row>
    <row r="592" spans="1:86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</row>
    <row r="593" spans="1:86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</row>
    <row r="594" spans="1:86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</row>
    <row r="595" spans="1:86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</row>
    <row r="596" spans="1:86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</row>
    <row r="597" spans="1:86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</row>
    <row r="598" spans="1:86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</row>
    <row r="599" spans="1:86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</row>
    <row r="600" spans="1:86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</row>
    <row r="601" spans="1:86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</row>
    <row r="602" spans="1:86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</row>
    <row r="603" spans="1:86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</row>
    <row r="604" spans="1:86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</row>
    <row r="605" spans="1:86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</row>
    <row r="606" spans="1:86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</row>
    <row r="607" spans="1:86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</row>
    <row r="608" spans="1:86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</row>
    <row r="609" spans="1:86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</row>
    <row r="610" spans="1:86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</row>
    <row r="611" spans="1:86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</row>
    <row r="612" spans="1:86" ht="12.65" customHeight="1" x14ac:dyDescent="0.35">
      <c r="A612" s="337"/>
      <c r="B612" s="2"/>
      <c r="C612" s="328" t="s">
        <v>589</v>
      </c>
      <c r="D612" s="2">
        <f>CE76-(BE76+CD76)</f>
        <v>54094</v>
      </c>
      <c r="E612" s="2">
        <f>SUM(C624:D647)+SUM(C668:D713)</f>
        <v>16788049.310630754</v>
      </c>
      <c r="F612" s="2">
        <f>CE64-(AX64+BD64+BE64+BG64+BJ64+BN64+BP64+BQ64+CB64+CC64+CD64)</f>
        <v>1455768.29</v>
      </c>
      <c r="G612" s="2">
        <f>CE77-(AX77+AY77+BD77+BE77+BG77+BJ77+BN77+BP77+BQ77+CB77+CC77+CD77)</f>
        <v>5857</v>
      </c>
      <c r="H612" s="327">
        <f>CE60-(AX60+AY60+AZ60+BD60+BE60+BG60+BJ60+BN60+BO60+BP60+BQ60+BR60+CB60+CC60+CD60)</f>
        <v>88.93</v>
      </c>
      <c r="I612" s="2">
        <f>CE78-(AX78+AY78+AZ78+BD78+BE78+BF78+BG78+BJ78+BN78+BO78+BP78+BQ78+BR78+CB78+CC78+CD78)</f>
        <v>8071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24922978.199999999</v>
      </c>
      <c r="L612" s="327">
        <f>CE80-(AW80+AX80+AY80+AZ80+BA80+BB80+BC80+BD80+BE80+BF80+BG80+BH80+BI80+BJ80+BK80+BL80+BM80+BN80+BO80+BP80+BQ80+BR80+BS80+BT80+BU80+BV80+BW80+BX80+BY80+BZ80+CA80+CB80+CC80+CD80)</f>
        <v>13.32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</row>
    <row r="613" spans="1:86" ht="12.65" customHeight="1" x14ac:dyDescent="0.35">
      <c r="A613" s="337"/>
      <c r="B613" s="2"/>
      <c r="C613" s="328" t="s">
        <v>590</v>
      </c>
      <c r="D613" s="328" t="s">
        <v>591</v>
      </c>
      <c r="E613" s="331" t="s">
        <v>592</v>
      </c>
      <c r="F613" s="328" t="s">
        <v>593</v>
      </c>
      <c r="G613" s="328" t="s">
        <v>594</v>
      </c>
      <c r="H613" s="328" t="s">
        <v>595</v>
      </c>
      <c r="I613" s="328" t="s">
        <v>596</v>
      </c>
      <c r="J613" s="328" t="s">
        <v>597</v>
      </c>
      <c r="K613" s="328" t="s">
        <v>598</v>
      </c>
      <c r="L613" s="331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</row>
    <row r="614" spans="1:86" ht="12.65" customHeight="1" x14ac:dyDescent="0.35">
      <c r="A614" s="337">
        <v>8430</v>
      </c>
      <c r="B614" s="331" t="s">
        <v>140</v>
      </c>
      <c r="C614" s="2">
        <f>BE71</f>
        <v>744472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3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</row>
    <row r="615" spans="1:86" ht="12.65" customHeight="1" x14ac:dyDescent="0.35">
      <c r="A615" s="337"/>
      <c r="B615" s="331" t="s">
        <v>601</v>
      </c>
      <c r="C615" s="338">
        <f>CD69-CD70</f>
        <v>1117140</v>
      </c>
      <c r="D615" s="339">
        <f>SUM(C614:C615)</f>
        <v>1861612</v>
      </c>
      <c r="E615" s="2"/>
      <c r="F615" s="2"/>
      <c r="G615" s="2"/>
      <c r="H615" s="2"/>
      <c r="I615" s="2"/>
      <c r="J615" s="2"/>
      <c r="K615" s="2"/>
      <c r="L615" s="2"/>
      <c r="M615" s="2"/>
      <c r="N615" s="323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</row>
    <row r="616" spans="1:86" ht="12.65" customHeight="1" x14ac:dyDescent="0.35">
      <c r="A616" s="337">
        <v>8310</v>
      </c>
      <c r="B616" s="340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3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</row>
    <row r="617" spans="1:86" ht="12.65" customHeight="1" x14ac:dyDescent="0.35">
      <c r="A617" s="337">
        <v>8510</v>
      </c>
      <c r="B617" s="340" t="s">
        <v>145</v>
      </c>
      <c r="C617" s="2">
        <f>BJ71</f>
        <v>429296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3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</row>
    <row r="618" spans="1:86" ht="12.65" customHeight="1" x14ac:dyDescent="0.35">
      <c r="A618" s="337">
        <v>8470</v>
      </c>
      <c r="B618" s="340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3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</row>
    <row r="619" spans="1:86" ht="12.65" customHeight="1" x14ac:dyDescent="0.35">
      <c r="A619" s="337">
        <v>8610</v>
      </c>
      <c r="B619" s="340" t="s">
        <v>608</v>
      </c>
      <c r="C619" s="2">
        <f>BN71</f>
        <v>760203.73</v>
      </c>
      <c r="D619" s="2">
        <f>(D615/D612)*BN76</f>
        <v>607413.97936924605</v>
      </c>
      <c r="E619" s="2"/>
      <c r="F619" s="2"/>
      <c r="G619" s="2"/>
      <c r="H619" s="2"/>
      <c r="I619" s="2"/>
      <c r="J619" s="2"/>
      <c r="K619" s="2"/>
      <c r="L619" s="2"/>
      <c r="M619" s="2"/>
      <c r="N619" s="323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</row>
    <row r="620" spans="1:86" ht="12.65" customHeight="1" x14ac:dyDescent="0.35">
      <c r="A620" s="337">
        <v>8790</v>
      </c>
      <c r="B620" s="340" t="s">
        <v>610</v>
      </c>
      <c r="C620" s="2">
        <f>CC71</f>
        <v>716892</v>
      </c>
      <c r="D620" s="2">
        <f>(D615/D612)*CC76</f>
        <v>0</v>
      </c>
      <c r="E620" s="2"/>
      <c r="F620" s="2"/>
      <c r="G620" s="2"/>
      <c r="H620" s="2"/>
      <c r="I620" s="2"/>
      <c r="J620" s="2"/>
      <c r="K620" s="2"/>
      <c r="L620" s="2"/>
      <c r="M620" s="2"/>
      <c r="N620" s="323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</row>
    <row r="621" spans="1:86" ht="12.65" customHeight="1" x14ac:dyDescent="0.35">
      <c r="A621" s="337">
        <v>8630</v>
      </c>
      <c r="B621" s="340" t="s">
        <v>612</v>
      </c>
      <c r="C621" s="2">
        <f>BP71</f>
        <v>205630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3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</row>
    <row r="622" spans="1:86" ht="12.65" customHeight="1" x14ac:dyDescent="0.35">
      <c r="A622" s="337">
        <v>8770</v>
      </c>
      <c r="B622" s="331" t="s">
        <v>614</v>
      </c>
      <c r="C622" s="2">
        <f>CB71</f>
        <v>66456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3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</row>
    <row r="623" spans="1:86" ht="12.65" customHeight="1" x14ac:dyDescent="0.35">
      <c r="A623" s="337">
        <v>8640</v>
      </c>
      <c r="B623" s="340" t="s">
        <v>616</v>
      </c>
      <c r="C623" s="2">
        <f>BQ71</f>
        <v>0</v>
      </c>
      <c r="D623" s="2">
        <f>(D615/D612)*BQ76</f>
        <v>0</v>
      </c>
      <c r="E623" s="2">
        <f>SUM(C616:D623)</f>
        <v>2785891.7093692459</v>
      </c>
      <c r="F623" s="2"/>
      <c r="G623" s="2"/>
      <c r="H623" s="2"/>
      <c r="I623" s="2"/>
      <c r="J623" s="2"/>
      <c r="K623" s="2"/>
      <c r="L623" s="2"/>
      <c r="M623" s="2"/>
      <c r="N623" s="323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</row>
    <row r="624" spans="1:86" ht="12.65" customHeight="1" x14ac:dyDescent="0.35">
      <c r="A624" s="337">
        <v>8420</v>
      </c>
      <c r="B624" s="340" t="s">
        <v>139</v>
      </c>
      <c r="C624" s="2">
        <f>BD71</f>
        <v>149355</v>
      </c>
      <c r="D624" s="2">
        <f>(D615/D612)*BD76</f>
        <v>35963.037305431288</v>
      </c>
      <c r="E624" s="2">
        <f>(E623/E612)*SUM(C624:D624)</f>
        <v>30752.589188480553</v>
      </c>
      <c r="F624" s="2">
        <f>SUM(C624:E624)</f>
        <v>216070.62649391184</v>
      </c>
      <c r="G624" s="2"/>
      <c r="H624" s="2"/>
      <c r="I624" s="2"/>
      <c r="J624" s="2"/>
      <c r="K624" s="2"/>
      <c r="L624" s="2"/>
      <c r="M624" s="2"/>
      <c r="N624" s="323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</row>
    <row r="625" spans="1:86" ht="12.65" customHeight="1" x14ac:dyDescent="0.35">
      <c r="A625" s="337">
        <v>8320</v>
      </c>
      <c r="B625" s="340" t="s">
        <v>135</v>
      </c>
      <c r="C625" s="2">
        <f>AY71</f>
        <v>420879</v>
      </c>
      <c r="D625" s="2">
        <f>(D615/D612)*AY76</f>
        <v>92024.078234184926</v>
      </c>
      <c r="E625" s="2">
        <f>(E623/E612)*SUM(C625:D625)</f>
        <v>85113.666687752644</v>
      </c>
      <c r="F625" s="2">
        <f>(F624/F612)*AY64</f>
        <v>17207.658887252011</v>
      </c>
      <c r="G625" s="2">
        <f>SUM(C625:F625)</f>
        <v>615224.40380918956</v>
      </c>
      <c r="H625" s="2"/>
      <c r="I625" s="2"/>
      <c r="J625" s="2"/>
      <c r="K625" s="2"/>
      <c r="L625" s="2"/>
      <c r="M625" s="2"/>
      <c r="N625" s="323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</row>
    <row r="626" spans="1:86" ht="12.65" customHeight="1" x14ac:dyDescent="0.35">
      <c r="A626" s="337">
        <v>8650</v>
      </c>
      <c r="B626" s="340" t="s">
        <v>152</v>
      </c>
      <c r="C626" s="2">
        <f>BR71</f>
        <v>216830</v>
      </c>
      <c r="D626" s="2">
        <f>(D615/D612)*BR76</f>
        <v>0</v>
      </c>
      <c r="E626" s="2">
        <f>(E623/E612)*SUM(C626:D626)</f>
        <v>35981.839710228844</v>
      </c>
      <c r="F626" s="2">
        <f>(F624/F612)*BR64</f>
        <v>132.69085568937427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3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</row>
    <row r="627" spans="1:86" ht="12.65" customHeight="1" x14ac:dyDescent="0.35">
      <c r="A627" s="337">
        <v>8620</v>
      </c>
      <c r="B627" s="331" t="s">
        <v>621</v>
      </c>
      <c r="C627" s="2">
        <f>BO71</f>
        <v>2210</v>
      </c>
      <c r="D627" s="2">
        <f>(D615/D612)*BO76</f>
        <v>0</v>
      </c>
      <c r="E627" s="2">
        <f>(E623/E612)*SUM(C627:D627)</f>
        <v>366.738300786818</v>
      </c>
      <c r="F627" s="2">
        <f>(F624/F612)*BO64</f>
        <v>47.79245585232497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3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</row>
    <row r="628" spans="1:86" ht="12.65" customHeight="1" x14ac:dyDescent="0.35">
      <c r="A628" s="337">
        <v>8330</v>
      </c>
      <c r="B628" s="340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255569.06132255736</v>
      </c>
      <c r="I628" s="2"/>
      <c r="J628" s="2"/>
      <c r="K628" s="2"/>
      <c r="L628" s="2"/>
      <c r="M628" s="2"/>
      <c r="N628" s="323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</row>
    <row r="629" spans="1:86" ht="12.65" customHeight="1" x14ac:dyDescent="0.35">
      <c r="A629" s="337">
        <v>8460</v>
      </c>
      <c r="B629" s="340" t="s">
        <v>141</v>
      </c>
      <c r="C629" s="2">
        <f>BF71</f>
        <v>309402</v>
      </c>
      <c r="D629" s="2">
        <f>(D615/D612)*BF76</f>
        <v>27049.710356046879</v>
      </c>
      <c r="E629" s="2">
        <f>(E623/E612)*SUM(C629:D629)</f>
        <v>55832.456358730895</v>
      </c>
      <c r="F629" s="2">
        <f>(F624/F612)*BF64</f>
        <v>3519.8698463909523</v>
      </c>
      <c r="G629" s="2">
        <f>(G625/G612)*BF77</f>
        <v>0</v>
      </c>
      <c r="H629" s="2">
        <f>(H628/H612)*BF60</f>
        <v>18651.109951460669</v>
      </c>
      <c r="I629" s="2">
        <f>SUM(C629:H629)</f>
        <v>414455.14651262941</v>
      </c>
      <c r="J629" s="2"/>
      <c r="K629" s="2"/>
      <c r="L629" s="2"/>
      <c r="M629" s="2"/>
      <c r="N629" s="323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</row>
    <row r="630" spans="1:86" ht="12.65" customHeight="1" x14ac:dyDescent="0.35">
      <c r="A630" s="337">
        <v>8350</v>
      </c>
      <c r="B630" s="340" t="s">
        <v>625</v>
      </c>
      <c r="C630" s="2">
        <f>BA71</f>
        <v>10853</v>
      </c>
      <c r="D630" s="2">
        <f>(D615/D612)*BA76</f>
        <v>5368.6448034902205</v>
      </c>
      <c r="E630" s="2">
        <f>(E623/E612)*SUM(C630:D630)</f>
        <v>2691.8997516739</v>
      </c>
      <c r="F630" s="2">
        <f>(F624/F612)*BA64</f>
        <v>1204.3105179682136</v>
      </c>
      <c r="G630" s="2">
        <f>(G625/G612)*BA77</f>
        <v>0</v>
      </c>
      <c r="H630" s="2">
        <f>(H628/H612)*BA60</f>
        <v>0</v>
      </c>
      <c r="I630" s="2">
        <f>(I629/I612)*BA78</f>
        <v>143937.27861168384</v>
      </c>
      <c r="J630" s="2">
        <f>SUM(C630:I630)</f>
        <v>164055.13368481619</v>
      </c>
      <c r="K630" s="2"/>
      <c r="L630" s="2"/>
      <c r="M630" s="2"/>
      <c r="N630" s="323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</row>
    <row r="631" spans="1:86" ht="12.65" customHeight="1" x14ac:dyDescent="0.35">
      <c r="A631" s="337">
        <v>8200</v>
      </c>
      <c r="B631" s="340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 t="e">
        <f>(J630/J612)*AW79</f>
        <v>#DIV/0!</v>
      </c>
      <c r="K631" s="2"/>
      <c r="L631" s="2"/>
      <c r="M631" s="2"/>
      <c r="N631" s="323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</row>
    <row r="632" spans="1:86" ht="12.65" customHeight="1" x14ac:dyDescent="0.35">
      <c r="A632" s="337">
        <v>8360</v>
      </c>
      <c r="B632" s="340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 t="e">
        <f>(J630/J612)*BB79</f>
        <v>#DIV/0!</v>
      </c>
      <c r="K632" s="2"/>
      <c r="L632" s="2"/>
      <c r="M632" s="2"/>
      <c r="N632" s="323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</row>
    <row r="633" spans="1:86" ht="12.65" customHeight="1" x14ac:dyDescent="0.35">
      <c r="A633" s="337">
        <v>8370</v>
      </c>
      <c r="B633" s="340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 t="e">
        <f>(J630/J612)*BC79</f>
        <v>#DIV/0!</v>
      </c>
      <c r="K633" s="2"/>
      <c r="L633" s="2"/>
      <c r="M633" s="2"/>
      <c r="N633" s="323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</row>
    <row r="634" spans="1:86" ht="12.65" customHeight="1" x14ac:dyDescent="0.35">
      <c r="A634" s="337">
        <v>8490</v>
      </c>
      <c r="B634" s="340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 t="e">
        <f>(J630/J612)*BI79</f>
        <v>#DIV/0!</v>
      </c>
      <c r="K634" s="2"/>
      <c r="L634" s="2"/>
      <c r="M634" s="2"/>
      <c r="N634" s="323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</row>
    <row r="635" spans="1:86" ht="12.65" customHeight="1" x14ac:dyDescent="0.35">
      <c r="A635" s="337">
        <v>8530</v>
      </c>
      <c r="B635" s="340" t="s">
        <v>635</v>
      </c>
      <c r="C635" s="2">
        <f>BK71</f>
        <v>336634</v>
      </c>
      <c r="D635" s="2">
        <f>(D615/D612)*BK76</f>
        <v>0</v>
      </c>
      <c r="E635" s="2">
        <f>(E623/E612)*SUM(C635:D635)</f>
        <v>55862.706401388998</v>
      </c>
      <c r="F635" s="2">
        <f>(F624/F612)*BK64</f>
        <v>2310.3644962648773</v>
      </c>
      <c r="G635" s="2">
        <f>(G625/G612)*BK77</f>
        <v>0</v>
      </c>
      <c r="H635" s="2">
        <f>(H628/H612)*BK60</f>
        <v>15432.428419005206</v>
      </c>
      <c r="I635" s="2">
        <f>(I629/I612)*BK78</f>
        <v>0</v>
      </c>
      <c r="J635" s="2" t="e">
        <f>(J630/J612)*BK79</f>
        <v>#DIV/0!</v>
      </c>
      <c r="K635" s="2"/>
      <c r="L635" s="2"/>
      <c r="M635" s="2"/>
      <c r="N635" s="323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</row>
    <row r="636" spans="1:86" ht="12.65" customHeight="1" x14ac:dyDescent="0.35">
      <c r="A636" s="337">
        <v>8480</v>
      </c>
      <c r="B636" s="340" t="s">
        <v>637</v>
      </c>
      <c r="C636" s="2">
        <f>BH71</f>
        <v>991300</v>
      </c>
      <c r="D636" s="2">
        <f>(D615/D612)*BH76</f>
        <v>0</v>
      </c>
      <c r="E636" s="2">
        <f>(E623/E612)*SUM(C636:D636)</f>
        <v>164501.21157012339</v>
      </c>
      <c r="F636" s="2">
        <f>(F624/F612)*BH64</f>
        <v>5270.3798598143085</v>
      </c>
      <c r="G636" s="2">
        <f>(G625/G612)*BH77</f>
        <v>0</v>
      </c>
      <c r="H636" s="2">
        <f>(H628/H612)*BH60</f>
        <v>11524.029415309287</v>
      </c>
      <c r="I636" s="2">
        <f>(I629/I612)*BH78</f>
        <v>0</v>
      </c>
      <c r="J636" s="2" t="e">
        <f>(J630/J612)*BH79</f>
        <v>#DIV/0!</v>
      </c>
      <c r="K636" s="2"/>
      <c r="L636" s="2"/>
      <c r="M636" s="2"/>
      <c r="N636" s="323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</row>
    <row r="637" spans="1:86" ht="12.65" customHeight="1" x14ac:dyDescent="0.35">
      <c r="A637" s="337">
        <v>8560</v>
      </c>
      <c r="B637" s="340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0</v>
      </c>
      <c r="J637" s="2" t="e">
        <f>(J630/J612)*BL79</f>
        <v>#DIV/0!</v>
      </c>
      <c r="K637" s="2"/>
      <c r="L637" s="2"/>
      <c r="M637" s="2"/>
      <c r="N637" s="323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</row>
    <row r="638" spans="1:86" ht="12.65" customHeight="1" x14ac:dyDescent="0.35">
      <c r="A638" s="337">
        <v>8590</v>
      </c>
      <c r="B638" s="340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 t="e">
        <f>(J630/J612)*BM79</f>
        <v>#DIV/0!</v>
      </c>
      <c r="K638" s="2"/>
      <c r="L638" s="2"/>
      <c r="M638" s="2"/>
      <c r="N638" s="323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</row>
    <row r="639" spans="1:86" ht="12.65" customHeight="1" x14ac:dyDescent="0.35">
      <c r="A639" s="337">
        <v>8660</v>
      </c>
      <c r="B639" s="340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0</v>
      </c>
      <c r="J639" s="2" t="e">
        <f>(J630/J612)*BS79</f>
        <v>#DIV/0!</v>
      </c>
      <c r="K639" s="2"/>
      <c r="L639" s="2"/>
      <c r="M639" s="2"/>
      <c r="N639" s="323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</row>
    <row r="640" spans="1:86" ht="12.65" customHeight="1" x14ac:dyDescent="0.35">
      <c r="A640" s="337">
        <v>8670</v>
      </c>
      <c r="B640" s="340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>
        <f>(H628/H612)*BT60</f>
        <v>0</v>
      </c>
      <c r="I640" s="2">
        <f>(I629/I612)*BT78</f>
        <v>0</v>
      </c>
      <c r="J640" s="2" t="e">
        <f>(J630/J612)*BT79</f>
        <v>#DIV/0!</v>
      </c>
      <c r="K640" s="2"/>
      <c r="L640" s="2"/>
      <c r="M640" s="2"/>
      <c r="N640" s="323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</row>
    <row r="641" spans="1:86" ht="12.65" customHeight="1" x14ac:dyDescent="0.35">
      <c r="A641" s="337">
        <v>8680</v>
      </c>
      <c r="B641" s="340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 t="e">
        <f>(J630/J612)*BU79</f>
        <v>#DIV/0!</v>
      </c>
      <c r="K641" s="2"/>
      <c r="L641" s="2"/>
      <c r="M641" s="2"/>
      <c r="N641" s="323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</row>
    <row r="642" spans="1:86" ht="12.65" customHeight="1" x14ac:dyDescent="0.35">
      <c r="A642" s="337">
        <v>8690</v>
      </c>
      <c r="B642" s="340" t="s">
        <v>648</v>
      </c>
      <c r="C642" s="2">
        <f>BV71</f>
        <v>242959</v>
      </c>
      <c r="D642" s="2">
        <f>(D615/D612)*BV76</f>
        <v>0</v>
      </c>
      <c r="E642" s="2">
        <f>(E623/E612)*SUM(C642:D642)</f>
        <v>40317.814851069917</v>
      </c>
      <c r="F642" s="2">
        <f>(F624/F612)*BV64</f>
        <v>283.34098826735516</v>
      </c>
      <c r="G642" s="2">
        <f>(G625/G612)*BV77</f>
        <v>0</v>
      </c>
      <c r="H642" s="2">
        <f>(H628/H612)*BV60</f>
        <v>8017.9656031703025</v>
      </c>
      <c r="I642" s="2">
        <f>(I629/I612)*BV78</f>
        <v>0</v>
      </c>
      <c r="J642" s="2" t="e">
        <f>(J630/J612)*BV79</f>
        <v>#DIV/0!</v>
      </c>
      <c r="K642" s="2"/>
      <c r="L642" s="2"/>
      <c r="M642" s="2"/>
      <c r="N642" s="323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</row>
    <row r="643" spans="1:86" ht="12.65" customHeight="1" x14ac:dyDescent="0.35">
      <c r="A643" s="337">
        <v>8700</v>
      </c>
      <c r="B643" s="340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>
        <f>(H628/H612)*BW60</f>
        <v>0</v>
      </c>
      <c r="I643" s="2">
        <f>(I629/I612)*BW78</f>
        <v>0</v>
      </c>
      <c r="J643" s="2" t="e">
        <f>(J630/J612)*BW79</f>
        <v>#DIV/0!</v>
      </c>
      <c r="K643" s="2"/>
      <c r="L643" s="2"/>
      <c r="M643" s="2"/>
      <c r="N643" s="323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</row>
    <row r="644" spans="1:86" ht="12.65" customHeight="1" x14ac:dyDescent="0.35">
      <c r="A644" s="337">
        <v>8710</v>
      </c>
      <c r="B644" s="340" t="s">
        <v>652</v>
      </c>
      <c r="C644" s="2">
        <f>BX71</f>
        <v>141537</v>
      </c>
      <c r="D644" s="2">
        <f>(D615/D612)*BX76</f>
        <v>0</v>
      </c>
      <c r="E644" s="2">
        <f>(E623/E612)*SUM(C644:D644)</f>
        <v>23487.347908807176</v>
      </c>
      <c r="F644" s="2">
        <f>(F624/F612)*BX64</f>
        <v>0</v>
      </c>
      <c r="G644" s="2">
        <f>(G625/G612)*BX77</f>
        <v>0</v>
      </c>
      <c r="H644" s="2">
        <f>(H628/H612)*BX60</f>
        <v>3247.4197604238138</v>
      </c>
      <c r="I644" s="2">
        <f>(I629/I612)*BX78</f>
        <v>0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3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</row>
    <row r="645" spans="1:86" ht="12.65" customHeight="1" x14ac:dyDescent="0.35">
      <c r="A645" s="337">
        <v>8720</v>
      </c>
      <c r="B645" s="340" t="s">
        <v>654</v>
      </c>
      <c r="C645" s="2">
        <f>BY71</f>
        <v>477544</v>
      </c>
      <c r="D645" s="2">
        <f>(D615/D612)*BY76</f>
        <v>0</v>
      </c>
      <c r="E645" s="2">
        <f>(E623/E612)*SUM(C645:D645)</f>
        <v>79246.006837529509</v>
      </c>
      <c r="F645" s="2">
        <f>(F624/F612)*BY64</f>
        <v>322.52486511522409</v>
      </c>
      <c r="G645" s="2">
        <f>(G625/G612)*BY77</f>
        <v>0</v>
      </c>
      <c r="H645" s="2">
        <f>(H628/H612)*BY60</f>
        <v>9799.7357372081478</v>
      </c>
      <c r="I645" s="2">
        <f>(I629/I612)*BY78</f>
        <v>0</v>
      </c>
      <c r="J645" s="2" t="e">
        <f>(J630/J612)*BY79</f>
        <v>#DIV/0!</v>
      </c>
      <c r="K645" s="2">
        <v>0</v>
      </c>
      <c r="L645" s="2"/>
      <c r="M645" s="2"/>
      <c r="N645" s="323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</row>
    <row r="646" spans="1:86" ht="12.65" customHeight="1" x14ac:dyDescent="0.35">
      <c r="A646" s="337">
        <v>8730</v>
      </c>
      <c r="B646" s="340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 t="e">
        <f>(J630/J612)*BZ79</f>
        <v>#DIV/0!</v>
      </c>
      <c r="K646" s="2">
        <v>0</v>
      </c>
      <c r="L646" s="2"/>
      <c r="M646" s="2"/>
      <c r="N646" s="323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</row>
    <row r="647" spans="1:86" ht="12.65" customHeight="1" x14ac:dyDescent="0.35">
      <c r="A647" s="337">
        <v>8740</v>
      </c>
      <c r="B647" s="340" t="s">
        <v>658</v>
      </c>
      <c r="C647" s="2">
        <f>CA71</f>
        <v>32721</v>
      </c>
      <c r="D647" s="2">
        <f>(D615/D612)*CA76</f>
        <v>0</v>
      </c>
      <c r="E647" s="2">
        <f>(E623/E612)*SUM(C647:D647)</f>
        <v>5429.8841357671818</v>
      </c>
      <c r="F647" s="2">
        <f>(F624/F612)*CA64</f>
        <v>0</v>
      </c>
      <c r="G647" s="2">
        <f>(G625/G612)*CA77</f>
        <v>0</v>
      </c>
      <c r="H647" s="2">
        <f>(H628/H612)*CA60</f>
        <v>833.40861108221782</v>
      </c>
      <c r="I647" s="2">
        <f>(I629/I612)*CA78</f>
        <v>0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3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</row>
    <row r="648" spans="1:86" ht="12.65" customHeight="1" x14ac:dyDescent="0.35">
      <c r="A648" s="337"/>
      <c r="B648" s="337"/>
      <c r="C648" s="2">
        <f>SUM(C614:C647)</f>
        <v>7372313.7300000004</v>
      </c>
      <c r="D648" s="2"/>
      <c r="E648" s="2"/>
      <c r="F648" s="2"/>
      <c r="G648" s="2"/>
      <c r="H648" s="2"/>
      <c r="I648" s="2"/>
      <c r="J648" s="2"/>
      <c r="K648" s="2"/>
      <c r="L648" s="339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</row>
    <row r="649" spans="1:86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</row>
    <row r="650" spans="1:86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</row>
    <row r="651" spans="1:86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</row>
    <row r="652" spans="1:86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</row>
    <row r="653" spans="1:86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</row>
    <row r="654" spans="1:86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</row>
    <row r="655" spans="1:86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</row>
    <row r="656" spans="1:86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</row>
    <row r="657" spans="1:86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</row>
    <row r="658" spans="1:86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</row>
    <row r="659" spans="1:86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</row>
    <row r="660" spans="1:86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</row>
    <row r="661" spans="1:86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</row>
    <row r="662" spans="1:86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</row>
    <row r="663" spans="1:86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</row>
    <row r="664" spans="1:86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</row>
    <row r="665" spans="1:86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</row>
    <row r="666" spans="1:86" ht="12.65" customHeight="1" x14ac:dyDescent="0.35">
      <c r="A666" s="2"/>
      <c r="B666" s="2"/>
      <c r="C666" s="328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8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</row>
    <row r="667" spans="1:86" ht="12.65" customHeight="1" x14ac:dyDescent="0.35">
      <c r="A667" s="2"/>
      <c r="B667" s="2"/>
      <c r="C667" s="328" t="s">
        <v>590</v>
      </c>
      <c r="D667" s="328" t="s">
        <v>591</v>
      </c>
      <c r="E667" s="331" t="s">
        <v>592</v>
      </c>
      <c r="F667" s="328" t="s">
        <v>593</v>
      </c>
      <c r="G667" s="328" t="s">
        <v>594</v>
      </c>
      <c r="H667" s="328" t="s">
        <v>595</v>
      </c>
      <c r="I667" s="328" t="s">
        <v>596</v>
      </c>
      <c r="J667" s="328" t="s">
        <v>597</v>
      </c>
      <c r="K667" s="328" t="s">
        <v>598</v>
      </c>
      <c r="L667" s="331" t="s">
        <v>599</v>
      </c>
      <c r="M667" s="328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</row>
    <row r="668" spans="1:86" ht="12.65" customHeight="1" x14ac:dyDescent="0.35">
      <c r="A668" s="337">
        <v>6010</v>
      </c>
      <c r="B668" s="331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>
        <f>(H628/H612)*C60</f>
        <v>0</v>
      </c>
      <c r="I668" s="2">
        <f>(I629/I612)*C78</f>
        <v>0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31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</row>
    <row r="669" spans="1:86" ht="12.65" customHeight="1" x14ac:dyDescent="0.35">
      <c r="A669" s="337">
        <v>6030</v>
      </c>
      <c r="B669" s="331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31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</row>
    <row r="670" spans="1:86" ht="12.65" customHeight="1" x14ac:dyDescent="0.35">
      <c r="A670" s="337">
        <v>6070</v>
      </c>
      <c r="B670" s="331" t="s">
        <v>665</v>
      </c>
      <c r="C670" s="2">
        <f>E71</f>
        <v>2825274.4</v>
      </c>
      <c r="D670" s="2">
        <f>(D615/D612)*E76</f>
        <v>347722.99419528968</v>
      </c>
      <c r="E670" s="2">
        <f>(E623/E612)*SUM(C670:D670)</f>
        <v>526542.83834759356</v>
      </c>
      <c r="F670" s="2">
        <f>(F624/F612)*E64</f>
        <v>8293.8315452000243</v>
      </c>
      <c r="G670" s="2">
        <f>(G625/G612)*E77</f>
        <v>601148.9265835738</v>
      </c>
      <c r="H670" s="2">
        <f>(H628/H612)*E60</f>
        <v>55091.183015331429</v>
      </c>
      <c r="I670" s="2">
        <f>(I629/I612)*E78</f>
        <v>96591.516613834203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31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</row>
    <row r="671" spans="1:86" ht="12.65" customHeight="1" x14ac:dyDescent="0.35">
      <c r="A671" s="337">
        <v>6100</v>
      </c>
      <c r="B671" s="331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31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</row>
    <row r="672" spans="1:86" ht="12.65" customHeight="1" x14ac:dyDescent="0.35">
      <c r="A672" s="337">
        <v>6120</v>
      </c>
      <c r="B672" s="331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31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</row>
    <row r="673" spans="1:86" ht="12.65" customHeight="1" x14ac:dyDescent="0.35">
      <c r="A673" s="337">
        <v>6140</v>
      </c>
      <c r="B673" s="331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31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</row>
    <row r="674" spans="1:86" ht="12.65" customHeight="1" x14ac:dyDescent="0.35">
      <c r="A674" s="337">
        <v>6150</v>
      </c>
      <c r="B674" s="331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31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</row>
    <row r="675" spans="1:86" ht="12.65" customHeight="1" x14ac:dyDescent="0.35">
      <c r="A675" s="337">
        <v>6170</v>
      </c>
      <c r="B675" s="331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31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</row>
    <row r="676" spans="1:86" ht="12.65" customHeight="1" x14ac:dyDescent="0.35">
      <c r="A676" s="337">
        <v>6200</v>
      </c>
      <c r="B676" s="331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31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</row>
    <row r="677" spans="1:86" ht="12.65" customHeight="1" x14ac:dyDescent="0.35">
      <c r="A677" s="337">
        <v>6210</v>
      </c>
      <c r="B677" s="331" t="s">
        <v>289</v>
      </c>
      <c r="C677" s="2">
        <f>L71</f>
        <v>29338</v>
      </c>
      <c r="D677" s="2">
        <f>(D615/D612)*L76</f>
        <v>0</v>
      </c>
      <c r="E677" s="2">
        <f>(E623/E612)*SUM(C677:D677)</f>
        <v>4868.4924291781299</v>
      </c>
      <c r="F677" s="2">
        <f>(F624/F612)*L64</f>
        <v>0</v>
      </c>
      <c r="G677" s="2">
        <f>(G625/G612)*L77</f>
        <v>0</v>
      </c>
      <c r="H677" s="2">
        <f>(H628/H612)*L60</f>
        <v>1551.8643102910264</v>
      </c>
      <c r="I677" s="2">
        <f>(I629/I612)*L78</f>
        <v>0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31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</row>
    <row r="678" spans="1:86" ht="12.65" customHeight="1" x14ac:dyDescent="0.35">
      <c r="A678" s="337">
        <v>6330</v>
      </c>
      <c r="B678" s="331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31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</row>
    <row r="679" spans="1:86" ht="12.65" customHeight="1" x14ac:dyDescent="0.35">
      <c r="A679" s="337">
        <v>6400</v>
      </c>
      <c r="B679" s="331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31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</row>
    <row r="680" spans="1:86" ht="12.65" customHeight="1" x14ac:dyDescent="0.35">
      <c r="A680" s="337">
        <v>7010</v>
      </c>
      <c r="B680" s="331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31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</row>
    <row r="681" spans="1:86" ht="12.65" customHeight="1" x14ac:dyDescent="0.35">
      <c r="A681" s="337">
        <v>7020</v>
      </c>
      <c r="B681" s="331" t="s">
        <v>684</v>
      </c>
      <c r="C681" s="2">
        <f>P71</f>
        <v>709962</v>
      </c>
      <c r="D681" s="2">
        <f>(D615/D612)*P76</f>
        <v>131359.72573668059</v>
      </c>
      <c r="E681" s="2">
        <f>(E623/E612)*SUM(C681:D681)</f>
        <v>139613.0769736215</v>
      </c>
      <c r="F681" s="2">
        <f>(F624/F612)*P64</f>
        <v>5435.8723699861785</v>
      </c>
      <c r="G681" s="2">
        <f>(G625/G612)*P77</f>
        <v>0</v>
      </c>
      <c r="H681" s="2">
        <f>(H628/H612)*P60</f>
        <v>14857.66385963816</v>
      </c>
      <c r="I681" s="2">
        <f>(I629/I612)*P78</f>
        <v>30348.530738317924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31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</row>
    <row r="682" spans="1:86" ht="12.65" customHeight="1" x14ac:dyDescent="0.35">
      <c r="A682" s="337">
        <v>7030</v>
      </c>
      <c r="B682" s="331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31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</row>
    <row r="683" spans="1:86" ht="12.65" customHeight="1" x14ac:dyDescent="0.35">
      <c r="A683" s="337">
        <v>7040</v>
      </c>
      <c r="B683" s="331" t="s">
        <v>107</v>
      </c>
      <c r="C683" s="2">
        <f>R71</f>
        <v>391809</v>
      </c>
      <c r="D683" s="2">
        <f>(D615/D612)*R76</f>
        <v>0</v>
      </c>
      <c r="E683" s="2">
        <f>(E623/E612)*SUM(C683:D683)</f>
        <v>65018.718051123244</v>
      </c>
      <c r="F683" s="2">
        <f>(F624/F612)*R64</f>
        <v>218.47979818205698</v>
      </c>
      <c r="G683" s="2">
        <f>(G625/G612)*R77</f>
        <v>0</v>
      </c>
      <c r="H683" s="2">
        <f>(H628/H612)*R60</f>
        <v>0</v>
      </c>
      <c r="I683" s="2">
        <f>(I629/I612)*R78</f>
        <v>0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31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</row>
    <row r="684" spans="1:86" ht="12.65" customHeight="1" x14ac:dyDescent="0.35">
      <c r="A684" s="337">
        <v>7050</v>
      </c>
      <c r="B684" s="331" t="s">
        <v>689</v>
      </c>
      <c r="C684" s="2">
        <f>S71</f>
        <v>183185</v>
      </c>
      <c r="D684" s="2">
        <f>(D615/D612)*S76</f>
        <v>0</v>
      </c>
      <c r="E684" s="2">
        <f>(E623/E612)*SUM(C684:D684)</f>
        <v>30398.622456847625</v>
      </c>
      <c r="F684" s="2">
        <f>(F624/F612)*S64</f>
        <v>26717.318635433105</v>
      </c>
      <c r="G684" s="2">
        <f>(G625/G612)*S77</f>
        <v>0</v>
      </c>
      <c r="H684" s="2">
        <f>(H628/H612)*S60</f>
        <v>0</v>
      </c>
      <c r="I684" s="2">
        <f>(I629/I612)*S78</f>
        <v>0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31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</row>
    <row r="685" spans="1:86" ht="12.65" customHeight="1" x14ac:dyDescent="0.35">
      <c r="A685" s="337">
        <v>7060</v>
      </c>
      <c r="B685" s="331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31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</row>
    <row r="686" spans="1:86" ht="12.65" customHeight="1" x14ac:dyDescent="0.35">
      <c r="A686" s="337">
        <v>7070</v>
      </c>
      <c r="B686" s="331" t="s">
        <v>109</v>
      </c>
      <c r="C686" s="2">
        <f>U71</f>
        <v>1176295.8900000001</v>
      </c>
      <c r="D686" s="2">
        <f>(D615/D612)*U76</f>
        <v>39335.647502495653</v>
      </c>
      <c r="E686" s="2">
        <f>(E623/E612)*SUM(C686:D686)</f>
        <v>201727.89341472051</v>
      </c>
      <c r="F686" s="2">
        <f>(F624/F612)*U64</f>
        <v>45150.496313997239</v>
      </c>
      <c r="G686" s="2">
        <f>(G625/G612)*U77</f>
        <v>0</v>
      </c>
      <c r="H686" s="2">
        <f>(H628/H612)*U60</f>
        <v>14972.616771511568</v>
      </c>
      <c r="I686" s="2">
        <f>(I629/I612)*U78</f>
        <v>18794.521573983689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31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</row>
    <row r="687" spans="1:86" ht="12.65" customHeight="1" x14ac:dyDescent="0.35">
      <c r="A687" s="337">
        <v>7110</v>
      </c>
      <c r="B687" s="331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>
        <f>(H628/H612)*V60</f>
        <v>0</v>
      </c>
      <c r="I687" s="2">
        <f>(I629/I612)*V78</f>
        <v>0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31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</row>
    <row r="688" spans="1:86" ht="12.65" customHeight="1" x14ac:dyDescent="0.35">
      <c r="A688" s="337">
        <v>7120</v>
      </c>
      <c r="B688" s="331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31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</row>
    <row r="689" spans="1:86" ht="12.65" customHeight="1" x14ac:dyDescent="0.35">
      <c r="A689" s="337">
        <v>7130</v>
      </c>
      <c r="B689" s="331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31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</row>
    <row r="690" spans="1:86" ht="12.65" customHeight="1" x14ac:dyDescent="0.35">
      <c r="A690" s="337">
        <v>7140</v>
      </c>
      <c r="B690" s="331" t="s">
        <v>1249</v>
      </c>
      <c r="C690" s="2">
        <f>Y71</f>
        <v>1360340</v>
      </c>
      <c r="D690" s="2">
        <f>(D615/D612)*Y76</f>
        <v>167460.42060117572</v>
      </c>
      <c r="E690" s="2">
        <f>(E623/E612)*SUM(C690:D690)</f>
        <v>253530.73764373802</v>
      </c>
      <c r="F690" s="2">
        <f>(F624/F612)*Y64</f>
        <v>9548.5467774770877</v>
      </c>
      <c r="G690" s="2">
        <f>(G625/G612)*Y77</f>
        <v>0</v>
      </c>
      <c r="H690" s="2">
        <f>(H628/H612)*Y60</f>
        <v>16380.789941960835</v>
      </c>
      <c r="I690" s="2">
        <f>(I629/I612)*Y78</f>
        <v>18794.521573983689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31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</row>
    <row r="691" spans="1:86" ht="12.65" customHeight="1" x14ac:dyDescent="0.35">
      <c r="A691" s="337">
        <v>7150</v>
      </c>
      <c r="B691" s="331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31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</row>
    <row r="692" spans="1:86" ht="12.65" customHeight="1" x14ac:dyDescent="0.35">
      <c r="A692" s="337">
        <v>7160</v>
      </c>
      <c r="B692" s="331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>
        <f>(H628/H612)*AA60</f>
        <v>0</v>
      </c>
      <c r="I692" s="2">
        <f>(I629/I612)*AA78</f>
        <v>0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31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</row>
    <row r="693" spans="1:86" ht="12.65" customHeight="1" x14ac:dyDescent="0.35">
      <c r="A693" s="337">
        <v>7170</v>
      </c>
      <c r="B693" s="331" t="s">
        <v>115</v>
      </c>
      <c r="C693" s="2">
        <f>AB71</f>
        <v>862093</v>
      </c>
      <c r="D693" s="2">
        <f>(D615/D612)*AB76</f>
        <v>19753.859725662733</v>
      </c>
      <c r="E693" s="2">
        <f>(E623/E612)*SUM(C693:D693)</f>
        <v>146338.01759727646</v>
      </c>
      <c r="F693" s="2">
        <f>(F624/F612)*AB64</f>
        <v>71053.430017468971</v>
      </c>
      <c r="G693" s="2">
        <f>(G625/G612)*AB77</f>
        <v>0</v>
      </c>
      <c r="H693" s="2">
        <f>(H628/H612)*AB60</f>
        <v>6925.9129403729139</v>
      </c>
      <c r="I693" s="2">
        <f>(I629/I612)*AB78</f>
        <v>0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31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</row>
    <row r="694" spans="1:86" ht="12.65" customHeight="1" x14ac:dyDescent="0.35">
      <c r="A694" s="337">
        <v>7180</v>
      </c>
      <c r="B694" s="331" t="s">
        <v>706</v>
      </c>
      <c r="C694" s="2">
        <f>AC71</f>
        <v>160915</v>
      </c>
      <c r="D694" s="2">
        <f>(D615/D612)*AC76</f>
        <v>12010.62202832107</v>
      </c>
      <c r="E694" s="2">
        <f>(E623/E612)*SUM(C694:D694)</f>
        <v>28696.130672022628</v>
      </c>
      <c r="F694" s="2">
        <f>(F624/F612)*AC64</f>
        <v>144.86160531636386</v>
      </c>
      <c r="G694" s="2">
        <f>(G625/G612)*AC77</f>
        <v>0</v>
      </c>
      <c r="H694" s="2">
        <f>(H628/H612)*AC60</f>
        <v>3994.613687600975</v>
      </c>
      <c r="I694" s="2">
        <f>(I629/I612)*AC78</f>
        <v>0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31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</row>
    <row r="695" spans="1:86" ht="12.65" customHeight="1" x14ac:dyDescent="0.35">
      <c r="A695" s="337">
        <v>7190</v>
      </c>
      <c r="B695" s="331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31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</row>
    <row r="696" spans="1:86" ht="12.65" customHeight="1" x14ac:dyDescent="0.35">
      <c r="A696" s="337">
        <v>7200</v>
      </c>
      <c r="B696" s="331" t="s">
        <v>709</v>
      </c>
      <c r="C696" s="2">
        <f>AE71</f>
        <v>854491</v>
      </c>
      <c r="D696" s="2">
        <f>(D615/D612)*AE76</f>
        <v>94570.743076866187</v>
      </c>
      <c r="E696" s="2">
        <f>(E623/E612)*SUM(C696:D696)</f>
        <v>157491.98687682603</v>
      </c>
      <c r="F696" s="2">
        <f>(F624/F612)*AE64</f>
        <v>1732.5507365347496</v>
      </c>
      <c r="G696" s="2">
        <f>(G625/G612)*AE77</f>
        <v>0</v>
      </c>
      <c r="H696" s="2">
        <f>(H628/H612)*AE60</f>
        <v>22904.367690776813</v>
      </c>
      <c r="I696" s="2">
        <f>(I629/I612)*AE78</f>
        <v>9705.3676980407581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31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</row>
    <row r="697" spans="1:86" ht="12.65" customHeight="1" x14ac:dyDescent="0.35">
      <c r="A697" s="337">
        <v>7220</v>
      </c>
      <c r="B697" s="331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31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</row>
    <row r="698" spans="1:86" ht="12.65" customHeight="1" x14ac:dyDescent="0.35">
      <c r="A698" s="337">
        <v>7230</v>
      </c>
      <c r="B698" s="331" t="s">
        <v>713</v>
      </c>
      <c r="C698" s="2">
        <f>AG71</f>
        <v>2293934</v>
      </c>
      <c r="D698" s="2">
        <f>(D615/D612)*AG76</f>
        <v>97564.794986504974</v>
      </c>
      <c r="E698" s="2">
        <f>(E623/E612)*SUM(C698:D698)</f>
        <v>396857.1060665492</v>
      </c>
      <c r="F698" s="2">
        <f>(F624/F612)*AG64</f>
        <v>4339.0206657977269</v>
      </c>
      <c r="G698" s="2">
        <f>(G625/G612)*AG77</f>
        <v>14075.477225615743</v>
      </c>
      <c r="H698" s="2">
        <f>(H628/H612)*AG60</f>
        <v>25519.546435896878</v>
      </c>
      <c r="I698" s="2">
        <f>(I629/I612)*AG78</f>
        <v>53199.793307778964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31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</row>
    <row r="699" spans="1:86" ht="12.65" customHeight="1" x14ac:dyDescent="0.35">
      <c r="A699" s="337">
        <v>7240</v>
      </c>
      <c r="B699" s="331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31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</row>
    <row r="700" spans="1:86" ht="12.65" customHeight="1" x14ac:dyDescent="0.35">
      <c r="A700" s="337">
        <v>7250</v>
      </c>
      <c r="B700" s="331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31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</row>
    <row r="701" spans="1:86" ht="12.65" customHeight="1" x14ac:dyDescent="0.35">
      <c r="A701" s="337">
        <v>7260</v>
      </c>
      <c r="B701" s="331" t="s">
        <v>121</v>
      </c>
      <c r="C701" s="2">
        <f>AJ71</f>
        <v>1318720</v>
      </c>
      <c r="D701" s="2">
        <f>(D615/D612)*AJ76</f>
        <v>184013.74207860391</v>
      </c>
      <c r="E701" s="2">
        <f>(E623/E612)*SUM(C701:D701)</f>
        <v>249371.04936874373</v>
      </c>
      <c r="F701" s="2">
        <f>(F624/F612)*AJ64</f>
        <v>12599.694339453001</v>
      </c>
      <c r="G701" s="2">
        <f>(G625/G612)*AJ77</f>
        <v>0</v>
      </c>
      <c r="H701" s="2">
        <f>(H628/H612)*AJ60</f>
        <v>25260.902384181703</v>
      </c>
      <c r="I701" s="2">
        <f>(I629/I612)*AJ78</f>
        <v>43083.616395006327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31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</row>
    <row r="702" spans="1:86" ht="12.65" customHeight="1" x14ac:dyDescent="0.35">
      <c r="A702" s="337">
        <v>7310</v>
      </c>
      <c r="B702" s="331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31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</row>
    <row r="703" spans="1:86" ht="12.65" customHeight="1" x14ac:dyDescent="0.35">
      <c r="A703" s="337">
        <v>7320</v>
      </c>
      <c r="B703" s="331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31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</row>
    <row r="704" spans="1:86" ht="12.65" customHeight="1" x14ac:dyDescent="0.35">
      <c r="A704" s="337">
        <v>7330</v>
      </c>
      <c r="B704" s="331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31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</row>
    <row r="705" spans="1:86" ht="12.65" customHeight="1" x14ac:dyDescent="0.35">
      <c r="A705" s="337">
        <v>7340</v>
      </c>
      <c r="B705" s="331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31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</row>
    <row r="706" spans="1:86" ht="12.65" customHeight="1" x14ac:dyDescent="0.35">
      <c r="A706" s="337">
        <v>7350</v>
      </c>
      <c r="B706" s="331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31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</row>
    <row r="707" spans="1:86" ht="12.65" customHeight="1" x14ac:dyDescent="0.35">
      <c r="A707" s="337">
        <v>7380</v>
      </c>
      <c r="B707" s="331" t="s">
        <v>729</v>
      </c>
      <c r="C707" s="2">
        <f>AP71</f>
        <v>35270</v>
      </c>
      <c r="D707" s="2">
        <f>(D615/D612)*AP76</f>
        <v>0</v>
      </c>
      <c r="E707" s="2">
        <f>(E623/E612)*SUM(C707:D707)</f>
        <v>5852.8777686656431</v>
      </c>
      <c r="F707" s="2">
        <f>(F624/F612)*AP64</f>
        <v>537.59091645068645</v>
      </c>
      <c r="G707" s="2">
        <f>(G625/G612)*AP77</f>
        <v>0</v>
      </c>
      <c r="H707" s="2">
        <f>(H628/H612)*AP60</f>
        <v>603.50278733539915</v>
      </c>
      <c r="I707" s="2">
        <f>(I629/I612)*AP78</f>
        <v>0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31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</row>
    <row r="708" spans="1:86" ht="12.65" customHeight="1" x14ac:dyDescent="0.35">
      <c r="A708" s="337">
        <v>7390</v>
      </c>
      <c r="B708" s="331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31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</row>
    <row r="709" spans="1:86" ht="12.65" customHeight="1" x14ac:dyDescent="0.35">
      <c r="A709" s="337">
        <v>7400</v>
      </c>
      <c r="B709" s="331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31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</row>
    <row r="710" spans="1:86" ht="12.65" customHeight="1" x14ac:dyDescent="0.35">
      <c r="A710" s="337">
        <v>7410</v>
      </c>
      <c r="B710" s="331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31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</row>
    <row r="711" spans="1:86" ht="12.65" customHeight="1" x14ac:dyDescent="0.35">
      <c r="A711" s="337">
        <v>7420</v>
      </c>
      <c r="B711" s="331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31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</row>
    <row r="712" spans="1:86" ht="12.65" customHeight="1" x14ac:dyDescent="0.35">
      <c r="A712" s="337">
        <v>7430</v>
      </c>
      <c r="B712" s="331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31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</row>
    <row r="713" spans="1:86" ht="12.65" customHeight="1" x14ac:dyDescent="0.35">
      <c r="A713" s="337">
        <v>7490</v>
      </c>
      <c r="B713" s="331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3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</row>
    <row r="714" spans="1:86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</row>
    <row r="715" spans="1:86" ht="12.65" customHeight="1" x14ac:dyDescent="0.35">
      <c r="A715" s="2"/>
      <c r="B715" s="2"/>
      <c r="C715" s="2">
        <f>SUM(C614:C647)+SUM(C668:C713)</f>
        <v>19573941.02</v>
      </c>
      <c r="D715" s="2">
        <f>SUM(D616:D647)+SUM(D668:D713)</f>
        <v>1861612</v>
      </c>
      <c r="E715" s="2">
        <f>SUM(E624:E647)+SUM(E668:E713)</f>
        <v>2785891.7093692459</v>
      </c>
      <c r="F715" s="2">
        <f>SUM(F625:F648)+SUM(F668:F713)</f>
        <v>216070.62649391187</v>
      </c>
      <c r="G715" s="2">
        <f>SUM(G626:G647)+SUM(G668:G713)</f>
        <v>615224.40380918956</v>
      </c>
      <c r="H715" s="2">
        <f>SUM(H629:H647)+SUM(H668:H713)</f>
        <v>255569.06132255736</v>
      </c>
      <c r="I715" s="2">
        <f>SUM(I630:I647)+SUM(I668:I713)</f>
        <v>414455.14651262935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1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</row>
    <row r="716" spans="1:86" ht="12.65" customHeight="1" x14ac:dyDescent="0.35">
      <c r="A716" s="2"/>
      <c r="B716" s="2"/>
      <c r="C716" s="2">
        <f>CE71</f>
        <v>19573941.02</v>
      </c>
      <c r="D716" s="2">
        <f>D615</f>
        <v>1861612</v>
      </c>
      <c r="E716" s="2">
        <f>E623</f>
        <v>2785891.7093692459</v>
      </c>
      <c r="F716" s="2">
        <f>F624</f>
        <v>216070.62649391184</v>
      </c>
      <c r="G716" s="2">
        <f>G625</f>
        <v>615224.40380918956</v>
      </c>
      <c r="H716" s="2">
        <f>H628</f>
        <v>255569.06132255736</v>
      </c>
      <c r="I716" s="2">
        <f>I629</f>
        <v>414455.14651262941</v>
      </c>
      <c r="J716" s="2">
        <f>J630</f>
        <v>164055.13368481619</v>
      </c>
      <c r="K716" s="2" t="e">
        <f>K644</f>
        <v>#DIV/0!</v>
      </c>
      <c r="L716" s="2" t="e">
        <f>L647</f>
        <v>#DIV/0!</v>
      </c>
      <c r="M716" s="2">
        <f>C648</f>
        <v>7372313.7300000004</v>
      </c>
      <c r="N716" s="331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</row>
    <row r="717" spans="1:86" ht="12.65" customHeight="1" x14ac:dyDescent="0.35">
      <c r="O717" s="198"/>
    </row>
    <row r="718" spans="1:86" ht="12.65" customHeight="1" x14ac:dyDescent="0.35">
      <c r="O718" s="198"/>
    </row>
    <row r="719" spans="1:86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6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lth*096*A</v>
      </c>
      <c r="B721" s="282">
        <f>ROUND(C166,0)</f>
        <v>27083</v>
      </c>
      <c r="C721" s="282">
        <f>ROUND(C167,0)</f>
        <v>122500</v>
      </c>
      <c r="D721" s="282">
        <f>ROUND(C168,0)</f>
        <v>1289043</v>
      </c>
      <c r="E721" s="282">
        <f>ROUND(C169,0)</f>
        <v>8043</v>
      </c>
      <c r="F721" s="282">
        <f>ROUND(C170,0)</f>
        <v>191842</v>
      </c>
      <c r="G721" s="282">
        <f>ROUND(C171,0)</f>
        <v>194151</v>
      </c>
      <c r="H721" s="282">
        <f>ROUND(C172+C173,0)</f>
        <v>0</v>
      </c>
      <c r="I721" s="282">
        <f>ROUND(C176,0)</f>
        <v>13104</v>
      </c>
      <c r="J721" s="282">
        <f>ROUND(C177,0)</f>
        <v>0</v>
      </c>
      <c r="K721" s="282">
        <f>ROUND(C180,0)</f>
        <v>73860</v>
      </c>
      <c r="L721" s="282">
        <f>ROUND(C181,0)</f>
        <v>0</v>
      </c>
      <c r="M721" s="282">
        <f>ROUND(C184,0)</f>
        <v>64852</v>
      </c>
      <c r="N721" s="282">
        <f>ROUND(C185,0)</f>
        <v>0</v>
      </c>
      <c r="O721" s="282">
        <f>ROUND(C186,0)</f>
        <v>0</v>
      </c>
      <c r="P721" s="282">
        <f>ROUND(C189,0)</f>
        <v>1058195</v>
      </c>
      <c r="Q721" s="282">
        <f>ROUND(C190,0)</f>
        <v>0</v>
      </c>
      <c r="R721" s="282">
        <f>ROUND(B196,0)</f>
        <v>503985</v>
      </c>
      <c r="S721" s="282">
        <f>ROUND(C196,0)</f>
        <v>0</v>
      </c>
      <c r="T721" s="282">
        <f>ROUND(D196,0)</f>
        <v>0</v>
      </c>
      <c r="U721" s="282">
        <f>ROUND(B197,0)</f>
        <v>18265939</v>
      </c>
      <c r="V721" s="282">
        <f>ROUND(C197,0)</f>
        <v>0</v>
      </c>
      <c r="W721" s="282">
        <f>ROUND(D197,0)</f>
        <v>0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928390</v>
      </c>
      <c r="AB721" s="282">
        <f>ROUND(C199,0)</f>
        <v>0</v>
      </c>
      <c r="AC721" s="282">
        <f>ROUND(D199,0)</f>
        <v>0</v>
      </c>
      <c r="AD721" s="282">
        <f>ROUND(B200,0)</f>
        <v>6061559</v>
      </c>
      <c r="AE721" s="282">
        <f>ROUND(C200,0)</f>
        <v>22803</v>
      </c>
      <c r="AF721" s="282">
        <f>ROUND(D200,0)</f>
        <v>13916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0</v>
      </c>
      <c r="AK721" s="282">
        <f>ROUND(C202,0)</f>
        <v>0</v>
      </c>
      <c r="AL721" s="282">
        <f>ROUND(D202,0)</f>
        <v>0</v>
      </c>
      <c r="AM721" s="282">
        <f>ROUND(B203,0)</f>
        <v>509849</v>
      </c>
      <c r="AN721" s="282">
        <f>ROUND(C203,0)</f>
        <v>3382878</v>
      </c>
      <c r="AO721" s="282">
        <f>ROUND(D203,0)</f>
        <v>0</v>
      </c>
      <c r="AP721" s="282">
        <f>ROUND(B204,0)</f>
        <v>26744053</v>
      </c>
      <c r="AQ721" s="282">
        <f>ROUND(C204,0)</f>
        <v>3405681</v>
      </c>
      <c r="AR721" s="282">
        <f>ROUND(D204,0)</f>
        <v>13916</v>
      </c>
      <c r="AS721" s="282"/>
      <c r="AT721" s="282"/>
      <c r="AU721" s="282"/>
      <c r="AV721" s="282">
        <f>ROUND(B210,0)</f>
        <v>9043917</v>
      </c>
      <c r="AW721" s="282">
        <f>ROUND(C210,0)</f>
        <v>721352</v>
      </c>
      <c r="AX721" s="282">
        <f>ROUND(D210,0)</f>
        <v>0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379468</v>
      </c>
      <c r="BC721" s="282">
        <f>ROUND(C212,0)</f>
        <v>26611</v>
      </c>
      <c r="BD721" s="282">
        <f>ROUND(D212,0)</f>
        <v>0</v>
      </c>
      <c r="BE721" s="282">
        <f>ROUND(B213,0)</f>
        <v>5058804</v>
      </c>
      <c r="BF721" s="282">
        <f>ROUND(C213,0)</f>
        <v>293514</v>
      </c>
      <c r="BG721" s="282">
        <f>ROUND(D213,0)</f>
        <v>1902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14660881</v>
      </c>
      <c r="BR721" s="282">
        <f>ROUND(C217,0)</f>
        <v>1061534</v>
      </c>
      <c r="BS721" s="282">
        <f>ROUND(D217,0)</f>
        <v>1902</v>
      </c>
      <c r="BT721" s="282">
        <f>ROUND(C222,0)</f>
        <v>0</v>
      </c>
      <c r="BU721" s="282">
        <f>ROUND(C223,0)</f>
        <v>2519803</v>
      </c>
      <c r="BV721" s="282">
        <f>ROUND(C224,0)</f>
        <v>2693276</v>
      </c>
      <c r="BW721" s="282">
        <f>ROUND(C225,0)</f>
        <v>64939</v>
      </c>
      <c r="BX721" s="282">
        <f>ROUND(C226,0)</f>
        <v>0</v>
      </c>
      <c r="BY721" s="282">
        <f>ROUND(C227,0)</f>
        <v>0</v>
      </c>
      <c r="BZ721" s="282">
        <f>ROUND(C230,0)</f>
        <v>0</v>
      </c>
      <c r="CA721" s="282">
        <f>ROUND(C232,0)</f>
        <v>0</v>
      </c>
      <c r="CB721" s="282">
        <f>ROUND(C233,0)</f>
        <v>57924</v>
      </c>
      <c r="CC721" s="282">
        <f>ROUND(C237+C238,0)</f>
        <v>300496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lth*096*A</v>
      </c>
      <c r="B725" s="282">
        <f>ROUND(C112,0)</f>
        <v>101</v>
      </c>
      <c r="C725" s="282">
        <f>ROUND(C113,0)</f>
        <v>0</v>
      </c>
      <c r="D725" s="282">
        <f>ROUND(C114,0)</f>
        <v>0</v>
      </c>
      <c r="E725" s="282">
        <f>ROUND(C115,0)</f>
        <v>0</v>
      </c>
      <c r="F725" s="282">
        <f>ROUND(D112,0)</f>
        <v>1412</v>
      </c>
      <c r="G725" s="282">
        <f>ROUND(D113,0)</f>
        <v>0</v>
      </c>
      <c r="H725" s="282">
        <f>ROUND(D114,0)</f>
        <v>0</v>
      </c>
      <c r="I725" s="282">
        <f>ROUND(D115,0)</f>
        <v>0</v>
      </c>
      <c r="J725" s="282">
        <f>ROUND(C117,0)</f>
        <v>0</v>
      </c>
      <c r="K725" s="282">
        <f>ROUND(C118,0)</f>
        <v>17</v>
      </c>
      <c r="L725" s="282">
        <f>ROUND(C119,0)</f>
        <v>0</v>
      </c>
      <c r="M725" s="282">
        <f>ROUND(C120,0)</f>
        <v>0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6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310</v>
      </c>
      <c r="Y725" s="282">
        <f>ROUND(B140,0)</f>
        <v>5230</v>
      </c>
      <c r="Z725" s="282">
        <f>ROUND(B141,0)</f>
        <v>1410245</v>
      </c>
      <c r="AA725" s="282">
        <f>ROUND(B142,0)</f>
        <v>6550106</v>
      </c>
      <c r="AB725" s="282">
        <f>ROUND(B143,0)</f>
        <v>0</v>
      </c>
      <c r="AC725" s="282">
        <f>ROUND(C139,0)</f>
        <v>115</v>
      </c>
      <c r="AD725" s="282">
        <f>ROUND(C140,0)</f>
        <v>4235</v>
      </c>
      <c r="AE725" s="282">
        <f>ROUND(C141,0)</f>
        <v>788266</v>
      </c>
      <c r="AF725" s="282">
        <f>ROUND(C142,0)</f>
        <v>4701605</v>
      </c>
      <c r="AG725" s="282">
        <f>ROUND(C143,0)</f>
        <v>0</v>
      </c>
      <c r="AH725" s="282">
        <f>ROUND(D139,0)</f>
        <v>66</v>
      </c>
      <c r="AI725" s="282">
        <f>ROUND(D140,0)</f>
        <v>7994</v>
      </c>
      <c r="AJ725" s="282">
        <f>ROUND(D141,0)</f>
        <v>355034</v>
      </c>
      <c r="AK725" s="282">
        <f>ROUND(D142,0)</f>
        <v>6771338</v>
      </c>
      <c r="AL725" s="282">
        <f>ROUND(D143,0)</f>
        <v>0</v>
      </c>
      <c r="AM725" s="282">
        <f>ROUND(B145,0)</f>
        <v>1127</v>
      </c>
      <c r="AN725" s="282">
        <f>ROUND(B146,0)</f>
        <v>0</v>
      </c>
      <c r="AO725" s="282">
        <f>ROUND(B147,0)</f>
        <v>4105797</v>
      </c>
      <c r="AP725" s="282">
        <f>ROUND(B148,0)</f>
        <v>0</v>
      </c>
      <c r="AQ725" s="282">
        <f>ROUND(B149,0)</f>
        <v>0</v>
      </c>
      <c r="AR725" s="282">
        <f>ROUND(C145,0)</f>
        <v>22</v>
      </c>
      <c r="AS725" s="282">
        <f>ROUND(C146,0)</f>
        <v>0</v>
      </c>
      <c r="AT725" s="282">
        <f>ROUND(C147,0)</f>
        <v>54856</v>
      </c>
      <c r="AU725" s="282">
        <f>ROUND(C148,0)</f>
        <v>0</v>
      </c>
      <c r="AV725" s="282">
        <f>ROUND(C149,0)</f>
        <v>0</v>
      </c>
      <c r="AW725" s="282">
        <f>ROUND(D145,0)</f>
        <v>263</v>
      </c>
      <c r="AX725" s="282">
        <f>ROUND(D146,0)</f>
        <v>0</v>
      </c>
      <c r="AY725" s="282">
        <f>ROUND(D147,0)</f>
        <v>185730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lth*096*A</v>
      </c>
      <c r="B729" s="282">
        <f>ROUND(C249,0)</f>
        <v>0</v>
      </c>
      <c r="C729" s="282">
        <f>ROUND(C250,0)</f>
        <v>13279854</v>
      </c>
      <c r="D729" s="282">
        <f>ROUND(C251,0)</f>
        <v>0</v>
      </c>
      <c r="E729" s="282">
        <f>ROUND(C252,0)</f>
        <v>6717532</v>
      </c>
      <c r="F729" s="282">
        <f>ROUND(C253,0)</f>
        <v>4757191</v>
      </c>
      <c r="G729" s="282">
        <f>ROUND(C254,0)</f>
        <v>-260000</v>
      </c>
      <c r="H729" s="282">
        <f>ROUND(C255,0)</f>
        <v>570381</v>
      </c>
      <c r="I729" s="282">
        <f>ROUND(C256,0)</f>
        <v>0</v>
      </c>
      <c r="J729" s="282">
        <f>ROUND(C257,0)</f>
        <v>161855</v>
      </c>
      <c r="K729" s="282">
        <f>ROUND(C258,0)</f>
        <v>190399</v>
      </c>
      <c r="L729" s="282">
        <f>ROUND(C261,0)</f>
        <v>0</v>
      </c>
      <c r="M729" s="282">
        <f>ROUND(C262,0)</f>
        <v>3917729</v>
      </c>
      <c r="N729" s="282">
        <f>ROUND(C263,0)</f>
        <v>0</v>
      </c>
      <c r="O729" s="282">
        <f>ROUND(C266,0)</f>
        <v>0</v>
      </c>
      <c r="P729" s="282">
        <f>ROUND(C267,0)</f>
        <v>474331</v>
      </c>
      <c r="Q729" s="282">
        <f>ROUND(C268,0)</f>
        <v>503985</v>
      </c>
      <c r="R729" s="282">
        <f>ROUND(C269,0)</f>
        <v>18265939</v>
      </c>
      <c r="S729" s="282">
        <f>ROUND(C270,0)</f>
        <v>0</v>
      </c>
      <c r="T729" s="282">
        <f>ROUND(C271,0)</f>
        <v>928390</v>
      </c>
      <c r="U729" s="282">
        <f>ROUND(C272,0)</f>
        <v>6070446</v>
      </c>
      <c r="V729" s="282">
        <f>ROUND(C273,0)</f>
        <v>0</v>
      </c>
      <c r="W729" s="282">
        <f>ROUND(C274,0)</f>
        <v>3892727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1380266</v>
      </c>
      <c r="AJ729" s="282">
        <f>ROUND(C306,0)</f>
        <v>1013905</v>
      </c>
      <c r="AK729" s="282">
        <f>ROUND(C307,0)</f>
        <v>0</v>
      </c>
      <c r="AL729" s="282">
        <f>ROUND(C308,0)</f>
        <v>0</v>
      </c>
      <c r="AM729" s="282">
        <f>ROUND(C309,0)</f>
        <v>9943098</v>
      </c>
      <c r="AN729" s="282">
        <f>ROUND(C310,0)</f>
        <v>0</v>
      </c>
      <c r="AO729" s="282">
        <f>ROUND(C311,0)</f>
        <v>0</v>
      </c>
      <c r="AP729" s="282">
        <f>ROUND(C312,0)</f>
        <v>0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126658</v>
      </c>
      <c r="AY729" s="282">
        <f>ROUND(C325,0)</f>
        <v>19545000</v>
      </c>
      <c r="AZ729" s="282">
        <f>ROUND(C326,0)</f>
        <v>0</v>
      </c>
      <c r="BA729" s="282">
        <f>ROUND(C327,0)</f>
        <v>338314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109.93</v>
      </c>
      <c r="BJ729" s="282">
        <f>ROUND(C358,0)</f>
        <v>0</v>
      </c>
      <c r="BK729" s="282">
        <f>ROUND(C359,0)</f>
        <v>6899928</v>
      </c>
      <c r="BL729" s="282">
        <f>ROUND(C362,0)</f>
        <v>0</v>
      </c>
      <c r="BM729" s="282">
        <f>ROUND(C363,0)</f>
        <v>543936</v>
      </c>
      <c r="BN729" s="282">
        <f>ROUND(C364,0)</f>
        <v>7724288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8760027</v>
      </c>
      <c r="BT729" s="282">
        <f>ROUND(C379,0)</f>
        <v>2453805</v>
      </c>
      <c r="BU729" s="282">
        <f>ROUND(C380,0)</f>
        <v>1949068</v>
      </c>
      <c r="BV729" s="282">
        <f>ROUND(C381,0)</f>
        <v>1669286</v>
      </c>
      <c r="BW729" s="282">
        <f>ROUND(C382,0)</f>
        <v>282489</v>
      </c>
      <c r="BX729" s="282">
        <f>ROUND(C383,0)</f>
        <v>2063910</v>
      </c>
      <c r="BY729" s="282">
        <f>ROUND(C384,0)</f>
        <v>1061534</v>
      </c>
      <c r="BZ729" s="282">
        <f>ROUND(C385,0)</f>
        <v>13104</v>
      </c>
      <c r="CA729" s="282">
        <f>ROUND(C386,0)</f>
        <v>141343</v>
      </c>
      <c r="CB729" s="282">
        <f>ROUND(C387,0)</f>
        <v>72175</v>
      </c>
      <c r="CC729" s="282">
        <f>ROUND(C388,0)</f>
        <v>1058195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lth*096*6010*A</v>
      </c>
      <c r="B733" s="282">
        <f>ROUND(C59,0)</f>
        <v>0</v>
      </c>
      <c r="C733" s="285">
        <f>ROUND(C60,2)</f>
        <v>0</v>
      </c>
      <c r="D733" s="282">
        <f>ROUND(C61,0)</f>
        <v>0</v>
      </c>
      <c r="E733" s="282">
        <f>ROUND(C62,0)</f>
        <v>0</v>
      </c>
      <c r="F733" s="282">
        <f>ROUND(C63,0)</f>
        <v>0</v>
      </c>
      <c r="G733" s="282">
        <f>ROUND(C64,0)</f>
        <v>0</v>
      </c>
      <c r="H733" s="282">
        <f>ROUND(C65,0)</f>
        <v>0</v>
      </c>
      <c r="I733" s="282">
        <f>ROUND(C66,0)</f>
        <v>0</v>
      </c>
      <c r="J733" s="282">
        <f>ROUND(C67,0)</f>
        <v>0</v>
      </c>
      <c r="K733" s="282">
        <f>ROUND(C68,0)</f>
        <v>0</v>
      </c>
      <c r="L733" s="282">
        <f>ROUND(C70,0)</f>
        <v>0</v>
      </c>
      <c r="M733" s="282">
        <f>ROUND(C71,0)</f>
        <v>0</v>
      </c>
      <c r="N733" s="282">
        <f>ROUND(C76,0)</f>
        <v>0</v>
      </c>
      <c r="O733" s="282">
        <f>ROUND(C74,0)</f>
        <v>0</v>
      </c>
      <c r="P733" s="282">
        <f>IF(C77&gt;0,ROUND(C77,0),0)</f>
        <v>0</v>
      </c>
      <c r="Q733" s="282">
        <f>IF(C78&gt;0,ROUND(C78,0),0)</f>
        <v>0</v>
      </c>
      <c r="R733" s="282">
        <f>IF(C79&gt;0,ROUND(C79,0),0)</f>
        <v>0</v>
      </c>
      <c r="S733" s="282">
        <f>IF(C80&gt;0,ROUND(C80,0),0)</f>
        <v>0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lth*096*6030*A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lth*096*6070*A</v>
      </c>
      <c r="B735" s="282">
        <f>ROUND(E59,0)</f>
        <v>491</v>
      </c>
      <c r="C735" s="285">
        <f>ROUND(E60,2)</f>
        <v>19.170000000000002</v>
      </c>
      <c r="D735" s="282">
        <f>ROUND(E61,0)</f>
        <v>1881111</v>
      </c>
      <c r="E735" s="282">
        <f>ROUND(E62,0)</f>
        <v>526925</v>
      </c>
      <c r="F735" s="282">
        <f>ROUND(E63,0)</f>
        <v>0</v>
      </c>
      <c r="G735" s="282">
        <f>ROUND(E64,0)</f>
        <v>55879</v>
      </c>
      <c r="H735" s="282">
        <f>ROUND(E65,0)</f>
        <v>0</v>
      </c>
      <c r="I735" s="282">
        <f>ROUND(E66,0)</f>
        <v>174426</v>
      </c>
      <c r="J735" s="282">
        <f>ROUND(E67,0)</f>
        <v>177393</v>
      </c>
      <c r="K735" s="282">
        <f>ROUND(E68,0)</f>
        <v>1272</v>
      </c>
      <c r="L735" s="282">
        <f>ROUND(E70,0)</f>
        <v>0</v>
      </c>
      <c r="M735" s="282">
        <f>ROUND(E71,0)</f>
        <v>2825274</v>
      </c>
      <c r="N735" s="282">
        <f>ROUND(E76,0)</f>
        <v>10104</v>
      </c>
      <c r="O735" s="282">
        <f>ROUND(E74,0)</f>
        <v>227652</v>
      </c>
      <c r="P735" s="282">
        <f>IF(E77&gt;0,ROUND(E77,0),0)</f>
        <v>5723</v>
      </c>
      <c r="Q735" s="282">
        <f>IF(E78&gt;0,ROUND(E78,0),0)</f>
        <v>1881</v>
      </c>
      <c r="R735" s="282">
        <f>IF(E79&gt;0,ROUND(E79,0),0)</f>
        <v>0</v>
      </c>
      <c r="S735" s="282">
        <f>IF(E80&gt;0,ROUND(E80,0),0)</f>
        <v>7</v>
      </c>
      <c r="T735" s="285">
        <f>IF(E81&gt;0,ROUND(E81,2),0)</f>
        <v>0</v>
      </c>
      <c r="U735" s="282"/>
      <c r="X735" s="282"/>
      <c r="Y735" s="282"/>
      <c r="Z735" s="282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lth*096*6100*A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lth*096*6120*A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lth*096*6140*A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lth*096*6150*A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lth*096*6170*A</v>
      </c>
      <c r="B740" s="282">
        <f>ROUND(J59,0)</f>
        <v>0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lth*096*6200*A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lth*096*6210*A</v>
      </c>
      <c r="B742" s="282">
        <f>ROUND(L59,0)</f>
        <v>1412</v>
      </c>
      <c r="C742" s="285">
        <f>ROUND(L60,2)</f>
        <v>0.54</v>
      </c>
      <c r="D742" s="282">
        <f>ROUND(L61,0)</f>
        <v>22895</v>
      </c>
      <c r="E742" s="282">
        <f>ROUND(L62,0)</f>
        <v>6413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29338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lth*096*6330*A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lth*096*6400*A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lth*096*7010*A</v>
      </c>
      <c r="B745" s="282">
        <f>ROUND(O59,0)</f>
        <v>0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lth*096*7020*A</v>
      </c>
      <c r="B746" s="282">
        <f>ROUND(P59,0)</f>
        <v>258</v>
      </c>
      <c r="C746" s="285">
        <f>ROUND(P60,2)</f>
        <v>5.17</v>
      </c>
      <c r="D746" s="282">
        <f>ROUND(P61,0)</f>
        <v>455885</v>
      </c>
      <c r="E746" s="282">
        <f>ROUND(P62,0)</f>
        <v>127700</v>
      </c>
      <c r="F746" s="282">
        <f>ROUND(P63,0)</f>
        <v>0</v>
      </c>
      <c r="G746" s="282">
        <f>ROUND(P64,0)</f>
        <v>36624</v>
      </c>
      <c r="H746" s="282">
        <f>ROUND(P65,0)</f>
        <v>960</v>
      </c>
      <c r="I746" s="282">
        <f>ROUND(P66,0)</f>
        <v>21351</v>
      </c>
      <c r="J746" s="282">
        <f>ROUND(P67,0)</f>
        <v>67014</v>
      </c>
      <c r="K746" s="282">
        <f>ROUND(P68,0)</f>
        <v>0</v>
      </c>
      <c r="L746" s="282">
        <f>ROUND(P70,0)</f>
        <v>0</v>
      </c>
      <c r="M746" s="282">
        <f>ROUND(P71,0)</f>
        <v>709962</v>
      </c>
      <c r="N746" s="282">
        <f>ROUND(P76,0)</f>
        <v>3817</v>
      </c>
      <c r="O746" s="282">
        <f>ROUND(P74,0)</f>
        <v>1009297</v>
      </c>
      <c r="P746" s="282">
        <f>IF(P77&gt;0,ROUND(P77,0),0)</f>
        <v>0</v>
      </c>
      <c r="Q746" s="282">
        <f>IF(P78&gt;0,ROUND(P78,0),0)</f>
        <v>591</v>
      </c>
      <c r="R746" s="282">
        <f>IF(P79&gt;0,ROUND(P79,0),0)</f>
        <v>0</v>
      </c>
      <c r="S746" s="282">
        <f>IF(P80&gt;0,ROUND(P80,0),0)</f>
        <v>2</v>
      </c>
      <c r="T746" s="285">
        <f>IF(P81&gt;0,ROUND(P81,2),0)</f>
        <v>0</v>
      </c>
      <c r="U746" s="282"/>
      <c r="X746" s="282"/>
      <c r="Y746" s="282"/>
      <c r="Z746" s="282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lth*096*7030*A</v>
      </c>
      <c r="B747" s="282">
        <f>ROUND(Q59,0)</f>
        <v>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20856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lth*096*7040*A</v>
      </c>
      <c r="B748" s="282">
        <f>ROUND(R59,0)</f>
        <v>11812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391462</v>
      </c>
      <c r="G748" s="282">
        <f>ROUND(R64,0)</f>
        <v>1472</v>
      </c>
      <c r="H748" s="282">
        <f>ROUND(R65,0)</f>
        <v>-1125</v>
      </c>
      <c r="I748" s="282">
        <f>ROUND(R66,0)</f>
        <v>0</v>
      </c>
      <c r="J748" s="282">
        <f>ROUND(R67,0)</f>
        <v>0</v>
      </c>
      <c r="K748" s="282">
        <f>ROUND(R68,0)</f>
        <v>0</v>
      </c>
      <c r="L748" s="282">
        <f>ROUND(R70,0)</f>
        <v>0</v>
      </c>
      <c r="M748" s="282">
        <f>ROUND(R71,0)</f>
        <v>391809</v>
      </c>
      <c r="N748" s="282">
        <f>ROUND(R76,0)</f>
        <v>0</v>
      </c>
      <c r="O748" s="282">
        <f>ROUND(R74,0)</f>
        <v>344892</v>
      </c>
      <c r="P748" s="282">
        <f>IF(R77&gt;0,ROUND(R77,0),0)</f>
        <v>0</v>
      </c>
      <c r="Q748" s="282">
        <f>IF(R78&gt;0,ROUND(R78,0),0)</f>
        <v>0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lth*096*7050*A</v>
      </c>
      <c r="B749" s="282"/>
      <c r="C749" s="285">
        <f>ROUND(S60,2)</f>
        <v>0</v>
      </c>
      <c r="D749" s="282">
        <f>ROUND(S61,0)</f>
        <v>0</v>
      </c>
      <c r="E749" s="282">
        <f>ROUND(S62,0)</f>
        <v>0</v>
      </c>
      <c r="F749" s="282">
        <f>ROUND(S63,0)</f>
        <v>0</v>
      </c>
      <c r="G749" s="282">
        <f>ROUND(S64,0)</f>
        <v>180007</v>
      </c>
      <c r="H749" s="282">
        <f>ROUND(S65,0)</f>
        <v>0</v>
      </c>
      <c r="I749" s="282">
        <f>ROUND(S66,0)</f>
        <v>0</v>
      </c>
      <c r="J749" s="282">
        <f>ROUND(S67,0)</f>
        <v>0</v>
      </c>
      <c r="K749" s="282">
        <f>ROUND(S68,0)</f>
        <v>2199</v>
      </c>
      <c r="L749" s="282">
        <f>ROUND(S70,0)</f>
        <v>0</v>
      </c>
      <c r="M749" s="282">
        <f>ROUND(S71,0)</f>
        <v>183185</v>
      </c>
      <c r="N749" s="282">
        <f>ROUND(S76,0)</f>
        <v>0</v>
      </c>
      <c r="O749" s="282">
        <f>ROUND(S74,0)</f>
        <v>150911</v>
      </c>
      <c r="P749" s="282">
        <f>IF(S77&gt;0,ROUND(S77,0),0)</f>
        <v>0</v>
      </c>
      <c r="Q749" s="282">
        <f>IF(S78&gt;0,ROUND(S78,0),0)</f>
        <v>0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lth*096*7060*A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lth*096*7070*A</v>
      </c>
      <c r="B751" s="282">
        <f>ROUND(U59,0)</f>
        <v>25017</v>
      </c>
      <c r="C751" s="285">
        <f>ROUND(U60,2)</f>
        <v>5.21</v>
      </c>
      <c r="D751" s="282">
        <f>ROUND(U61,0)</f>
        <v>409839</v>
      </c>
      <c r="E751" s="282">
        <f>ROUND(U62,0)</f>
        <v>114802</v>
      </c>
      <c r="F751" s="282">
        <f>ROUND(U63,0)</f>
        <v>10725</v>
      </c>
      <c r="G751" s="282">
        <f>ROUND(U64,0)</f>
        <v>304200</v>
      </c>
      <c r="H751" s="282">
        <f>ROUND(U65,0)</f>
        <v>0</v>
      </c>
      <c r="I751" s="282">
        <f>ROUND(U66,0)</f>
        <v>314771</v>
      </c>
      <c r="J751" s="282">
        <f>ROUND(U67,0)</f>
        <v>20067</v>
      </c>
      <c r="K751" s="282">
        <f>ROUND(U68,0)</f>
        <v>0</v>
      </c>
      <c r="L751" s="282">
        <f>ROUND(U70,0)</f>
        <v>0</v>
      </c>
      <c r="M751" s="282">
        <f>ROUND(U71,0)</f>
        <v>1176296</v>
      </c>
      <c r="N751" s="282">
        <f>ROUND(U76,0)</f>
        <v>1143</v>
      </c>
      <c r="O751" s="282">
        <f>ROUND(U74,0)</f>
        <v>1975198</v>
      </c>
      <c r="P751" s="282">
        <f>IF(U77&gt;0,ROUND(U77,0),0)</f>
        <v>0</v>
      </c>
      <c r="Q751" s="282">
        <f>IF(U78&gt;0,ROUND(U78,0),0)</f>
        <v>366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lth*096*7110*A</v>
      </c>
      <c r="B752" s="282">
        <f>ROUND(V59,0)</f>
        <v>0</v>
      </c>
      <c r="C752" s="285">
        <f>ROUND(V60,2)</f>
        <v>0</v>
      </c>
      <c r="D752" s="282">
        <f>ROUND(V61,0)</f>
        <v>0</v>
      </c>
      <c r="E752" s="282">
        <f>ROUND(V62,0)</f>
        <v>0</v>
      </c>
      <c r="F752" s="282">
        <f>ROUND(V63,0)</f>
        <v>0</v>
      </c>
      <c r="G752" s="282">
        <f>ROUND(V64,0)</f>
        <v>0</v>
      </c>
      <c r="H752" s="282">
        <f>ROUND(V65,0)</f>
        <v>0</v>
      </c>
      <c r="I752" s="282">
        <f>ROUND(V66,0)</f>
        <v>0</v>
      </c>
      <c r="J752" s="282">
        <f>ROUND(V67,0)</f>
        <v>0</v>
      </c>
      <c r="K752" s="282">
        <f>ROUND(V68,0)</f>
        <v>0</v>
      </c>
      <c r="L752" s="282">
        <f>ROUND(V70,0)</f>
        <v>0</v>
      </c>
      <c r="M752" s="282">
        <f>ROUND(V71,0)</f>
        <v>0</v>
      </c>
      <c r="N752" s="282">
        <f>ROUND(V76,0)</f>
        <v>0</v>
      </c>
      <c r="O752" s="282">
        <f>ROUND(V74,0)</f>
        <v>0</v>
      </c>
      <c r="P752" s="282">
        <f>IF(V77&gt;0,ROUND(V77,0),0)</f>
        <v>0</v>
      </c>
      <c r="Q752" s="282">
        <f>IF(V78&gt;0,ROUND(V78,0),0)</f>
        <v>0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lth*096*7120*A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lth*096*7130*A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lth*096*7140*A</v>
      </c>
      <c r="B755" s="282">
        <f>ROUND(Y59,0)</f>
        <v>7274</v>
      </c>
      <c r="C755" s="285">
        <f>ROUND(Y60,2)</f>
        <v>5.7</v>
      </c>
      <c r="D755" s="282">
        <f>ROUND(Y61,0)</f>
        <v>435103</v>
      </c>
      <c r="E755" s="282">
        <f>ROUND(Y62,0)</f>
        <v>121878</v>
      </c>
      <c r="F755" s="282">
        <f>ROUND(Y63,0)</f>
        <v>221681</v>
      </c>
      <c r="G755" s="282">
        <f>ROUND(Y64,0)</f>
        <v>64333</v>
      </c>
      <c r="H755" s="282">
        <f>ROUND(Y65,0)</f>
        <v>6944</v>
      </c>
      <c r="I755" s="282">
        <f>ROUND(Y66,0)</f>
        <v>421158</v>
      </c>
      <c r="J755" s="282">
        <f>ROUND(Y67,0)</f>
        <v>85431</v>
      </c>
      <c r="K755" s="282">
        <f>ROUND(Y68,0)</f>
        <v>0</v>
      </c>
      <c r="L755" s="282">
        <f>ROUND(Y70,0)</f>
        <v>0</v>
      </c>
      <c r="M755" s="282">
        <f>ROUND(Y71,0)</f>
        <v>1360340</v>
      </c>
      <c r="N755" s="282">
        <f>ROUND(Y76,0)</f>
        <v>4866</v>
      </c>
      <c r="O755" s="282">
        <f>ROUND(Y74,0)</f>
        <v>5503857</v>
      </c>
      <c r="P755" s="282">
        <f>IF(Y77&gt;0,ROUND(Y77,0),0)</f>
        <v>0</v>
      </c>
      <c r="Q755" s="282">
        <f>IF(Y78&gt;0,ROUND(Y78,0),0)</f>
        <v>366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lth*096*7150*A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0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0</v>
      </c>
      <c r="N756" s="282">
        <f>ROUND(Z76,0)</f>
        <v>0</v>
      </c>
      <c r="O756" s="282">
        <f>ROUND(Z74,0)</f>
        <v>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lth*096*7160*A</v>
      </c>
      <c r="B757" s="282">
        <f>ROUND(AA59,0)</f>
        <v>0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lth*096*7170*A</v>
      </c>
      <c r="B758" s="282"/>
      <c r="C758" s="285">
        <f>ROUND(AB60,2)</f>
        <v>2.41</v>
      </c>
      <c r="D758" s="282">
        <f>ROUND(AB61,0)</f>
        <v>234120</v>
      </c>
      <c r="E758" s="282">
        <f>ROUND(AB62,0)</f>
        <v>65580</v>
      </c>
      <c r="F758" s="282">
        <f>ROUND(AB63,0)</f>
        <v>0</v>
      </c>
      <c r="G758" s="282">
        <f>ROUND(AB64,0)</f>
        <v>478720</v>
      </c>
      <c r="H758" s="282">
        <f>ROUND(AB65,0)</f>
        <v>0</v>
      </c>
      <c r="I758" s="282">
        <f>ROUND(AB66,0)</f>
        <v>62925</v>
      </c>
      <c r="J758" s="282">
        <f>ROUND(AB67,0)</f>
        <v>10078</v>
      </c>
      <c r="K758" s="282">
        <f>ROUND(AB68,0)</f>
        <v>0</v>
      </c>
      <c r="L758" s="282">
        <f>ROUND(AB70,0)</f>
        <v>0</v>
      </c>
      <c r="M758" s="282">
        <f>ROUND(AB71,0)</f>
        <v>862093</v>
      </c>
      <c r="N758" s="282">
        <f>ROUND(AB76,0)</f>
        <v>574</v>
      </c>
      <c r="O758" s="282">
        <f>ROUND(AB74,0)</f>
        <v>2094592</v>
      </c>
      <c r="P758" s="282">
        <f>IF(AB77&gt;0,ROUND(AB77,0),0)</f>
        <v>0</v>
      </c>
      <c r="Q758" s="282">
        <f>IF(AB78&gt;0,ROUND(AB78,0),0)</f>
        <v>0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lth*096*7180*A</v>
      </c>
      <c r="B759" s="282">
        <f>ROUND(AC59,0)</f>
        <v>755</v>
      </c>
      <c r="C759" s="285">
        <f>ROUND(AC60,2)</f>
        <v>1.39</v>
      </c>
      <c r="D759" s="282">
        <f>ROUND(AC61,0)</f>
        <v>117999</v>
      </c>
      <c r="E759" s="282">
        <f>ROUND(AC62,0)</f>
        <v>33053</v>
      </c>
      <c r="F759" s="282">
        <f>ROUND(AC63,0)</f>
        <v>0</v>
      </c>
      <c r="G759" s="282">
        <f>ROUND(AC64,0)</f>
        <v>976</v>
      </c>
      <c r="H759" s="282">
        <f>ROUND(AC65,0)</f>
        <v>0</v>
      </c>
      <c r="I759" s="282">
        <f>ROUND(AC66,0)</f>
        <v>2642</v>
      </c>
      <c r="J759" s="282">
        <f>ROUND(AC67,0)</f>
        <v>6127</v>
      </c>
      <c r="K759" s="282">
        <f>ROUND(AC68,0)</f>
        <v>0</v>
      </c>
      <c r="L759" s="282">
        <f>ROUND(AC70,0)</f>
        <v>0</v>
      </c>
      <c r="M759" s="282">
        <f>ROUND(AC71,0)</f>
        <v>160915</v>
      </c>
      <c r="N759" s="282">
        <f>ROUND(AC76,0)</f>
        <v>349</v>
      </c>
      <c r="O759" s="282">
        <f>ROUND(AC74,0)</f>
        <v>442442</v>
      </c>
      <c r="P759" s="282">
        <f>IF(AC77&gt;0,ROUND(AC77,0),0)</f>
        <v>0</v>
      </c>
      <c r="Q759" s="282">
        <f>IF(AC78&gt;0,ROUND(AC78,0),0)</f>
        <v>0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lth*096*7190*A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lth*096*7200*A</v>
      </c>
      <c r="B761" s="282">
        <f>ROUND(AE59,0)</f>
        <v>5778</v>
      </c>
      <c r="C761" s="285">
        <f>ROUND(AE60,2)</f>
        <v>7.97</v>
      </c>
      <c r="D761" s="282">
        <f>ROUND(AE61,0)</f>
        <v>591223</v>
      </c>
      <c r="E761" s="282">
        <f>ROUND(AE62,0)</f>
        <v>165610</v>
      </c>
      <c r="F761" s="282">
        <f>ROUND(AE63,0)</f>
        <v>0</v>
      </c>
      <c r="G761" s="282">
        <f>ROUND(AE64,0)</f>
        <v>11673</v>
      </c>
      <c r="H761" s="282">
        <f>ROUND(AE65,0)</f>
        <v>3221</v>
      </c>
      <c r="I761" s="282">
        <f>ROUND(AE66,0)</f>
        <v>30484</v>
      </c>
      <c r="J761" s="282">
        <f>ROUND(AE67,0)</f>
        <v>48246</v>
      </c>
      <c r="K761" s="282">
        <f>ROUND(AE68,0)</f>
        <v>0</v>
      </c>
      <c r="L761" s="282">
        <f>ROUND(AE70,0)</f>
        <v>0</v>
      </c>
      <c r="M761" s="282">
        <f>ROUND(AE71,0)</f>
        <v>854491</v>
      </c>
      <c r="N761" s="282">
        <f>ROUND(AE76,0)</f>
        <v>2748</v>
      </c>
      <c r="O761" s="282">
        <f>ROUND(AE74,0)</f>
        <v>1009580</v>
      </c>
      <c r="P761" s="282">
        <f>IF(AE77&gt;0,ROUND(AE77,0),0)</f>
        <v>0</v>
      </c>
      <c r="Q761" s="282">
        <f>IF(AE78&gt;0,ROUND(AE78,0),0)</f>
        <v>189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lth*096*7220*A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lth*096*7230*A</v>
      </c>
      <c r="B763" s="282">
        <f>ROUND(AG59,0)</f>
        <v>2874</v>
      </c>
      <c r="C763" s="285">
        <f>ROUND(AG60,2)</f>
        <v>8.8800000000000008</v>
      </c>
      <c r="D763" s="282">
        <f>ROUND(AG61,0)</f>
        <v>689766</v>
      </c>
      <c r="E763" s="282">
        <f>ROUND(AG62,0)</f>
        <v>193213</v>
      </c>
      <c r="F763" s="282">
        <f>ROUND(AG63,0)</f>
        <v>1324950</v>
      </c>
      <c r="G763" s="282">
        <f>ROUND(AG64,0)</f>
        <v>29234</v>
      </c>
      <c r="H763" s="282">
        <f>ROUND(AG65,0)</f>
        <v>960</v>
      </c>
      <c r="I763" s="282">
        <f>ROUND(AG66,0)</f>
        <v>4499</v>
      </c>
      <c r="J763" s="282">
        <f>ROUND(AG67,0)</f>
        <v>49773</v>
      </c>
      <c r="K763" s="282">
        <f>ROUND(AG68,0)</f>
        <v>0</v>
      </c>
      <c r="L763" s="282">
        <f>ROUND(AG70,0)</f>
        <v>0</v>
      </c>
      <c r="M763" s="282">
        <f>ROUND(AG71,0)</f>
        <v>2293934</v>
      </c>
      <c r="N763" s="282">
        <f>ROUND(AG76,0)</f>
        <v>2835</v>
      </c>
      <c r="O763" s="282">
        <f>ROUND(AG74,0)</f>
        <v>4180815</v>
      </c>
      <c r="P763" s="282">
        <f>IF(AG77&gt;0,ROUND(AG77,0),0)</f>
        <v>134</v>
      </c>
      <c r="Q763" s="282">
        <f>IF(AG78&gt;0,ROUND(AG78,0),0)</f>
        <v>1036</v>
      </c>
      <c r="R763" s="282">
        <f>IF(AG79&gt;0,ROUND(AG79,0),0)</f>
        <v>0</v>
      </c>
      <c r="S763" s="282">
        <f>IF(AG80&gt;0,ROUND(AG80,0),0)</f>
        <v>4</v>
      </c>
      <c r="T763" s="285">
        <f>IF(AG81&gt;0,ROUND(AG81,2),0)</f>
        <v>0</v>
      </c>
      <c r="U763" s="282"/>
      <c r="X763" s="282"/>
      <c r="Y763" s="282"/>
      <c r="Z763" s="282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lth*096*7240*A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lth*096*7250*A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lth*096*7260*A</v>
      </c>
      <c r="B766" s="282">
        <f>ROUND(AJ59,0)</f>
        <v>2959</v>
      </c>
      <c r="C766" s="285">
        <f>ROUND(AJ60,2)</f>
        <v>8.7899999999999991</v>
      </c>
      <c r="D766" s="282">
        <f>ROUND(AJ61,0)</f>
        <v>864806</v>
      </c>
      <c r="E766" s="282">
        <f>ROUND(AJ62,0)</f>
        <v>242244</v>
      </c>
      <c r="F766" s="282">
        <f>ROUND(AJ63,0)</f>
        <v>0</v>
      </c>
      <c r="G766" s="282">
        <f>ROUND(AJ64,0)</f>
        <v>84890</v>
      </c>
      <c r="H766" s="282">
        <f>ROUND(AJ65,0)</f>
        <v>2328</v>
      </c>
      <c r="I766" s="282">
        <f>ROUND(AJ66,0)</f>
        <v>18160</v>
      </c>
      <c r="J766" s="282">
        <f>ROUND(AJ67,0)</f>
        <v>93876</v>
      </c>
      <c r="K766" s="282">
        <f>ROUND(AJ68,0)</f>
        <v>0</v>
      </c>
      <c r="L766" s="282">
        <f>ROUND(AJ70,0)</f>
        <v>0</v>
      </c>
      <c r="M766" s="282">
        <f>ROUND(AJ71,0)</f>
        <v>1318720</v>
      </c>
      <c r="N766" s="282">
        <f>ROUND(AJ76,0)</f>
        <v>5347</v>
      </c>
      <c r="O766" s="282">
        <f>ROUND(AJ74,0)</f>
        <v>1029461</v>
      </c>
      <c r="P766" s="282">
        <f>IF(AJ77&gt;0,ROUND(AJ77,0),0)</f>
        <v>0</v>
      </c>
      <c r="Q766" s="282">
        <f>IF(AJ78&gt;0,ROUND(AJ78,0),0)</f>
        <v>839</v>
      </c>
      <c r="R766" s="282">
        <f>IF(AJ79&gt;0,ROUND(AJ79,0),0)</f>
        <v>0</v>
      </c>
      <c r="S766" s="282">
        <f>IF(AJ80&gt;0,ROUND(AJ80,0),0)</f>
        <v>0</v>
      </c>
      <c r="T766" s="285">
        <f>IF(AJ81&gt;0,ROUND(AJ81,2),0)</f>
        <v>0</v>
      </c>
      <c r="U766" s="282"/>
      <c r="X766" s="282"/>
      <c r="Y766" s="282"/>
      <c r="Z766" s="282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lth*096*7310*A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lth*096*7320*A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lth*096*7330*A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lth*096*7340*A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lth*096*7350*A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lth*096*7380*A</v>
      </c>
      <c r="B772" s="282">
        <f>ROUND(AP59,0)</f>
        <v>118</v>
      </c>
      <c r="C772" s="285">
        <f>ROUND(AP60,2)</f>
        <v>0.21</v>
      </c>
      <c r="D772" s="282">
        <f>ROUND(AP61,0)</f>
        <v>24723</v>
      </c>
      <c r="E772" s="282">
        <f>ROUND(AP62,0)</f>
        <v>6925</v>
      </c>
      <c r="F772" s="282">
        <f>ROUND(AP63,0)</f>
        <v>0</v>
      </c>
      <c r="G772" s="282">
        <f>ROUND(AP64,0)</f>
        <v>3622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35270</v>
      </c>
      <c r="N772" s="282">
        <f>ROUND(AP76,0)</f>
        <v>0</v>
      </c>
      <c r="O772" s="282">
        <f>ROUND(AP74,0)</f>
        <v>33497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lth*096*7390*A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lth*096*7400*A</v>
      </c>
      <c r="B774" s="282">
        <f>ROUND(AR59,0)</f>
        <v>0</v>
      </c>
      <c r="C774" s="285">
        <f>ROUND(AR60,2)</f>
        <v>0</v>
      </c>
      <c r="D774" s="282">
        <f>ROUND(AR61,0)</f>
        <v>0</v>
      </c>
      <c r="E774" s="282">
        <f>ROUND(AR62,0)</f>
        <v>0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0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lth*096*7410*A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lth*096*7420*A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lth*096*7430*A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lth*096*7490*A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0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lth*096*8200*A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lth*096*8310*A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0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lth*096*8320*A</v>
      </c>
      <c r="B781" s="282">
        <f>ROUND(AY59,0)</f>
        <v>5857</v>
      </c>
      <c r="C781" s="285">
        <f>ROUND(AY60,2)</f>
        <v>4.5999999999999996</v>
      </c>
      <c r="D781" s="282">
        <f>ROUND(AY61,0)</f>
        <v>197518</v>
      </c>
      <c r="E781" s="282">
        <f>ROUND(AY62,0)</f>
        <v>55328</v>
      </c>
      <c r="F781" s="282">
        <f>ROUND(AY63,0)</f>
        <v>0</v>
      </c>
      <c r="G781" s="282">
        <f>ROUND(AY64,0)</f>
        <v>115936</v>
      </c>
      <c r="H781" s="282">
        <f>ROUND(AY65,0)</f>
        <v>0</v>
      </c>
      <c r="I781" s="282">
        <f>ROUND(AY66,0)</f>
        <v>2379</v>
      </c>
      <c r="J781" s="282">
        <f>ROUND(AY67,0)</f>
        <v>46947</v>
      </c>
      <c r="K781" s="282">
        <f>ROUND(AY68,0)</f>
        <v>2640</v>
      </c>
      <c r="L781" s="282">
        <f>ROUND(AY70,0)</f>
        <v>0</v>
      </c>
      <c r="M781" s="282">
        <f>ROUND(AY71,0)</f>
        <v>420879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lth*096*8330*A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lth*096*8350*A</v>
      </c>
      <c r="B783" s="282">
        <f>ROUND(BA59,0)</f>
        <v>0</v>
      </c>
      <c r="C783" s="285">
        <f>ROUND(BA60,2)</f>
        <v>0</v>
      </c>
      <c r="D783" s="282">
        <f>ROUND(BA61,0)</f>
        <v>0</v>
      </c>
      <c r="E783" s="282">
        <f>ROUND(BA62,0)</f>
        <v>0</v>
      </c>
      <c r="F783" s="282">
        <f>ROUND(BA63,0)</f>
        <v>0</v>
      </c>
      <c r="G783" s="282">
        <f>ROUND(BA64,0)</f>
        <v>8114</v>
      </c>
      <c r="H783" s="282">
        <f>ROUND(BA65,0)</f>
        <v>0</v>
      </c>
      <c r="I783" s="282">
        <f>ROUND(BA66,0)</f>
        <v>0</v>
      </c>
      <c r="J783" s="282">
        <f>ROUND(BA67,0)</f>
        <v>2739</v>
      </c>
      <c r="K783" s="282">
        <f>ROUND(BA68,0)</f>
        <v>0</v>
      </c>
      <c r="L783" s="282">
        <f>ROUND(BA70,0)</f>
        <v>0</v>
      </c>
      <c r="M783" s="282">
        <f>ROUND(BA71,0)</f>
        <v>10853</v>
      </c>
      <c r="N783" s="282"/>
      <c r="O783" s="282"/>
      <c r="P783" s="282">
        <f>IF(BA77&gt;0,ROUND(BA77,0),0)</f>
        <v>0</v>
      </c>
      <c r="Q783" s="282">
        <f>IF(BA78&gt;0,ROUND(BA78,0),0)</f>
        <v>2803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lth*096*8360*A</v>
      </c>
      <c r="B784" s="282"/>
      <c r="C784" s="285">
        <f>ROUND(BB60,2)</f>
        <v>0</v>
      </c>
      <c r="D784" s="282">
        <f>ROUND(BB61,0)</f>
        <v>0</v>
      </c>
      <c r="E784" s="282">
        <f>ROUND(BB62,0)</f>
        <v>0</v>
      </c>
      <c r="F784" s="282">
        <f>ROUND(BB63,0)</f>
        <v>0</v>
      </c>
      <c r="G784" s="282">
        <f>ROUND(BB64,0)</f>
        <v>0</v>
      </c>
      <c r="H784" s="282">
        <f>ROUND(BB65,0)</f>
        <v>0</v>
      </c>
      <c r="I784" s="282">
        <f>ROUND(BB66,0)</f>
        <v>0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0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lth*096*8370*A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lth*096*8420*A</v>
      </c>
      <c r="B786" s="282"/>
      <c r="C786" s="285">
        <f>ROUND(BD60,2)</f>
        <v>1.84</v>
      </c>
      <c r="D786" s="282">
        <f>ROUND(BD61,0)</f>
        <v>101377</v>
      </c>
      <c r="E786" s="282">
        <f>ROUND(BD62,0)</f>
        <v>28397</v>
      </c>
      <c r="F786" s="282">
        <f>ROUND(BD63,0)</f>
        <v>0</v>
      </c>
      <c r="G786" s="282">
        <f>ROUND(BD64,0)</f>
        <v>1234</v>
      </c>
      <c r="H786" s="282">
        <f>ROUND(BD65,0)</f>
        <v>0</v>
      </c>
      <c r="I786" s="282">
        <f>ROUND(BD66,0)</f>
        <v>0</v>
      </c>
      <c r="J786" s="282">
        <f>ROUND(BD67,0)</f>
        <v>18347</v>
      </c>
      <c r="K786" s="282">
        <f>ROUND(BD68,0)</f>
        <v>0</v>
      </c>
      <c r="L786" s="282">
        <f>ROUND(BD70,0)</f>
        <v>0</v>
      </c>
      <c r="M786" s="282">
        <f>ROUND(BD71,0)</f>
        <v>149355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lth*096*8430*A</v>
      </c>
      <c r="B787" s="282">
        <f>ROUND(BE59,0)</f>
        <v>60463</v>
      </c>
      <c r="C787" s="285">
        <f>ROUND(BE60,2)</f>
        <v>3.54</v>
      </c>
      <c r="D787" s="282">
        <f>ROUND(BE61,0)</f>
        <v>242852</v>
      </c>
      <c r="E787" s="282">
        <f>ROUND(BE62,0)</f>
        <v>68026</v>
      </c>
      <c r="F787" s="282">
        <f>ROUND(BE63,0)</f>
        <v>0</v>
      </c>
      <c r="G787" s="282">
        <f>ROUND(BE64,0)</f>
        <v>38845</v>
      </c>
      <c r="H787" s="282">
        <f>ROUND(BE65,0)</f>
        <v>189536</v>
      </c>
      <c r="I787" s="282">
        <f>ROUND(BE66,0)</f>
        <v>85004</v>
      </c>
      <c r="J787" s="282">
        <f>ROUND(BE67,0)</f>
        <v>111819</v>
      </c>
      <c r="K787" s="282">
        <f>ROUND(BE68,0)</f>
        <v>0</v>
      </c>
      <c r="L787" s="282">
        <f>ROUND(BE70,0)</f>
        <v>0</v>
      </c>
      <c r="M787" s="282">
        <f>ROUND(BE71,0)</f>
        <v>744472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lth*096*8460*A</v>
      </c>
      <c r="B788" s="282"/>
      <c r="C788" s="285">
        <f>ROUND(BF60,2)</f>
        <v>6.49</v>
      </c>
      <c r="D788" s="282">
        <f>ROUND(BF61,0)</f>
        <v>212393</v>
      </c>
      <c r="E788" s="282">
        <f>ROUND(BF62,0)</f>
        <v>59494</v>
      </c>
      <c r="F788" s="282">
        <f>ROUND(BF63,0)</f>
        <v>0</v>
      </c>
      <c r="G788" s="282">
        <f>ROUND(BF64,0)</f>
        <v>23715</v>
      </c>
      <c r="H788" s="282">
        <f>ROUND(BF65,0)</f>
        <v>0</v>
      </c>
      <c r="I788" s="282">
        <f>ROUND(BF66,0)</f>
        <v>0</v>
      </c>
      <c r="J788" s="282">
        <f>ROUND(BF67,0)</f>
        <v>13800</v>
      </c>
      <c r="K788" s="282">
        <f>ROUND(BF68,0)</f>
        <v>0</v>
      </c>
      <c r="L788" s="282">
        <f>ROUND(BF70,0)</f>
        <v>0</v>
      </c>
      <c r="M788" s="282">
        <f>ROUND(BF71,0)</f>
        <v>309402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lth*096*8470*A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0</v>
      </c>
      <c r="J789" s="282">
        <f>ROUND(BG67,0)</f>
        <v>0</v>
      </c>
      <c r="K789" s="282">
        <f>ROUND(BG68,0)</f>
        <v>0</v>
      </c>
      <c r="L789" s="282">
        <f>ROUND(BG70,0)</f>
        <v>0</v>
      </c>
      <c r="M789" s="282">
        <f>ROUND(BG71,0)</f>
        <v>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lth*096*8480*A</v>
      </c>
      <c r="B790" s="282"/>
      <c r="C790" s="285">
        <f>ROUND(BH60,2)</f>
        <v>4.01</v>
      </c>
      <c r="D790" s="282">
        <f>ROUND(BH61,0)</f>
        <v>341548</v>
      </c>
      <c r="E790" s="282">
        <f>ROUND(BH62,0)</f>
        <v>95672</v>
      </c>
      <c r="F790" s="282">
        <f>ROUND(BH63,0)</f>
        <v>0</v>
      </c>
      <c r="G790" s="282">
        <f>ROUND(BH64,0)</f>
        <v>35509</v>
      </c>
      <c r="H790" s="282">
        <f>ROUND(BH65,0)</f>
        <v>73913</v>
      </c>
      <c r="I790" s="282">
        <f>ROUND(BH66,0)</f>
        <v>443943</v>
      </c>
      <c r="J790" s="282">
        <f>ROUND(BH67,0)</f>
        <v>0</v>
      </c>
      <c r="K790" s="282">
        <f>ROUND(BH68,0)</f>
        <v>0</v>
      </c>
      <c r="L790" s="282">
        <f>ROUND(BH70,0)</f>
        <v>0</v>
      </c>
      <c r="M790" s="282">
        <f>ROUND(BH71,0)</f>
        <v>991300</v>
      </c>
      <c r="N790" s="282"/>
      <c r="O790" s="282"/>
      <c r="P790" s="282">
        <f>IF(BH77&gt;0,ROUND(BH77,0),0)</f>
        <v>0</v>
      </c>
      <c r="Q790" s="282">
        <f>IF(BH78&gt;0,ROUND(BH78,0),0)</f>
        <v>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lth*096*8490*A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lth*096*8510*A</v>
      </c>
      <c r="B792" s="282"/>
      <c r="C792" s="285">
        <f>ROUND(BJ60,2)</f>
        <v>1.88</v>
      </c>
      <c r="D792" s="282">
        <f>ROUND(BJ61,0)</f>
        <v>220687</v>
      </c>
      <c r="E792" s="282">
        <f>ROUND(BJ62,0)</f>
        <v>61818</v>
      </c>
      <c r="F792" s="282">
        <f>ROUND(BJ63,0)</f>
        <v>0</v>
      </c>
      <c r="G792" s="282">
        <f>ROUND(BJ64,0)</f>
        <v>384</v>
      </c>
      <c r="H792" s="282">
        <f>ROUND(BJ65,0)</f>
        <v>0</v>
      </c>
      <c r="I792" s="282">
        <f>ROUND(BJ66,0)</f>
        <v>146407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429296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lth*096*8530*A</v>
      </c>
      <c r="B793" s="282"/>
      <c r="C793" s="285">
        <f>ROUND(BK60,2)</f>
        <v>5.37</v>
      </c>
      <c r="D793" s="282">
        <f>ROUND(BK61,0)</f>
        <v>211946</v>
      </c>
      <c r="E793" s="282">
        <f>ROUND(BK62,0)</f>
        <v>59369</v>
      </c>
      <c r="F793" s="282">
        <f>ROUND(BK63,0)</f>
        <v>0</v>
      </c>
      <c r="G793" s="282">
        <f>ROUND(BK64,0)</f>
        <v>15566</v>
      </c>
      <c r="H793" s="282">
        <f>ROUND(BK65,0)</f>
        <v>0</v>
      </c>
      <c r="I793" s="282">
        <f>ROUND(BK66,0)</f>
        <v>44644</v>
      </c>
      <c r="J793" s="282">
        <f>ROUND(BK67,0)</f>
        <v>0</v>
      </c>
      <c r="K793" s="282">
        <f>ROUND(BK68,0)</f>
        <v>3779</v>
      </c>
      <c r="L793" s="282">
        <f>ROUND(BK70,0)</f>
        <v>0</v>
      </c>
      <c r="M793" s="282">
        <f>ROUND(BK71,0)</f>
        <v>336634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lth*096*8560*A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0</v>
      </c>
      <c r="K794" s="282">
        <f>ROUND(BL68,0)</f>
        <v>0</v>
      </c>
      <c r="L794" s="282">
        <f>ROUND(BL70,0)</f>
        <v>0</v>
      </c>
      <c r="M794" s="282">
        <f>ROUND(BL71,0)</f>
        <v>0</v>
      </c>
      <c r="N794" s="282"/>
      <c r="O794" s="282"/>
      <c r="P794" s="282">
        <f>IF(BL77&gt;0,ROUND(BL77,0),0)</f>
        <v>0</v>
      </c>
      <c r="Q794" s="282">
        <f>IF(BL78&gt;0,ROUND(BL78,0),0)</f>
        <v>0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lth*096*8590*A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lth*096*8610*A</v>
      </c>
      <c r="B796" s="282"/>
      <c r="C796" s="285">
        <f>ROUND(BN60,2)</f>
        <v>1.0900000000000001</v>
      </c>
      <c r="D796" s="282">
        <f>ROUND(BN61,0)</f>
        <v>197207</v>
      </c>
      <c r="E796" s="282">
        <f>ROUND(BN62,0)</f>
        <v>55240</v>
      </c>
      <c r="F796" s="282">
        <f>ROUND(BN63,0)</f>
        <v>0</v>
      </c>
      <c r="G796" s="282">
        <f>ROUND(BN64,0)</f>
        <v>4540</v>
      </c>
      <c r="H796" s="282">
        <f>ROUND(BN65,0)</f>
        <v>3166</v>
      </c>
      <c r="I796" s="282">
        <f>ROUND(BN66,0)</f>
        <v>54654</v>
      </c>
      <c r="J796" s="282">
        <f>ROUND(BN67,0)</f>
        <v>309877</v>
      </c>
      <c r="K796" s="282">
        <f>ROUND(BN68,0)</f>
        <v>2029</v>
      </c>
      <c r="L796" s="282">
        <f>ROUND(BN70,0)</f>
        <v>0</v>
      </c>
      <c r="M796" s="282">
        <f>ROUND(BN71,0)</f>
        <v>760204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lth*096*8620*A</v>
      </c>
      <c r="B797" s="282"/>
      <c r="C797" s="285">
        <f>ROUND(BO60,2)</f>
        <v>0</v>
      </c>
      <c r="D797" s="282">
        <f>ROUND(BO61,0)</f>
        <v>1475</v>
      </c>
      <c r="E797" s="282">
        <f>ROUND(BO62,0)</f>
        <v>413</v>
      </c>
      <c r="F797" s="282">
        <f>ROUND(BO63,0)</f>
        <v>0</v>
      </c>
      <c r="G797" s="282">
        <f>ROUND(BO64,0)</f>
        <v>322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2210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lth*096*8630*A</v>
      </c>
      <c r="B798" s="282"/>
      <c r="C798" s="285">
        <f>ROUND(BP60,2)</f>
        <v>0.89</v>
      </c>
      <c r="D798" s="282">
        <f>ROUND(BP61,0)</f>
        <v>75002</v>
      </c>
      <c r="E798" s="282">
        <f>ROUND(BP62,0)</f>
        <v>21009</v>
      </c>
      <c r="F798" s="282">
        <f>ROUND(BP63,0)</f>
        <v>0</v>
      </c>
      <c r="G798" s="282">
        <f>ROUND(BP64,0)</f>
        <v>9834</v>
      </c>
      <c r="H798" s="282">
        <f>ROUND(BP65,0)</f>
        <v>0</v>
      </c>
      <c r="I798" s="282">
        <f>ROUND(BP66,0)</f>
        <v>98022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205630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lth*096*8640*A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lth*096*8650*A</v>
      </c>
      <c r="B800" s="282"/>
      <c r="C800" s="285">
        <f>ROUND(BR60,2)</f>
        <v>1.92</v>
      </c>
      <c r="D800" s="282">
        <f>ROUND(BR61,0)</f>
        <v>145786</v>
      </c>
      <c r="E800" s="282">
        <f>ROUND(BR62,0)</f>
        <v>40837</v>
      </c>
      <c r="F800" s="282">
        <f>ROUND(BR63,0)</f>
        <v>0</v>
      </c>
      <c r="G800" s="282">
        <f>ROUND(BR64,0)</f>
        <v>894</v>
      </c>
      <c r="H800" s="282">
        <f>ROUND(BR65,0)</f>
        <v>0</v>
      </c>
      <c r="I800" s="282">
        <f>ROUND(BR66,0)</f>
        <v>29313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216830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lth*096*8660*A</v>
      </c>
      <c r="B801" s="282"/>
      <c r="C801" s="285">
        <f>ROUND(BS60,2)</f>
        <v>0</v>
      </c>
      <c r="D801" s="282">
        <f>ROUND(BS61,0)</f>
        <v>0</v>
      </c>
      <c r="E801" s="282">
        <f>ROUND(BS62,0)</f>
        <v>0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0</v>
      </c>
      <c r="J801" s="282">
        <f>ROUND(BS67,0)</f>
        <v>0</v>
      </c>
      <c r="K801" s="282">
        <f>ROUND(BS68,0)</f>
        <v>0</v>
      </c>
      <c r="L801" s="282">
        <f>ROUND(BS70,0)</f>
        <v>0</v>
      </c>
      <c r="M801" s="282">
        <f>ROUND(BS71,0)</f>
        <v>0</v>
      </c>
      <c r="N801" s="282"/>
      <c r="O801" s="282"/>
      <c r="P801" s="282">
        <f>IF(BS77&gt;0,ROUND(BS77,0),0)</f>
        <v>0</v>
      </c>
      <c r="Q801" s="282">
        <f>IF(BS78&gt;0,ROUND(BS78,0),0)</f>
        <v>0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lth*096*8670*A</v>
      </c>
      <c r="B802" s="282"/>
      <c r="C802" s="285">
        <f>ROUND(BT60,2)</f>
        <v>0</v>
      </c>
      <c r="D802" s="282">
        <f>ROUND(BT61,0)</f>
        <v>0</v>
      </c>
      <c r="E802" s="282">
        <f>ROUND(BT62,0)</f>
        <v>0</v>
      </c>
      <c r="F802" s="282">
        <f>ROUND(BT63,0)</f>
        <v>0</v>
      </c>
      <c r="G802" s="282">
        <f>ROUND(BT64,0)</f>
        <v>0</v>
      </c>
      <c r="H802" s="282">
        <f>ROUND(BT65,0)</f>
        <v>0</v>
      </c>
      <c r="I802" s="282">
        <f>ROUND(BT66,0)</f>
        <v>0</v>
      </c>
      <c r="J802" s="282">
        <f>ROUND(BT67,0)</f>
        <v>0</v>
      </c>
      <c r="K802" s="282">
        <f>ROUND(BT68,0)</f>
        <v>0</v>
      </c>
      <c r="L802" s="282">
        <f>ROUND(BT70,0)</f>
        <v>0</v>
      </c>
      <c r="M802" s="282">
        <f>ROUND(BT71,0)</f>
        <v>0</v>
      </c>
      <c r="N802" s="282"/>
      <c r="O802" s="282"/>
      <c r="P802" s="282">
        <f>IF(BT77&gt;0,ROUND(BT77,0),0)</f>
        <v>0</v>
      </c>
      <c r="Q802" s="282">
        <f>IF(BT78&gt;0,ROUND(BT78,0),0)</f>
        <v>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lth*096*8680*A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lth*096*8690*A</v>
      </c>
      <c r="B804" s="282"/>
      <c r="C804" s="285">
        <f>ROUND(BV60,2)</f>
        <v>2.79</v>
      </c>
      <c r="D804" s="282">
        <f>ROUND(BV61,0)</f>
        <v>130264</v>
      </c>
      <c r="E804" s="282">
        <f>ROUND(BV62,0)</f>
        <v>36489</v>
      </c>
      <c r="F804" s="282">
        <f>ROUND(BV63,0)</f>
        <v>0</v>
      </c>
      <c r="G804" s="282">
        <f>ROUND(BV64,0)</f>
        <v>1909</v>
      </c>
      <c r="H804" s="282">
        <f>ROUND(BV65,0)</f>
        <v>0</v>
      </c>
      <c r="I804" s="282">
        <f>ROUND(BV66,0)</f>
        <v>70754</v>
      </c>
      <c r="J804" s="282">
        <f>ROUND(BV67,0)</f>
        <v>0</v>
      </c>
      <c r="K804" s="282">
        <f>ROUND(BV68,0)</f>
        <v>914</v>
      </c>
      <c r="L804" s="282">
        <f>ROUND(BV70,0)</f>
        <v>0</v>
      </c>
      <c r="M804" s="282">
        <f>ROUND(BV71,0)</f>
        <v>242959</v>
      </c>
      <c r="N804" s="282"/>
      <c r="O804" s="282"/>
      <c r="P804" s="282">
        <f>IF(BV77&gt;0,ROUND(BV77,0),0)</f>
        <v>0</v>
      </c>
      <c r="Q804" s="282">
        <f>IF(BV78&gt;0,ROUND(BV78,0),0)</f>
        <v>0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lth*096*8700*A</v>
      </c>
      <c r="B805" s="282"/>
      <c r="C805" s="285">
        <f>ROUND(BW60,2)</f>
        <v>0</v>
      </c>
      <c r="D805" s="282">
        <f>ROUND(BW61,0)</f>
        <v>0</v>
      </c>
      <c r="E805" s="282">
        <f>ROUND(BW62,0)</f>
        <v>0</v>
      </c>
      <c r="F805" s="282">
        <f>ROUND(BW63,0)</f>
        <v>0</v>
      </c>
      <c r="G805" s="282">
        <f>ROUND(BW64,0)</f>
        <v>0</v>
      </c>
      <c r="H805" s="282">
        <f>ROUND(BW65,0)</f>
        <v>0</v>
      </c>
      <c r="I805" s="282">
        <f>ROUND(BW66,0)</f>
        <v>0</v>
      </c>
      <c r="J805" s="282">
        <f>ROUND(BW67,0)</f>
        <v>0</v>
      </c>
      <c r="K805" s="282">
        <f>ROUND(BW68,0)</f>
        <v>0</v>
      </c>
      <c r="L805" s="282">
        <f>ROUND(BW70,0)</f>
        <v>0</v>
      </c>
      <c r="M805" s="282">
        <f>ROUND(BW71,0)</f>
        <v>0</v>
      </c>
      <c r="N805" s="282"/>
      <c r="O805" s="282"/>
      <c r="P805" s="282">
        <f>IF(BW77&gt;0,ROUND(BW77,0),0)</f>
        <v>0</v>
      </c>
      <c r="Q805" s="282">
        <f>IF(BW78&gt;0,ROUND(BW78,0),0)</f>
        <v>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lth*096*8710*A</v>
      </c>
      <c r="B806" s="282"/>
      <c r="C806" s="285">
        <f>ROUND(BX60,2)</f>
        <v>1.1299999999999999</v>
      </c>
      <c r="D806" s="282">
        <f>ROUND(BX61,0)</f>
        <v>105135</v>
      </c>
      <c r="E806" s="282">
        <f>ROUND(BX62,0)</f>
        <v>29450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141537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lth*096*8720*A</v>
      </c>
      <c r="B807" s="282"/>
      <c r="C807" s="285">
        <f>ROUND(BY60,2)</f>
        <v>3.41</v>
      </c>
      <c r="D807" s="282">
        <f>ROUND(BY61,0)</f>
        <v>368636</v>
      </c>
      <c r="E807" s="282">
        <f>ROUND(BY62,0)</f>
        <v>103260</v>
      </c>
      <c r="F807" s="282">
        <f>ROUND(BY63,0)</f>
        <v>0</v>
      </c>
      <c r="G807" s="282">
        <f>ROUND(BY64,0)</f>
        <v>2173</v>
      </c>
      <c r="H807" s="282">
        <f>ROUND(BY65,0)</f>
        <v>2480</v>
      </c>
      <c r="I807" s="282">
        <f>ROUND(BY66,0)</f>
        <v>250</v>
      </c>
      <c r="J807" s="282">
        <f>ROUND(BY67,0)</f>
        <v>0</v>
      </c>
      <c r="K807" s="282">
        <f>ROUND(BY68,0)</f>
        <v>0</v>
      </c>
      <c r="L807" s="282">
        <f>ROUND(BY70,0)</f>
        <v>0</v>
      </c>
      <c r="M807" s="282">
        <f>ROUND(BY71,0)</f>
        <v>477544</v>
      </c>
      <c r="N807" s="282"/>
      <c r="O807" s="282"/>
      <c r="P807" s="282">
        <f>IF(BY77&gt;0,ROUND(BY77,0),0)</f>
        <v>0</v>
      </c>
      <c r="Q807" s="282">
        <f>IF(BY78&gt;0,ROUND(BY78,0),0)</f>
        <v>0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lth*096*8730*A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lth*096*8740*A</v>
      </c>
      <c r="B809" s="282"/>
      <c r="C809" s="285">
        <f>ROUND(CA60,2)</f>
        <v>0.28999999999999998</v>
      </c>
      <c r="D809" s="282">
        <f>ROUND(CA61,0)</f>
        <v>25547</v>
      </c>
      <c r="E809" s="282">
        <f>ROUND(CA62,0)</f>
        <v>7156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18</v>
      </c>
      <c r="J809" s="282">
        <f>ROUND(CA67,0)</f>
        <v>0</v>
      </c>
      <c r="K809" s="282">
        <f>ROUND(CA68,0)</f>
        <v>0</v>
      </c>
      <c r="L809" s="282">
        <f>ROUND(CA70,0)</f>
        <v>0</v>
      </c>
      <c r="M809" s="282">
        <f>ROUND(CA71,0)</f>
        <v>32721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lth*096*8770*A</v>
      </c>
      <c r="B810" s="282"/>
      <c r="C810" s="285">
        <f>ROUND(CB60,2)</f>
        <v>0.85</v>
      </c>
      <c r="D810" s="282">
        <f>ROUND(CB61,0)</f>
        <v>50899</v>
      </c>
      <c r="E810" s="282">
        <f>ROUND(CB62,0)</f>
        <v>14258</v>
      </c>
      <c r="F810" s="282">
        <f>ROUND(CB63,0)</f>
        <v>0</v>
      </c>
      <c r="G810" s="282">
        <f>ROUND(CB64,0)</f>
        <v>324</v>
      </c>
      <c r="H810" s="282">
        <f>ROUND(CB65,0)</f>
        <v>0</v>
      </c>
      <c r="I810" s="282">
        <f>ROUND(CB66,0)</f>
        <v>90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66456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lth*096*8790*A</v>
      </c>
      <c r="B811" s="282"/>
      <c r="C811" s="285">
        <f>ROUND(CC60,2)</f>
        <v>4.3899999999999997</v>
      </c>
      <c r="D811" s="282">
        <f>ROUND(CC61,0)</f>
        <v>404285</v>
      </c>
      <c r="E811" s="282">
        <f>ROUND(CC62,0)</f>
        <v>113246</v>
      </c>
      <c r="F811" s="282">
        <f>ROUND(CC63,0)</f>
        <v>250</v>
      </c>
      <c r="G811" s="282">
        <f>ROUND(CC64,0)</f>
        <v>158357</v>
      </c>
      <c r="H811" s="282">
        <f>ROUND(CC65,0)</f>
        <v>106</v>
      </c>
      <c r="I811" s="282">
        <f>ROUND(CC66,0)</f>
        <v>38016</v>
      </c>
      <c r="J811" s="282">
        <f>ROUND(CC67,0)</f>
        <v>0</v>
      </c>
      <c r="K811" s="282">
        <f>ROUND(CC68,0)</f>
        <v>271</v>
      </c>
      <c r="L811" s="282">
        <f>ROUND(CC70,0)</f>
        <v>0</v>
      </c>
      <c r="M811" s="282">
        <f>ROUND(CC71,0)</f>
        <v>716892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lth*096*9000*A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154573</v>
      </c>
      <c r="V812" s="180">
        <f>ROUND(CD69,0)</f>
        <v>1271713</v>
      </c>
      <c r="W812" s="180">
        <f>ROUND(CD71,0)</f>
        <v>1117140</v>
      </c>
      <c r="X812" s="282">
        <f>ROUND(CE73,0)</f>
        <v>6899928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109.93</v>
      </c>
      <c r="D814" s="180">
        <f t="shared" si="22"/>
        <v>8760027</v>
      </c>
      <c r="E814" s="180">
        <f t="shared" si="22"/>
        <v>2453805</v>
      </c>
      <c r="F814" s="180">
        <f t="shared" si="22"/>
        <v>1949068</v>
      </c>
      <c r="G814" s="180">
        <f t="shared" si="22"/>
        <v>1669286</v>
      </c>
      <c r="H814" s="180">
        <f t="shared" si="22"/>
        <v>282489</v>
      </c>
      <c r="I814" s="180">
        <f t="shared" si="22"/>
        <v>2063910</v>
      </c>
      <c r="J814" s="180">
        <f t="shared" si="22"/>
        <v>1061534</v>
      </c>
      <c r="K814" s="180">
        <f t="shared" si="22"/>
        <v>13104</v>
      </c>
      <c r="L814" s="180">
        <f>SUM(L733:L812)+SUM(U733:U812)</f>
        <v>154573</v>
      </c>
      <c r="M814" s="180">
        <f>SUM(M733:M812)+SUM(W733:W812)</f>
        <v>19573941</v>
      </c>
      <c r="N814" s="180">
        <f t="shared" ref="N814:Z814" si="23">SUM(N733:N812)</f>
        <v>31783</v>
      </c>
      <c r="O814" s="180">
        <f t="shared" si="23"/>
        <v>18023050</v>
      </c>
      <c r="P814" s="180">
        <f t="shared" si="23"/>
        <v>5857</v>
      </c>
      <c r="Q814" s="180">
        <f t="shared" si="23"/>
        <v>8071</v>
      </c>
      <c r="R814" s="180">
        <f t="shared" si="23"/>
        <v>0</v>
      </c>
      <c r="S814" s="180">
        <f t="shared" si="23"/>
        <v>13</v>
      </c>
      <c r="T814" s="263">
        <f t="shared" si="23"/>
        <v>0</v>
      </c>
      <c r="U814" s="180">
        <f t="shared" si="23"/>
        <v>154573</v>
      </c>
      <c r="V814" s="180">
        <f t="shared" si="23"/>
        <v>1271713</v>
      </c>
      <c r="W814" s="180">
        <f t="shared" si="23"/>
        <v>1117140</v>
      </c>
      <c r="X814" s="180">
        <f t="shared" si="23"/>
        <v>6899928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3">
        <f>CE60</f>
        <v>109.93</v>
      </c>
      <c r="D815" s="180">
        <f>CE61</f>
        <v>8760027</v>
      </c>
      <c r="E815" s="180">
        <f>CE62</f>
        <v>2453805</v>
      </c>
      <c r="F815" s="180">
        <f>CE63</f>
        <v>1949068</v>
      </c>
      <c r="G815" s="180">
        <f>CE64</f>
        <v>1669286.29</v>
      </c>
      <c r="H815" s="240">
        <f>CE65</f>
        <v>282488.73</v>
      </c>
      <c r="I815" s="240">
        <f>CE66</f>
        <v>2063910</v>
      </c>
      <c r="J815" s="240">
        <f>CE67</f>
        <v>1061534</v>
      </c>
      <c r="K815" s="240">
        <f>CE68</f>
        <v>13104</v>
      </c>
      <c r="L815" s="240">
        <f>CE70</f>
        <v>154573</v>
      </c>
      <c r="M815" s="240">
        <f>CE71</f>
        <v>19573941.02</v>
      </c>
      <c r="N815" s="180">
        <f>CE76</f>
        <v>60463</v>
      </c>
      <c r="O815" s="180">
        <f>CE74</f>
        <v>18023050.199999999</v>
      </c>
      <c r="P815" s="180">
        <f>CE77</f>
        <v>5857</v>
      </c>
      <c r="Q815" s="180">
        <f>CE78</f>
        <v>8071</v>
      </c>
      <c r="R815" s="180">
        <f>CE79</f>
        <v>0</v>
      </c>
      <c r="S815" s="180">
        <f>CE80</f>
        <v>13.32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8760027</v>
      </c>
      <c r="G816" s="240">
        <f>C379</f>
        <v>2453805</v>
      </c>
      <c r="H816" s="240">
        <f>C380</f>
        <v>1949068</v>
      </c>
      <c r="I816" s="240">
        <f>C381</f>
        <v>1669286</v>
      </c>
      <c r="J816" s="240">
        <f>C382</f>
        <v>282489</v>
      </c>
      <c r="K816" s="240">
        <f>C383</f>
        <v>2063910</v>
      </c>
      <c r="L816" s="240">
        <f>C384+C385+C386+C388</f>
        <v>2274176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900-000000000000}"/>
    <hyperlink ref="A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Quality Assurance, Community Health Systems</dc:creator>
  <cp:keywords>Year End Report</cp:keywords>
  <cp:lastModifiedBy>Baranowski, Carrie (DOH)</cp:lastModifiedBy>
  <cp:lastPrinted>2022-05-20T22:13:45Z</cp:lastPrinted>
  <dcterms:created xsi:type="dcterms:W3CDTF">1999-06-02T22:01:56Z</dcterms:created>
  <dcterms:modified xsi:type="dcterms:W3CDTF">2022-05-25T16:24:55Z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2022-05-25T15:57:33Z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47f4efc7-0d3c-4310-89fc-013c0d33d727</vt:lpwstr>
  </property>
  <property fmtid="{D5CDD505-2E9C-101B-9397-08002B2CF9AE}" pid="8" name="MSIP_Label_1520fa42-cf58-4c22-8b93-58cf1d3bd1cb_ContentBits">
    <vt:lpwstr>0</vt:lpwstr>
  </property>
</Properties>
</file>