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A04E6D31-A3D3-413A-89DA-D8EDB7B5EA94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data!$A$486:$I$577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76" i="1" l="1"/>
  <c r="CC76" i="1" l="1"/>
  <c r="BE76" i="1"/>
  <c r="BH76" i="1"/>
  <c r="AV76" i="1"/>
  <c r="BF76" i="1"/>
  <c r="BW76" i="1"/>
  <c r="BN76" i="1"/>
  <c r="BL76" i="1"/>
  <c r="BD76" i="1"/>
  <c r="AP76" i="1"/>
  <c r="AE76" i="1"/>
  <c r="AC76" i="1"/>
  <c r="Y76" i="1"/>
  <c r="AA76" i="1"/>
  <c r="P76" i="1"/>
  <c r="D139" i="1" l="1"/>
  <c r="D138" i="1"/>
  <c r="AY59" i="1" l="1"/>
  <c r="C228" i="1" l="1"/>
  <c r="C366" i="1"/>
  <c r="C238" i="1"/>
  <c r="C226" i="1"/>
  <c r="D213" i="1" l="1"/>
  <c r="C213" i="1"/>
  <c r="D210" i="1"/>
  <c r="C210" i="1"/>
  <c r="E74" i="1" l="1"/>
  <c r="P74" i="1"/>
  <c r="P73" i="1"/>
  <c r="Y78" i="1"/>
  <c r="E78" i="1"/>
  <c r="P60" i="1"/>
  <c r="BH60" i="1"/>
  <c r="BO60" i="1"/>
  <c r="BX60" i="1"/>
  <c r="BW60" i="1"/>
  <c r="BR60" i="1"/>
  <c r="BK60" i="1"/>
  <c r="BB60" i="1"/>
  <c r="AY60" i="1"/>
  <c r="AG60" i="1"/>
  <c r="AJ60" i="1"/>
  <c r="AE60" i="1"/>
  <c r="AC60" i="1"/>
  <c r="Y60" i="1"/>
  <c r="E60" i="1"/>
  <c r="CD70" i="1" l="1"/>
  <c r="BM69" i="1"/>
  <c r="P66" i="1"/>
  <c r="E68" i="1"/>
  <c r="E66" i="1"/>
  <c r="U63" i="1"/>
  <c r="P64" i="1"/>
  <c r="C61" i="1"/>
  <c r="E59" i="1"/>
  <c r="AZ59" i="1"/>
  <c r="AG77" i="1"/>
  <c r="P77" i="1"/>
  <c r="O77" i="1"/>
  <c r="E77" i="1"/>
  <c r="C77" i="1"/>
  <c r="BX66" i="1" l="1"/>
  <c r="BX64" i="1"/>
  <c r="BX61" i="1"/>
  <c r="BR66" i="1"/>
  <c r="BR61" i="1"/>
  <c r="BB65" i="1" l="1"/>
  <c r="BB64" i="1"/>
  <c r="BB61" i="1"/>
  <c r="AE69" i="1"/>
  <c r="AE64" i="1"/>
  <c r="AE61" i="1"/>
  <c r="AE70" i="1"/>
  <c r="BN69" i="1" l="1"/>
  <c r="BN63" i="1"/>
  <c r="E73" i="1"/>
  <c r="AY69" i="1"/>
  <c r="AY66" i="1"/>
  <c r="AY64" i="1"/>
  <c r="AY61" i="1"/>
  <c r="BH69" i="1"/>
  <c r="BH66" i="1"/>
  <c r="BH65" i="1"/>
  <c r="BH64" i="1"/>
  <c r="BH61" i="1"/>
  <c r="BW70" i="1"/>
  <c r="BW69" i="1"/>
  <c r="BW65" i="1"/>
  <c r="BW63" i="1"/>
  <c r="BW61" i="1"/>
  <c r="AV70" i="1"/>
  <c r="BK69" i="1"/>
  <c r="BK66" i="1"/>
  <c r="BK63" i="1"/>
  <c r="BK61" i="1"/>
  <c r="AG66" i="1" l="1"/>
  <c r="AG74" i="1"/>
  <c r="AG73" i="1"/>
  <c r="AG69" i="1"/>
  <c r="AG65" i="1"/>
  <c r="AG64" i="1"/>
  <c r="AG63" i="1"/>
  <c r="AG61" i="1"/>
  <c r="AE74" i="1"/>
  <c r="AE59" i="1"/>
  <c r="AC74" i="1"/>
  <c r="AC64" i="1"/>
  <c r="AC63" i="1"/>
  <c r="AC61" i="1"/>
  <c r="AC59" i="1"/>
  <c r="AC66" i="1"/>
  <c r="AB70" i="1"/>
  <c r="AB66" i="1"/>
  <c r="AB64" i="1"/>
  <c r="AB63" i="1"/>
  <c r="Y74" i="1" l="1"/>
  <c r="Y73" i="1"/>
  <c r="Y69" i="1"/>
  <c r="Y66" i="1"/>
  <c r="Y64" i="1"/>
  <c r="Y61" i="1"/>
  <c r="U74" i="1"/>
  <c r="U73" i="1"/>
  <c r="U64" i="1"/>
  <c r="U59" i="1"/>
  <c r="S74" i="1"/>
  <c r="S73" i="1"/>
  <c r="S64" i="1"/>
  <c r="P69" i="1"/>
  <c r="P68" i="1"/>
  <c r="P65" i="1"/>
  <c r="P61" i="1"/>
  <c r="P59" i="1"/>
  <c r="E69" i="1"/>
  <c r="E64" i="1"/>
  <c r="E63" i="1"/>
  <c r="E61" i="1"/>
  <c r="Y59" i="1" l="1"/>
  <c r="R59" i="1"/>
  <c r="C111" i="1"/>
  <c r="D111" i="1"/>
  <c r="D140" i="1" l="1"/>
  <c r="B141" i="1"/>
  <c r="D142" i="1"/>
  <c r="D141" i="1"/>
  <c r="C142" i="1"/>
  <c r="C141" i="1"/>
  <c r="B142" i="1"/>
  <c r="C157" i="1"/>
  <c r="C184" i="1"/>
  <c r="C188" i="1"/>
  <c r="C172" i="1"/>
  <c r="C170" i="1"/>
  <c r="C168" i="1"/>
  <c r="C234" i="1"/>
  <c r="C392" i="1"/>
  <c r="C370" i="1"/>
  <c r="C250" i="1" l="1"/>
  <c r="C253" i="1"/>
  <c r="C203" i="1" l="1"/>
  <c r="C200" i="1" l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D545" i="10"/>
  <c r="B545" i="10"/>
  <c r="E544" i="10"/>
  <c r="D544" i="10"/>
  <c r="B544" i="10"/>
  <c r="F544" i="10" s="1"/>
  <c r="B543" i="10"/>
  <c r="B542" i="10"/>
  <c r="B541" i="10"/>
  <c r="E540" i="10"/>
  <c r="D540" i="10"/>
  <c r="B540" i="10"/>
  <c r="H540" i="10" s="1"/>
  <c r="E539" i="10"/>
  <c r="D539" i="10"/>
  <c r="B539" i="10"/>
  <c r="H539" i="10" s="1"/>
  <c r="H538" i="10"/>
  <c r="E538" i="10"/>
  <c r="D538" i="10"/>
  <c r="B538" i="10"/>
  <c r="F538" i="10" s="1"/>
  <c r="H537" i="10"/>
  <c r="E537" i="10"/>
  <c r="D537" i="10"/>
  <c r="B537" i="10"/>
  <c r="F537" i="10" s="1"/>
  <c r="E536" i="10"/>
  <c r="D536" i="10"/>
  <c r="B536" i="10"/>
  <c r="H536" i="10" s="1"/>
  <c r="E535" i="10"/>
  <c r="D535" i="10"/>
  <c r="B535" i="10"/>
  <c r="H535" i="10" s="1"/>
  <c r="H534" i="10"/>
  <c r="E534" i="10"/>
  <c r="D534" i="10"/>
  <c r="B534" i="10"/>
  <c r="F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F525" i="10"/>
  <c r="E525" i="10"/>
  <c r="D525" i="10"/>
  <c r="B525" i="10"/>
  <c r="H525" i="10" s="1"/>
  <c r="D524" i="10"/>
  <c r="B524" i="10"/>
  <c r="H523" i="10"/>
  <c r="E523" i="10"/>
  <c r="D523" i="10"/>
  <c r="B523" i="10"/>
  <c r="F523" i="10" s="1"/>
  <c r="D522" i="10"/>
  <c r="B522" i="10"/>
  <c r="B521" i="10"/>
  <c r="F521" i="10" s="1"/>
  <c r="E520" i="10"/>
  <c r="D520" i="10"/>
  <c r="B520" i="10"/>
  <c r="F519" i="10"/>
  <c r="E519" i="10"/>
  <c r="D519" i="10"/>
  <c r="B519" i="10"/>
  <c r="H519" i="10" s="1"/>
  <c r="D518" i="10"/>
  <c r="B518" i="10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F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E507" i="10"/>
  <c r="D507" i="10"/>
  <c r="B507" i="10"/>
  <c r="H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3" i="10" s="1"/>
  <c r="H502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H499" i="10" s="1"/>
  <c r="D498" i="10"/>
  <c r="B498" i="10"/>
  <c r="F498" i="10" s="1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4" i="10"/>
  <c r="B440" i="10"/>
  <c r="B439" i="10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A412" i="10"/>
  <c r="C39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B465" i="10" s="1"/>
  <c r="D329" i="10"/>
  <c r="D328" i="10"/>
  <c r="D330" i="10" s="1"/>
  <c r="D319" i="10"/>
  <c r="D314" i="10"/>
  <c r="D290" i="10"/>
  <c r="D283" i="10"/>
  <c r="C272" i="10"/>
  <c r="C270" i="10"/>
  <c r="C269" i="10"/>
  <c r="B470" i="10" s="1"/>
  <c r="D265" i="10"/>
  <c r="C253" i="10"/>
  <c r="D260" i="10" s="1"/>
  <c r="C238" i="10"/>
  <c r="D240" i="10" s="1"/>
  <c r="B447" i="10" s="1"/>
  <c r="D236" i="10"/>
  <c r="B446" i="10" s="1"/>
  <c r="C234" i="10"/>
  <c r="C228" i="10"/>
  <c r="C226" i="10"/>
  <c r="D229" i="10" s="1"/>
  <c r="B445" i="10" s="1"/>
  <c r="D221" i="10"/>
  <c r="B217" i="10"/>
  <c r="E216" i="10"/>
  <c r="E215" i="10"/>
  <c r="E214" i="10"/>
  <c r="D213" i="10"/>
  <c r="C213" i="10"/>
  <c r="C217" i="10" s="1"/>
  <c r="D433" i="10" s="1"/>
  <c r="E212" i="10"/>
  <c r="E211" i="10"/>
  <c r="D210" i="10"/>
  <c r="E210" i="10" s="1"/>
  <c r="E209" i="10"/>
  <c r="C204" i="10"/>
  <c r="B204" i="10"/>
  <c r="E203" i="10"/>
  <c r="C475" i="10" s="1"/>
  <c r="E202" i="10"/>
  <c r="C474" i="10" s="1"/>
  <c r="E201" i="10"/>
  <c r="D200" i="10"/>
  <c r="E200" i="10" s="1"/>
  <c r="C473" i="10" s="1"/>
  <c r="C200" i="10"/>
  <c r="E199" i="10"/>
  <c r="C472" i="10" s="1"/>
  <c r="E198" i="10"/>
  <c r="C471" i="10" s="1"/>
  <c r="C197" i="10"/>
  <c r="E197" i="10" s="1"/>
  <c r="C470" i="10" s="1"/>
  <c r="D196" i="10"/>
  <c r="E196" i="10" s="1"/>
  <c r="C469" i="10" s="1"/>
  <c r="E195" i="10"/>
  <c r="C468" i="10" s="1"/>
  <c r="C188" i="10"/>
  <c r="D190" i="10" s="1"/>
  <c r="D437" i="10" s="1"/>
  <c r="C184" i="10"/>
  <c r="C183" i="10"/>
  <c r="D186" i="10" s="1"/>
  <c r="D436" i="10" s="1"/>
  <c r="D181" i="10"/>
  <c r="D177" i="10"/>
  <c r="C172" i="10"/>
  <c r="C168" i="10"/>
  <c r="D173" i="10" s="1"/>
  <c r="D428" i="10" s="1"/>
  <c r="C157" i="10"/>
  <c r="B157" i="10"/>
  <c r="E154" i="10"/>
  <c r="E153" i="10"/>
  <c r="E152" i="10"/>
  <c r="E151" i="10"/>
  <c r="C421" i="10" s="1"/>
  <c r="E150" i="10"/>
  <c r="C420" i="10" s="1"/>
  <c r="E148" i="10"/>
  <c r="B147" i="10"/>
  <c r="E147" i="10" s="1"/>
  <c r="E146" i="10"/>
  <c r="E145" i="10"/>
  <c r="C418" i="10" s="1"/>
  <c r="E144" i="10"/>
  <c r="C417" i="10" s="1"/>
  <c r="D142" i="10"/>
  <c r="C142" i="10"/>
  <c r="B142" i="10"/>
  <c r="E142" i="10" s="1"/>
  <c r="D141" i="10"/>
  <c r="C141" i="10"/>
  <c r="B141" i="10"/>
  <c r="E140" i="10"/>
  <c r="D140" i="10"/>
  <c r="B139" i="10"/>
  <c r="E139" i="10" s="1"/>
  <c r="C415" i="10" s="1"/>
  <c r="D138" i="10"/>
  <c r="E138" i="10" s="1"/>
  <c r="C414" i="10" s="1"/>
  <c r="E127" i="10"/>
  <c r="D111" i="10"/>
  <c r="B415" i="10" s="1"/>
  <c r="C111" i="10"/>
  <c r="B414" i="10" s="1"/>
  <c r="AG80" i="10"/>
  <c r="P80" i="10"/>
  <c r="O80" i="10"/>
  <c r="E80" i="10"/>
  <c r="C80" i="10"/>
  <c r="CE80" i="10" s="1"/>
  <c r="L612" i="10" s="1"/>
  <c r="CF79" i="10"/>
  <c r="E79" i="10"/>
  <c r="CE79" i="10" s="1"/>
  <c r="J612" i="10" s="1"/>
  <c r="CE78" i="10"/>
  <c r="I612" i="10" s="1"/>
  <c r="AZ77" i="10"/>
  <c r="AG77" i="10"/>
  <c r="P77" i="10"/>
  <c r="O77" i="10"/>
  <c r="E77" i="10"/>
  <c r="C77" i="10"/>
  <c r="CE77" i="10" s="1"/>
  <c r="CC76" i="10"/>
  <c r="P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F75" i="10"/>
  <c r="AD75" i="10"/>
  <c r="AB75" i="10"/>
  <c r="AA75" i="10"/>
  <c r="Z75" i="10"/>
  <c r="X75" i="10"/>
  <c r="W75" i="10"/>
  <c r="V75" i="10"/>
  <c r="T75" i="10"/>
  <c r="R75" i="10"/>
  <c r="Q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AG74" i="10"/>
  <c r="AE74" i="10"/>
  <c r="AE75" i="10" s="1"/>
  <c r="AC74" i="10"/>
  <c r="AC75" i="10" s="1"/>
  <c r="Y74" i="10"/>
  <c r="Y75" i="10" s="1"/>
  <c r="U74" i="10"/>
  <c r="S74" i="10"/>
  <c r="P74" i="10"/>
  <c r="E74" i="10"/>
  <c r="E75" i="10" s="1"/>
  <c r="AG73" i="10"/>
  <c r="Y73" i="10"/>
  <c r="U73" i="10"/>
  <c r="S73" i="10"/>
  <c r="P73" i="10"/>
  <c r="E73" i="10"/>
  <c r="CD70" i="10"/>
  <c r="C615" i="10" s="1"/>
  <c r="BW70" i="10"/>
  <c r="AZ70" i="10"/>
  <c r="AY70" i="10"/>
  <c r="AV70" i="10"/>
  <c r="AE70" i="10"/>
  <c r="AB70" i="10"/>
  <c r="BW69" i="10"/>
  <c r="BR69" i="10"/>
  <c r="BN69" i="10"/>
  <c r="BK69" i="10"/>
  <c r="BH69" i="10"/>
  <c r="AY69" i="10"/>
  <c r="AV69" i="10"/>
  <c r="AG69" i="10"/>
  <c r="AE69" i="10"/>
  <c r="AB69" i="10"/>
  <c r="Y69" i="10"/>
  <c r="P69" i="10"/>
  <c r="E69" i="10"/>
  <c r="P68" i="10"/>
  <c r="CE68" i="10" s="1"/>
  <c r="C434" i="10" s="1"/>
  <c r="BW66" i="10"/>
  <c r="BR66" i="10"/>
  <c r="BK66" i="10"/>
  <c r="BH66" i="10"/>
  <c r="AY66" i="10"/>
  <c r="AG66" i="10"/>
  <c r="AB66" i="10"/>
  <c r="Y66" i="10"/>
  <c r="W66" i="10"/>
  <c r="P66" i="10"/>
  <c r="E66" i="10"/>
  <c r="BW65" i="10"/>
  <c r="BH65" i="10"/>
  <c r="BB65" i="10"/>
  <c r="AG65" i="10"/>
  <c r="AB65" i="10"/>
  <c r="P65" i="10"/>
  <c r="BW64" i="10"/>
  <c r="BK64" i="10"/>
  <c r="BH64" i="10"/>
  <c r="AY64" i="10"/>
  <c r="AV64" i="10"/>
  <c r="AG64" i="10"/>
  <c r="AE64" i="10"/>
  <c r="AC64" i="10"/>
  <c r="AB64" i="10"/>
  <c r="Y64" i="10"/>
  <c r="U64" i="10"/>
  <c r="S64" i="10"/>
  <c r="P64" i="10"/>
  <c r="E64" i="10"/>
  <c r="BW63" i="10"/>
  <c r="BN63" i="10"/>
  <c r="BK63" i="10"/>
  <c r="AC63" i="10"/>
  <c r="AB63" i="10"/>
  <c r="Y63" i="10"/>
  <c r="E63" i="10"/>
  <c r="BW61" i="10"/>
  <c r="BR61" i="10"/>
  <c r="BK61" i="10"/>
  <c r="BH61" i="10"/>
  <c r="BB61" i="10"/>
  <c r="AY61" i="10"/>
  <c r="AV61" i="10"/>
  <c r="AG61" i="10"/>
  <c r="AE61" i="10"/>
  <c r="AC61" i="10"/>
  <c r="Y61" i="10"/>
  <c r="P61" i="10"/>
  <c r="E61" i="10"/>
  <c r="BX60" i="10"/>
  <c r="BW60" i="10"/>
  <c r="BR60" i="10"/>
  <c r="BN60" i="10"/>
  <c r="BK60" i="10"/>
  <c r="BH60" i="10"/>
  <c r="BD60" i="10"/>
  <c r="BB60" i="10"/>
  <c r="AY60" i="10"/>
  <c r="AG60" i="10"/>
  <c r="AE60" i="10"/>
  <c r="AC60" i="10"/>
  <c r="Y60" i="10"/>
  <c r="P60" i="10"/>
  <c r="E60" i="10"/>
  <c r="AZ59" i="10"/>
  <c r="E545" i="10" s="1"/>
  <c r="AE59" i="10"/>
  <c r="E524" i="10" s="1"/>
  <c r="AC59" i="10"/>
  <c r="E522" i="10" s="1"/>
  <c r="Y59" i="10"/>
  <c r="E518" i="10" s="1"/>
  <c r="R59" i="10"/>
  <c r="E511" i="10" s="1"/>
  <c r="E59" i="10"/>
  <c r="E498" i="10" s="1"/>
  <c r="B53" i="10"/>
  <c r="CE51" i="10"/>
  <c r="B49" i="10"/>
  <c r="CE47" i="10"/>
  <c r="H506" i="10" l="1"/>
  <c r="F516" i="10"/>
  <c r="H527" i="10"/>
  <c r="H497" i="10"/>
  <c r="F526" i="10"/>
  <c r="H530" i="10"/>
  <c r="F545" i="10"/>
  <c r="F496" i="10"/>
  <c r="F515" i="10"/>
  <c r="F518" i="10"/>
  <c r="F524" i="10"/>
  <c r="F529" i="10"/>
  <c r="CD71" i="10"/>
  <c r="C575" i="10" s="1"/>
  <c r="P75" i="10"/>
  <c r="CE66" i="10"/>
  <c r="C432" i="10" s="1"/>
  <c r="CE73" i="10"/>
  <c r="C463" i="10" s="1"/>
  <c r="D464" i="10"/>
  <c r="CE60" i="10"/>
  <c r="H612" i="10" s="1"/>
  <c r="C439" i="10"/>
  <c r="CE64" i="10"/>
  <c r="F612" i="10" s="1"/>
  <c r="CE69" i="10"/>
  <c r="C440" i="10" s="1"/>
  <c r="D415" i="10"/>
  <c r="CE65" i="10"/>
  <c r="C431" i="10" s="1"/>
  <c r="U75" i="10"/>
  <c r="D204" i="10"/>
  <c r="AG75" i="10"/>
  <c r="CE76" i="10"/>
  <c r="BP52" i="10" s="1"/>
  <c r="BP67" i="10" s="1"/>
  <c r="H505" i="10"/>
  <c r="F507" i="10"/>
  <c r="F514" i="10"/>
  <c r="H533" i="10"/>
  <c r="H501" i="10"/>
  <c r="F503" i="10"/>
  <c r="F508" i="10"/>
  <c r="F522" i="10"/>
  <c r="H510" i="10"/>
  <c r="F546" i="10"/>
  <c r="F520" i="10"/>
  <c r="CE61" i="10"/>
  <c r="CE74" i="10"/>
  <c r="C464" i="10" s="1"/>
  <c r="D612" i="10"/>
  <c r="CF76" i="10"/>
  <c r="BG52" i="10" s="1"/>
  <c r="BG67" i="10" s="1"/>
  <c r="D435" i="10"/>
  <c r="D438" i="10"/>
  <c r="E213" i="10"/>
  <c r="E217" i="10" s="1"/>
  <c r="C478" i="10" s="1"/>
  <c r="H513" i="10"/>
  <c r="CE63" i="10"/>
  <c r="C429" i="10" s="1"/>
  <c r="CE70" i="10"/>
  <c r="D217" i="10"/>
  <c r="D339" i="10"/>
  <c r="C482" i="10" s="1"/>
  <c r="F517" i="10"/>
  <c r="F550" i="10"/>
  <c r="CF77" i="10"/>
  <c r="G612" i="10"/>
  <c r="E141" i="10"/>
  <c r="D463" i="10" s="1"/>
  <c r="D465" i="10" s="1"/>
  <c r="D242" i="10"/>
  <c r="B448" i="10" s="1"/>
  <c r="F499" i="10"/>
  <c r="F509" i="10"/>
  <c r="S75" i="10"/>
  <c r="CE75" i="10" s="1"/>
  <c r="D275" i="10"/>
  <c r="H500" i="10"/>
  <c r="H504" i="10"/>
  <c r="F512" i="10"/>
  <c r="F528" i="10"/>
  <c r="F531" i="10"/>
  <c r="F535" i="10"/>
  <c r="F539" i="10"/>
  <c r="E204" i="10"/>
  <c r="C476" i="10" s="1"/>
  <c r="F532" i="10"/>
  <c r="F536" i="10"/>
  <c r="F540" i="10"/>
  <c r="AA52" i="10" l="1"/>
  <c r="AA67" i="10" s="1"/>
  <c r="AQ52" i="10"/>
  <c r="AQ67" i="10" s="1"/>
  <c r="BW52" i="10"/>
  <c r="BW67" i="10" s="1"/>
  <c r="C430" i="10"/>
  <c r="AJ52" i="10"/>
  <c r="AJ67" i="10" s="1"/>
  <c r="AZ52" i="10"/>
  <c r="AZ67" i="10" s="1"/>
  <c r="K612" i="10"/>
  <c r="C465" i="10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V52" i="10"/>
  <c r="BV67" i="10" s="1"/>
  <c r="BF52" i="10"/>
  <c r="BF67" i="10" s="1"/>
  <c r="Z52" i="10"/>
  <c r="Z67" i="10" s="1"/>
  <c r="R52" i="10"/>
  <c r="R67" i="10" s="1"/>
  <c r="J52" i="10"/>
  <c r="J67" i="10" s="1"/>
  <c r="BU52" i="10"/>
  <c r="BU67" i="10" s="1"/>
  <c r="BE52" i="10"/>
  <c r="BE67" i="10" s="1"/>
  <c r="AO52" i="10"/>
  <c r="AO67" i="10" s="1"/>
  <c r="Y52" i="10"/>
  <c r="Y67" i="10" s="1"/>
  <c r="Q52" i="10"/>
  <c r="Q67" i="10" s="1"/>
  <c r="I52" i="10"/>
  <c r="I67" i="10" s="1"/>
  <c r="BN52" i="10"/>
  <c r="BN67" i="10" s="1"/>
  <c r="AX52" i="10"/>
  <c r="AX67" i="10" s="1"/>
  <c r="AP52" i="10"/>
  <c r="AP67" i="10" s="1"/>
  <c r="AH52" i="10"/>
  <c r="AH67" i="10" s="1"/>
  <c r="V52" i="10"/>
  <c r="V67" i="10" s="1"/>
  <c r="N52" i="10"/>
  <c r="N67" i="10" s="1"/>
  <c r="F52" i="10"/>
  <c r="F67" i="10" s="1"/>
  <c r="CC52" i="10"/>
  <c r="CC67" i="10" s="1"/>
  <c r="BM52" i="10"/>
  <c r="BM67" i="10" s="1"/>
  <c r="AW52" i="10"/>
  <c r="AW67" i="10" s="1"/>
  <c r="AG52" i="10"/>
  <c r="AG67" i="10" s="1"/>
  <c r="U52" i="10"/>
  <c r="U67" i="10" s="1"/>
  <c r="M52" i="10"/>
  <c r="M67" i="10" s="1"/>
  <c r="E52" i="10"/>
  <c r="E67" i="10" s="1"/>
  <c r="B476" i="10"/>
  <c r="D277" i="10"/>
  <c r="D292" i="10" s="1"/>
  <c r="D341" i="10" s="1"/>
  <c r="C481" i="10" s="1"/>
  <c r="C458" i="10"/>
  <c r="AE52" i="10"/>
  <c r="AE67" i="10" s="1"/>
  <c r="BK52" i="10"/>
  <c r="BK67" i="10" s="1"/>
  <c r="AN52" i="10"/>
  <c r="AN67" i="10" s="1"/>
  <c r="BD52" i="10"/>
  <c r="BD67" i="10" s="1"/>
  <c r="AI52" i="10"/>
  <c r="AI67" i="10" s="1"/>
  <c r="AY52" i="10"/>
  <c r="AY67" i="10" s="1"/>
  <c r="BO52" i="10"/>
  <c r="BO67" i="10" s="1"/>
  <c r="AB52" i="10"/>
  <c r="AB67" i="10" s="1"/>
  <c r="AR52" i="10"/>
  <c r="AR67" i="10" s="1"/>
  <c r="BH52" i="10"/>
  <c r="BH67" i="10" s="1"/>
  <c r="BX52" i="10"/>
  <c r="BX67" i="10" s="1"/>
  <c r="AM52" i="10"/>
  <c r="AM67" i="10" s="1"/>
  <c r="BC52" i="10"/>
  <c r="BC67" i="10" s="1"/>
  <c r="BS52" i="10"/>
  <c r="BS67" i="10" s="1"/>
  <c r="AF52" i="10"/>
  <c r="AF67" i="10" s="1"/>
  <c r="AV52" i="10"/>
  <c r="AV67" i="10" s="1"/>
  <c r="BL52" i="10"/>
  <c r="BL67" i="10" s="1"/>
  <c r="CB52" i="10"/>
  <c r="CB67" i="10" s="1"/>
  <c r="AU52" i="10"/>
  <c r="AU67" i="10" s="1"/>
  <c r="CA52" i="10"/>
  <c r="CA67" i="10" s="1"/>
  <c r="BT52" i="10"/>
  <c r="BT67" i="10" s="1"/>
  <c r="C427" i="10"/>
  <c r="BZ48" i="10"/>
  <c r="BZ62" i="10" s="1"/>
  <c r="BZ71" i="10" s="1"/>
  <c r="BV48" i="10"/>
  <c r="BV62" i="10" s="1"/>
  <c r="BV71" i="10" s="1"/>
  <c r="BR48" i="10"/>
  <c r="BR62" i="10" s="1"/>
  <c r="BN48" i="10"/>
  <c r="BN62" i="10" s="1"/>
  <c r="BJ48" i="10"/>
  <c r="BJ62" i="10" s="1"/>
  <c r="BJ71" i="10" s="1"/>
  <c r="BF48" i="10"/>
  <c r="BF62" i="10" s="1"/>
  <c r="BF71" i="10" s="1"/>
  <c r="BB48" i="10"/>
  <c r="BB62" i="10" s="1"/>
  <c r="BB71" i="10" s="1"/>
  <c r="AX48" i="10"/>
  <c r="AX62" i="10" s="1"/>
  <c r="AX71" i="10" s="1"/>
  <c r="AT48" i="10"/>
  <c r="AT62" i="10" s="1"/>
  <c r="AT71" i="10" s="1"/>
  <c r="AP48" i="10"/>
  <c r="AP62" i="10" s="1"/>
  <c r="AL48" i="10"/>
  <c r="AL62" i="10" s="1"/>
  <c r="AH48" i="10"/>
  <c r="AH62" i="10" s="1"/>
  <c r="AH71" i="10" s="1"/>
  <c r="AD48" i="10"/>
  <c r="AD62" i="10" s="1"/>
  <c r="AD71" i="10" s="1"/>
  <c r="CC48" i="10"/>
  <c r="CC62" i="10" s="1"/>
  <c r="CC71" i="10" s="1"/>
  <c r="BY48" i="10"/>
  <c r="BY62" i="10" s="1"/>
  <c r="BU48" i="10"/>
  <c r="BU62" i="10" s="1"/>
  <c r="BQ48" i="10"/>
  <c r="BQ62" i="10" s="1"/>
  <c r="BQ71" i="10" s="1"/>
  <c r="BM48" i="10"/>
  <c r="BM62" i="10" s="1"/>
  <c r="BI48" i="10"/>
  <c r="BI62" i="10" s="1"/>
  <c r="BE48" i="10"/>
  <c r="BE62" i="10" s="1"/>
  <c r="BE71" i="10" s="1"/>
  <c r="BA48" i="10"/>
  <c r="BA62" i="10" s="1"/>
  <c r="BA71" i="10" s="1"/>
  <c r="AW48" i="10"/>
  <c r="AW62" i="10" s="1"/>
  <c r="AW71" i="10" s="1"/>
  <c r="AS48" i="10"/>
  <c r="AS62" i="10" s="1"/>
  <c r="AO48" i="10"/>
  <c r="AO62" i="10" s="1"/>
  <c r="AK48" i="10"/>
  <c r="AK62" i="10" s="1"/>
  <c r="AK71" i="10" s="1"/>
  <c r="AG48" i="10"/>
  <c r="AG62" i="10" s="1"/>
  <c r="AC48" i="10"/>
  <c r="AC62" i="10" s="1"/>
  <c r="AC71" i="10" s="1"/>
  <c r="Y48" i="10"/>
  <c r="Y62" i="10" s="1"/>
  <c r="Y71" i="10" s="1"/>
  <c r="U48" i="10"/>
  <c r="U62" i="10" s="1"/>
  <c r="U71" i="10" s="1"/>
  <c r="Q48" i="10"/>
  <c r="Q62" i="10" s="1"/>
  <c r="Q71" i="10" s="1"/>
  <c r="M48" i="10"/>
  <c r="M62" i="10" s="1"/>
  <c r="I48" i="10"/>
  <c r="I62" i="10" s="1"/>
  <c r="I71" i="10" s="1"/>
  <c r="E48" i="10"/>
  <c r="E62" i="10" s="1"/>
  <c r="E71" i="10" s="1"/>
  <c r="BP48" i="10"/>
  <c r="BP62" i="10" s="1"/>
  <c r="BP71" i="10" s="1"/>
  <c r="BH48" i="10"/>
  <c r="BH62" i="10" s="1"/>
  <c r="AZ48" i="10"/>
  <c r="AZ62" i="10" s="1"/>
  <c r="AZ71" i="10" s="1"/>
  <c r="AR48" i="10"/>
  <c r="AR62" i="10" s="1"/>
  <c r="AR71" i="10" s="1"/>
  <c r="AJ48" i="10"/>
  <c r="AJ62" i="10" s="1"/>
  <c r="AJ71" i="10" s="1"/>
  <c r="AB48" i="10"/>
  <c r="AB62" i="10" s="1"/>
  <c r="AB71" i="10" s="1"/>
  <c r="T48" i="10"/>
  <c r="T62" i="10" s="1"/>
  <c r="T71" i="10" s="1"/>
  <c r="L48" i="10"/>
  <c r="L62" i="10" s="1"/>
  <c r="L71" i="10" s="1"/>
  <c r="BK48" i="10"/>
  <c r="BK62" i="10" s="1"/>
  <c r="BC48" i="10"/>
  <c r="BC62" i="10" s="1"/>
  <c r="BC71" i="10" s="1"/>
  <c r="AU48" i="10"/>
  <c r="AU62" i="10" s="1"/>
  <c r="AM48" i="10"/>
  <c r="AM62" i="10" s="1"/>
  <c r="AM71" i="10" s="1"/>
  <c r="AE48" i="10"/>
  <c r="AE62" i="10" s="1"/>
  <c r="AE71" i="10" s="1"/>
  <c r="W48" i="10"/>
  <c r="W62" i="10" s="1"/>
  <c r="W71" i="10" s="1"/>
  <c r="O48" i="10"/>
  <c r="O62" i="10" s="1"/>
  <c r="O71" i="10" s="1"/>
  <c r="G48" i="10"/>
  <c r="G62" i="10" s="1"/>
  <c r="G71" i="10" s="1"/>
  <c r="Z48" i="10"/>
  <c r="Z62" i="10" s="1"/>
  <c r="Z71" i="10" s="1"/>
  <c r="R48" i="10"/>
  <c r="R62" i="10" s="1"/>
  <c r="J48" i="10"/>
  <c r="J62" i="10" s="1"/>
  <c r="J71" i="10" s="1"/>
  <c r="CB48" i="10"/>
  <c r="CB62" i="10" s="1"/>
  <c r="BX48" i="10"/>
  <c r="BX62" i="10" s="1"/>
  <c r="BT48" i="10"/>
  <c r="BT62" i="10" s="1"/>
  <c r="BT71" i="10" s="1"/>
  <c r="BL48" i="10"/>
  <c r="BL62" i="10" s="1"/>
  <c r="BL71" i="10" s="1"/>
  <c r="BD48" i="10"/>
  <c r="BD62" i="10" s="1"/>
  <c r="BD71" i="10" s="1"/>
  <c r="AV48" i="10"/>
  <c r="AV62" i="10" s="1"/>
  <c r="AV71" i="10" s="1"/>
  <c r="AN48" i="10"/>
  <c r="AN62" i="10" s="1"/>
  <c r="AF48" i="10"/>
  <c r="AF62" i="10" s="1"/>
  <c r="X48" i="10"/>
  <c r="X62" i="10" s="1"/>
  <c r="P48" i="10"/>
  <c r="P62" i="10" s="1"/>
  <c r="H48" i="10"/>
  <c r="H62" i="10" s="1"/>
  <c r="H71" i="10" s="1"/>
  <c r="D48" i="10"/>
  <c r="D62" i="10" s="1"/>
  <c r="D71" i="10" s="1"/>
  <c r="CA48" i="10"/>
  <c r="CA62" i="10" s="1"/>
  <c r="CA71" i="10" s="1"/>
  <c r="BW48" i="10"/>
  <c r="BW62" i="10" s="1"/>
  <c r="BW71" i="10" s="1"/>
  <c r="BS48" i="10"/>
  <c r="BS62" i="10" s="1"/>
  <c r="BS71" i="10" s="1"/>
  <c r="BO48" i="10"/>
  <c r="BO62" i="10" s="1"/>
  <c r="BG48" i="10"/>
  <c r="BG62" i="10" s="1"/>
  <c r="BG71" i="10" s="1"/>
  <c r="AY48" i="10"/>
  <c r="AY62" i="10" s="1"/>
  <c r="AY71" i="10" s="1"/>
  <c r="AQ48" i="10"/>
  <c r="AQ62" i="10" s="1"/>
  <c r="AQ71" i="10" s="1"/>
  <c r="AI48" i="10"/>
  <c r="AI62" i="10" s="1"/>
  <c r="AI71" i="10" s="1"/>
  <c r="AA48" i="10"/>
  <c r="AA62" i="10" s="1"/>
  <c r="AA71" i="10" s="1"/>
  <c r="S48" i="10"/>
  <c r="S62" i="10" s="1"/>
  <c r="K48" i="10"/>
  <c r="K62" i="10" s="1"/>
  <c r="C48" i="10"/>
  <c r="V48" i="10"/>
  <c r="V62" i="10" s="1"/>
  <c r="V71" i="10" s="1"/>
  <c r="N48" i="10"/>
  <c r="N62" i="10" s="1"/>
  <c r="N71" i="10" s="1"/>
  <c r="F48" i="10"/>
  <c r="F62" i="10" s="1"/>
  <c r="F71" i="10" s="1"/>
  <c r="K71" i="10" l="1"/>
  <c r="BH71" i="10"/>
  <c r="BI71" i="10"/>
  <c r="BK71" i="10"/>
  <c r="AG71" i="10"/>
  <c r="AP71" i="10"/>
  <c r="BU71" i="10"/>
  <c r="X71" i="10"/>
  <c r="C689" i="10" s="1"/>
  <c r="CB71" i="10"/>
  <c r="C687" i="10"/>
  <c r="C515" i="10"/>
  <c r="C549" i="10"/>
  <c r="C624" i="10"/>
  <c r="C704" i="10"/>
  <c r="C532" i="10"/>
  <c r="G532" i="10" s="1"/>
  <c r="C709" i="10"/>
  <c r="C537" i="10"/>
  <c r="G537" i="10" s="1"/>
  <c r="C630" i="10"/>
  <c r="C546" i="10"/>
  <c r="C711" i="10"/>
  <c r="C539" i="10"/>
  <c r="G539" i="10" s="1"/>
  <c r="C67" i="10"/>
  <c r="CE67" i="10" s="1"/>
  <c r="C433" i="10" s="1"/>
  <c r="CE52" i="10"/>
  <c r="C62" i="10"/>
  <c r="CE48" i="10"/>
  <c r="BO71" i="10"/>
  <c r="C669" i="10"/>
  <c r="C497" i="10"/>
  <c r="G497" i="10" s="1"/>
  <c r="AF71" i="10"/>
  <c r="C637" i="10"/>
  <c r="C557" i="10"/>
  <c r="C675" i="10"/>
  <c r="C503" i="10"/>
  <c r="G503" i="10" s="1"/>
  <c r="C680" i="10"/>
  <c r="C508" i="10"/>
  <c r="AU71" i="10"/>
  <c r="C685" i="10"/>
  <c r="C513" i="10"/>
  <c r="G513" i="10" s="1"/>
  <c r="C628" i="10"/>
  <c r="C545" i="10"/>
  <c r="C674" i="10"/>
  <c r="C502" i="10"/>
  <c r="G502" i="10" s="1"/>
  <c r="C690" i="10"/>
  <c r="C518" i="10"/>
  <c r="AO71" i="10"/>
  <c r="C614" i="10"/>
  <c r="C550" i="10"/>
  <c r="C641" i="10"/>
  <c r="C566" i="10"/>
  <c r="C699" i="10"/>
  <c r="C527" i="10"/>
  <c r="G527" i="10" s="1"/>
  <c r="C616" i="10"/>
  <c r="C543" i="10"/>
  <c r="BN71" i="10"/>
  <c r="C692" i="10"/>
  <c r="C520" i="10"/>
  <c r="C672" i="10"/>
  <c r="C500" i="10"/>
  <c r="G500" i="10" s="1"/>
  <c r="C498" i="10"/>
  <c r="C670" i="10"/>
  <c r="C702" i="10"/>
  <c r="C530" i="10"/>
  <c r="G530" i="10" s="1"/>
  <c r="C695" i="10"/>
  <c r="C523" i="10"/>
  <c r="G523" i="10" s="1"/>
  <c r="C646" i="10"/>
  <c r="C571" i="10"/>
  <c r="C700" i="10"/>
  <c r="C528" i="10"/>
  <c r="G528" i="10" s="1"/>
  <c r="C671" i="10"/>
  <c r="C499" i="10"/>
  <c r="G499" i="10" s="1"/>
  <c r="C676" i="10"/>
  <c r="C504" i="10"/>
  <c r="G504" i="10" s="1"/>
  <c r="C708" i="10"/>
  <c r="C536" i="10"/>
  <c r="G536" i="10" s="1"/>
  <c r="C639" i="10"/>
  <c r="C564" i="10"/>
  <c r="C673" i="10"/>
  <c r="C501" i="10"/>
  <c r="G501" i="10" s="1"/>
  <c r="AN71" i="10"/>
  <c r="C640" i="10"/>
  <c r="C565" i="10"/>
  <c r="R71" i="10"/>
  <c r="C688" i="10"/>
  <c r="C516" i="10"/>
  <c r="C633" i="10"/>
  <c r="C548" i="10"/>
  <c r="C693" i="10"/>
  <c r="C521" i="10"/>
  <c r="C636" i="10"/>
  <c r="C553" i="10"/>
  <c r="M71" i="10"/>
  <c r="C694" i="10"/>
  <c r="C522" i="10"/>
  <c r="AS71" i="10"/>
  <c r="C634" i="10"/>
  <c r="C554" i="10"/>
  <c r="BY71" i="10"/>
  <c r="AL71" i="10"/>
  <c r="C547" i="10"/>
  <c r="C632" i="10"/>
  <c r="BR71" i="10"/>
  <c r="C552" i="10"/>
  <c r="C618" i="10"/>
  <c r="C572" i="10"/>
  <c r="C647" i="10"/>
  <c r="C622" i="10"/>
  <c r="C573" i="10"/>
  <c r="C677" i="10"/>
  <c r="C505" i="10"/>
  <c r="G505" i="10" s="1"/>
  <c r="C686" i="10"/>
  <c r="C514" i="10"/>
  <c r="C623" i="10"/>
  <c r="C562" i="10"/>
  <c r="C617" i="10"/>
  <c r="C555" i="10"/>
  <c r="C679" i="10"/>
  <c r="C507" i="10"/>
  <c r="G507" i="10" s="1"/>
  <c r="S71" i="10"/>
  <c r="C625" i="10"/>
  <c r="C544" i="10"/>
  <c r="C643" i="10"/>
  <c r="C568" i="10"/>
  <c r="P71" i="10"/>
  <c r="C713" i="10"/>
  <c r="C541" i="10"/>
  <c r="BX71" i="10"/>
  <c r="C691" i="10"/>
  <c r="C519" i="10"/>
  <c r="G519" i="10" s="1"/>
  <c r="C696" i="10"/>
  <c r="C524" i="10"/>
  <c r="C635" i="10"/>
  <c r="C556" i="10"/>
  <c r="C701" i="10"/>
  <c r="C529" i="10"/>
  <c r="C621" i="10"/>
  <c r="C561" i="10"/>
  <c r="C682" i="10"/>
  <c r="C510" i="10"/>
  <c r="G510" i="10" s="1"/>
  <c r="C698" i="10"/>
  <c r="C526" i="10"/>
  <c r="C631" i="10"/>
  <c r="C542" i="10"/>
  <c r="BM71" i="10"/>
  <c r="C574" i="10"/>
  <c r="C620" i="10"/>
  <c r="C707" i="10"/>
  <c r="C535" i="10"/>
  <c r="G535" i="10" s="1"/>
  <c r="C629" i="10"/>
  <c r="C551" i="10"/>
  <c r="C642" i="10"/>
  <c r="C567" i="10"/>
  <c r="C517" i="10" l="1"/>
  <c r="C644" i="10"/>
  <c r="C569" i="10"/>
  <c r="C703" i="10"/>
  <c r="C531" i="10"/>
  <c r="G531" i="10" s="1"/>
  <c r="C706" i="10"/>
  <c r="C534" i="10"/>
  <c r="G534" i="10" s="1"/>
  <c r="C697" i="10"/>
  <c r="C525" i="10"/>
  <c r="G525" i="10" s="1"/>
  <c r="C626" i="10"/>
  <c r="C563" i="10"/>
  <c r="C570" i="10"/>
  <c r="C645" i="10"/>
  <c r="G522" i="10"/>
  <c r="H522" i="10" s="1"/>
  <c r="G518" i="10"/>
  <c r="H518" i="10" s="1"/>
  <c r="G545" i="10"/>
  <c r="H545" i="10" s="1"/>
  <c r="C712" i="10"/>
  <c r="C540" i="10"/>
  <c r="G540" i="10" s="1"/>
  <c r="CE62" i="10"/>
  <c r="C71" i="10"/>
  <c r="C684" i="10"/>
  <c r="C512" i="10"/>
  <c r="C683" i="10"/>
  <c r="C511" i="10"/>
  <c r="G526" i="10"/>
  <c r="H526" i="10" s="1"/>
  <c r="G544" i="10"/>
  <c r="H544" i="10"/>
  <c r="G521" i="10"/>
  <c r="H521" i="10"/>
  <c r="G516" i="10"/>
  <c r="H516" i="10" s="1"/>
  <c r="G517" i="10"/>
  <c r="H517" i="10" s="1"/>
  <c r="G550" i="10"/>
  <c r="H550" i="10" s="1"/>
  <c r="G508" i="10"/>
  <c r="H508" i="10" s="1"/>
  <c r="H546" i="10"/>
  <c r="G546" i="10"/>
  <c r="G515" i="10"/>
  <c r="H515" i="10" s="1"/>
  <c r="G529" i="10"/>
  <c r="H529" i="10" s="1"/>
  <c r="H524" i="10"/>
  <c r="G524" i="10"/>
  <c r="C710" i="10"/>
  <c r="C538" i="10"/>
  <c r="G538" i="10" s="1"/>
  <c r="G520" i="10"/>
  <c r="H520" i="10" s="1"/>
  <c r="C638" i="10"/>
  <c r="C558" i="10"/>
  <c r="C681" i="10"/>
  <c r="C509" i="10"/>
  <c r="G514" i="10"/>
  <c r="H514" i="10" s="1"/>
  <c r="C678" i="10"/>
  <c r="C506" i="10"/>
  <c r="G506" i="10" s="1"/>
  <c r="C705" i="10"/>
  <c r="C533" i="10"/>
  <c r="G533" i="10" s="1"/>
  <c r="G498" i="10"/>
  <c r="H498" i="10" s="1"/>
  <c r="C619" i="10"/>
  <c r="C559" i="10"/>
  <c r="D615" i="10"/>
  <c r="C560" i="10"/>
  <c r="C627" i="10"/>
  <c r="D710" i="10" l="1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6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82" i="10"/>
  <c r="D674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7" i="10"/>
  <c r="D679" i="10"/>
  <c r="D671" i="10"/>
  <c r="D628" i="10"/>
  <c r="D622" i="10"/>
  <c r="D620" i="10"/>
  <c r="D618" i="10"/>
  <c r="D616" i="10"/>
  <c r="D693" i="10"/>
  <c r="D678" i="10"/>
  <c r="D670" i="10"/>
  <c r="D647" i="10"/>
  <c r="D646" i="10"/>
  <c r="D645" i="10"/>
  <c r="D627" i="10"/>
  <c r="D713" i="10"/>
  <c r="D675" i="10"/>
  <c r="D642" i="10"/>
  <c r="D629" i="10"/>
  <c r="D626" i="10"/>
  <c r="D621" i="10"/>
  <c r="D683" i="10"/>
  <c r="D641" i="10"/>
  <c r="D619" i="10"/>
  <c r="D644" i="10"/>
  <c r="D617" i="10"/>
  <c r="D643" i="10"/>
  <c r="D623" i="10"/>
  <c r="C648" i="10"/>
  <c r="M716" i="10" s="1"/>
  <c r="G511" i="10"/>
  <c r="H511" i="10"/>
  <c r="C668" i="10"/>
  <c r="C715" i="10" s="1"/>
  <c r="C496" i="10"/>
  <c r="G512" i="10"/>
  <c r="H512" i="10"/>
  <c r="G509" i="10"/>
  <c r="H509" i="10"/>
  <c r="C428" i="10"/>
  <c r="C441" i="10" s="1"/>
  <c r="CE71" i="10"/>
  <c r="C716" i="10" s="1"/>
  <c r="D715" i="10" l="1"/>
  <c r="E623" i="10"/>
  <c r="E612" i="10"/>
  <c r="G496" i="10"/>
  <c r="H496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1" i="10"/>
  <c r="E677" i="10"/>
  <c r="E673" i="10"/>
  <c r="E669" i="10"/>
  <c r="E702" i="10"/>
  <c r="E682" i="10"/>
  <c r="E678" i="10"/>
  <c r="E674" i="10"/>
  <c r="E670" i="10"/>
  <c r="E647" i="10"/>
  <c r="E646" i="10"/>
  <c r="E645" i="10"/>
  <c r="E706" i="10"/>
  <c r="E679" i="10"/>
  <c r="E671" i="10"/>
  <c r="E628" i="10"/>
  <c r="E694" i="10"/>
  <c r="E686" i="10"/>
  <c r="E684" i="10"/>
  <c r="E676" i="10"/>
  <c r="E668" i="10"/>
  <c r="E627" i="10"/>
  <c r="E690" i="10"/>
  <c r="E683" i="10"/>
  <c r="E675" i="10"/>
  <c r="E644" i="10"/>
  <c r="E643" i="10"/>
  <c r="E642" i="10"/>
  <c r="E641" i="10"/>
  <c r="E629" i="10"/>
  <c r="E626" i="10"/>
  <c r="E672" i="10"/>
  <c r="E639" i="10"/>
  <c r="E637" i="10"/>
  <c r="E635" i="10"/>
  <c r="E633" i="10"/>
  <c r="E631" i="10"/>
  <c r="E710" i="10"/>
  <c r="E680" i="10"/>
  <c r="E625" i="10"/>
  <c r="E640" i="10"/>
  <c r="E638" i="10"/>
  <c r="E636" i="10"/>
  <c r="E634" i="10"/>
  <c r="E632" i="10"/>
  <c r="E630" i="10"/>
  <c r="E624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2" i="10"/>
  <c r="F678" i="10"/>
  <c r="F674" i="10"/>
  <c r="F670" i="10"/>
  <c r="F647" i="10"/>
  <c r="F646" i="10"/>
  <c r="F645" i="10"/>
  <c r="F716" i="10"/>
  <c r="F699" i="10"/>
  <c r="F683" i="10"/>
  <c r="F679" i="10"/>
  <c r="F675" i="10"/>
  <c r="F671" i="10"/>
  <c r="F644" i="10"/>
  <c r="F643" i="10"/>
  <c r="F642" i="10"/>
  <c r="F641" i="10"/>
  <c r="F640" i="10"/>
  <c r="F703" i="10"/>
  <c r="F684" i="10"/>
  <c r="F676" i="10"/>
  <c r="F668" i="10"/>
  <c r="F627" i="10"/>
  <c r="F691" i="10"/>
  <c r="F681" i="10"/>
  <c r="F673" i="10"/>
  <c r="F629" i="10"/>
  <c r="F626" i="10"/>
  <c r="F687" i="10"/>
  <c r="F680" i="10"/>
  <c r="F672" i="10"/>
  <c r="F639" i="10"/>
  <c r="F638" i="10"/>
  <c r="F637" i="10"/>
  <c r="F636" i="10"/>
  <c r="F635" i="10"/>
  <c r="F634" i="10"/>
  <c r="F633" i="10"/>
  <c r="F632" i="10"/>
  <c r="F631" i="10"/>
  <c r="F630" i="10"/>
  <c r="F625" i="10"/>
  <c r="F669" i="10"/>
  <c r="F677" i="10"/>
  <c r="F628" i="10"/>
  <c r="F707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3" i="10"/>
  <c r="G679" i="10"/>
  <c r="G675" i="10"/>
  <c r="G671" i="10"/>
  <c r="G644" i="10"/>
  <c r="G643" i="10"/>
  <c r="G642" i="10"/>
  <c r="G641" i="10"/>
  <c r="G712" i="10"/>
  <c r="G696" i="10"/>
  <c r="G684" i="10"/>
  <c r="G680" i="10"/>
  <c r="G676" i="10"/>
  <c r="G672" i="10"/>
  <c r="G668" i="10"/>
  <c r="G700" i="10"/>
  <c r="G681" i="10"/>
  <c r="G673" i="10"/>
  <c r="G629" i="10"/>
  <c r="G626" i="10"/>
  <c r="G688" i="10"/>
  <c r="G678" i="10"/>
  <c r="G670" i="10"/>
  <c r="G647" i="10"/>
  <c r="G646" i="10"/>
  <c r="G645" i="10"/>
  <c r="G639" i="10"/>
  <c r="G638" i="10"/>
  <c r="G637" i="10"/>
  <c r="G636" i="10"/>
  <c r="G635" i="10"/>
  <c r="G634" i="10"/>
  <c r="G633" i="10"/>
  <c r="G632" i="10"/>
  <c r="G631" i="10"/>
  <c r="G630" i="10"/>
  <c r="G677" i="10"/>
  <c r="G669" i="10"/>
  <c r="G640" i="10"/>
  <c r="G628" i="10"/>
  <c r="G674" i="10"/>
  <c r="G682" i="10"/>
  <c r="G627" i="10"/>
  <c r="G704" i="10"/>
  <c r="H628" i="10" l="1"/>
  <c r="G715" i="10"/>
  <c r="H710" i="10" l="1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09" i="10"/>
  <c r="H693" i="10"/>
  <c r="H681" i="10"/>
  <c r="H677" i="10"/>
  <c r="H673" i="10"/>
  <c r="H669" i="10"/>
  <c r="H697" i="10"/>
  <c r="H686" i="10"/>
  <c r="H678" i="10"/>
  <c r="H670" i="10"/>
  <c r="H647" i="10"/>
  <c r="H646" i="10"/>
  <c r="H645" i="10"/>
  <c r="H639" i="10"/>
  <c r="H638" i="10"/>
  <c r="H637" i="10"/>
  <c r="H636" i="10"/>
  <c r="H635" i="10"/>
  <c r="H634" i="10"/>
  <c r="H633" i="10"/>
  <c r="H632" i="10"/>
  <c r="H631" i="10"/>
  <c r="H630" i="10"/>
  <c r="H683" i="10"/>
  <c r="H675" i="10"/>
  <c r="H644" i="10"/>
  <c r="H643" i="10"/>
  <c r="H642" i="10"/>
  <c r="H641" i="10"/>
  <c r="H640" i="10"/>
  <c r="H713" i="10"/>
  <c r="H682" i="10"/>
  <c r="H674" i="10"/>
  <c r="H701" i="10"/>
  <c r="H671" i="10"/>
  <c r="H685" i="10"/>
  <c r="H679" i="10"/>
  <c r="H629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1" i="10"/>
  <c r="I677" i="10"/>
  <c r="I673" i="10"/>
  <c r="I669" i="10"/>
  <c r="I706" i="10"/>
  <c r="I690" i="10"/>
  <c r="I686" i="10"/>
  <c r="I682" i="10"/>
  <c r="I678" i="10"/>
  <c r="I674" i="10"/>
  <c r="I670" i="10"/>
  <c r="I647" i="10"/>
  <c r="I646" i="10"/>
  <c r="I645" i="10"/>
  <c r="I694" i="10"/>
  <c r="I683" i="10"/>
  <c r="I675" i="10"/>
  <c r="I644" i="10"/>
  <c r="I643" i="10"/>
  <c r="I642" i="10"/>
  <c r="I641" i="10"/>
  <c r="I640" i="10"/>
  <c r="I680" i="10"/>
  <c r="I672" i="10"/>
  <c r="I710" i="10"/>
  <c r="I679" i="10"/>
  <c r="I671" i="10"/>
  <c r="I698" i="10"/>
  <c r="I668" i="10"/>
  <c r="I638" i="10"/>
  <c r="I636" i="10"/>
  <c r="I634" i="10"/>
  <c r="I632" i="10"/>
  <c r="I630" i="10"/>
  <c r="I676" i="10"/>
  <c r="I635" i="10"/>
  <c r="I633" i="10"/>
  <c r="I684" i="10"/>
  <c r="I639" i="10"/>
  <c r="I631" i="10"/>
  <c r="I637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645" i="10"/>
  <c r="J703" i="10"/>
  <c r="J687" i="10"/>
  <c r="J683" i="10"/>
  <c r="J679" i="10"/>
  <c r="J675" i="10"/>
  <c r="J671" i="10"/>
  <c r="J644" i="10"/>
  <c r="J643" i="10"/>
  <c r="J642" i="10"/>
  <c r="J641" i="10"/>
  <c r="J640" i="10"/>
  <c r="J691" i="10"/>
  <c r="J680" i="10"/>
  <c r="J672" i="10"/>
  <c r="J711" i="10"/>
  <c r="J677" i="10"/>
  <c r="J669" i="10"/>
  <c r="J707" i="10"/>
  <c r="J684" i="10"/>
  <c r="J676" i="10"/>
  <c r="J668" i="10"/>
  <c r="J639" i="10"/>
  <c r="J638" i="10"/>
  <c r="J637" i="10"/>
  <c r="J636" i="10"/>
  <c r="J635" i="10"/>
  <c r="J634" i="10"/>
  <c r="J633" i="10"/>
  <c r="J632" i="10"/>
  <c r="J631" i="10"/>
  <c r="J695" i="10"/>
  <c r="J673" i="10"/>
  <c r="J681" i="10"/>
  <c r="K644" i="10" l="1"/>
  <c r="J715" i="10"/>
  <c r="L647" i="10"/>
  <c r="L710" i="10" l="1"/>
  <c r="L706" i="10"/>
  <c r="L702" i="10"/>
  <c r="L698" i="10"/>
  <c r="L694" i="10"/>
  <c r="L690" i="10"/>
  <c r="L716" i="10"/>
  <c r="L711" i="10"/>
  <c r="M711" i="10" s="1"/>
  <c r="L707" i="10"/>
  <c r="L703" i="10"/>
  <c r="L699" i="10"/>
  <c r="L695" i="10"/>
  <c r="L691" i="10"/>
  <c r="L687" i="10"/>
  <c r="L712" i="10"/>
  <c r="L708" i="10"/>
  <c r="M708" i="10" s="1"/>
  <c r="L704" i="10"/>
  <c r="L700" i="10"/>
  <c r="L696" i="10"/>
  <c r="L692" i="10"/>
  <c r="L688" i="10"/>
  <c r="L709" i="10"/>
  <c r="L693" i="10"/>
  <c r="M693" i="10" s="1"/>
  <c r="L686" i="10"/>
  <c r="M686" i="10" s="1"/>
  <c r="L684" i="10"/>
  <c r="L680" i="10"/>
  <c r="L676" i="10"/>
  <c r="L672" i="10"/>
  <c r="L668" i="10"/>
  <c r="L713" i="10"/>
  <c r="L697" i="10"/>
  <c r="L685" i="10"/>
  <c r="M685" i="10" s="1"/>
  <c r="L681" i="10"/>
  <c r="L677" i="10"/>
  <c r="L673" i="10"/>
  <c r="L669" i="10"/>
  <c r="L682" i="10"/>
  <c r="L674" i="10"/>
  <c r="L705" i="10"/>
  <c r="M705" i="10" s="1"/>
  <c r="L679" i="10"/>
  <c r="M679" i="10" s="1"/>
  <c r="L671" i="10"/>
  <c r="L701" i="10"/>
  <c r="L678" i="10"/>
  <c r="L670" i="10"/>
  <c r="L689" i="10"/>
  <c r="L683" i="10"/>
  <c r="L675" i="10"/>
  <c r="M675" i="10" s="1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3" i="10"/>
  <c r="K679" i="10"/>
  <c r="K675" i="10"/>
  <c r="K671" i="10"/>
  <c r="K700" i="10"/>
  <c r="K684" i="10"/>
  <c r="K680" i="10"/>
  <c r="K676" i="10"/>
  <c r="K672" i="10"/>
  <c r="K668" i="10"/>
  <c r="K688" i="10"/>
  <c r="K677" i="10"/>
  <c r="K669" i="10"/>
  <c r="K708" i="10"/>
  <c r="K682" i="10"/>
  <c r="K674" i="10"/>
  <c r="K704" i="10"/>
  <c r="K685" i="10"/>
  <c r="K681" i="10"/>
  <c r="K673" i="10"/>
  <c r="K670" i="10"/>
  <c r="K678" i="10"/>
  <c r="K692" i="10"/>
  <c r="M712" i="10" l="1"/>
  <c r="M692" i="10"/>
  <c r="M695" i="10"/>
  <c r="M698" i="10"/>
  <c r="M678" i="10"/>
  <c r="M699" i="10"/>
  <c r="M702" i="10"/>
  <c r="M670" i="10"/>
  <c r="M669" i="10"/>
  <c r="M672" i="10"/>
  <c r="M673" i="10"/>
  <c r="M696" i="10"/>
  <c r="M683" i="10"/>
  <c r="M701" i="10"/>
  <c r="M674" i="10"/>
  <c r="M677" i="10"/>
  <c r="M713" i="10"/>
  <c r="M680" i="10"/>
  <c r="M709" i="10"/>
  <c r="M700" i="10"/>
  <c r="M687" i="10"/>
  <c r="M703" i="10"/>
  <c r="M690" i="10"/>
  <c r="M706" i="10"/>
  <c r="M697" i="10"/>
  <c r="M676" i="10"/>
  <c r="K715" i="10"/>
  <c r="M689" i="10"/>
  <c r="M671" i="10"/>
  <c r="M682" i="10"/>
  <c r="M681" i="10"/>
  <c r="L715" i="10"/>
  <c r="M668" i="10"/>
  <c r="M684" i="10"/>
  <c r="M688" i="10"/>
  <c r="M704" i="10"/>
  <c r="M691" i="10"/>
  <c r="M707" i="10"/>
  <c r="M694" i="10"/>
  <c r="M71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G186" i="9" s="1"/>
  <c r="AJ75" i="1"/>
  <c r="AL75" i="1"/>
  <c r="N769" i="1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5" i="1"/>
  <c r="N762" i="1"/>
  <c r="N768" i="1"/>
  <c r="N777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N766" i="1"/>
  <c r="N760" i="1"/>
  <c r="N743" i="1"/>
  <c r="N747" i="1"/>
  <c r="F12" i="6"/>
  <c r="C469" i="1"/>
  <c r="F8" i="6"/>
  <c r="I377" i="9"/>
  <c r="G122" i="9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22" i="1"/>
  <c r="CD71" i="1"/>
  <c r="N765" i="1"/>
  <c r="N757" i="1"/>
  <c r="C615" i="1"/>
  <c r="V815" i="1"/>
  <c r="E372" i="9"/>
  <c r="B441" i="1"/>
  <c r="G10" i="4" l="1"/>
  <c r="B440" i="1"/>
  <c r="C186" i="9"/>
  <c r="I122" i="9"/>
  <c r="K814" i="10"/>
  <c r="T814" i="10"/>
  <c r="H814" i="10"/>
  <c r="R814" i="10"/>
  <c r="N740" i="1"/>
  <c r="N752" i="1"/>
  <c r="D186" i="9"/>
  <c r="P816" i="1"/>
  <c r="B10" i="4"/>
  <c r="CF77" i="1"/>
  <c r="I381" i="9"/>
  <c r="G612" i="1"/>
  <c r="N773" i="1"/>
  <c r="N758" i="1"/>
  <c r="F815" i="1"/>
  <c r="N753" i="1"/>
  <c r="I372" i="9"/>
  <c r="M816" i="1"/>
  <c r="D815" i="1"/>
  <c r="C434" i="1"/>
  <c r="K816" i="1"/>
  <c r="BG48" i="1"/>
  <c r="BG62" i="1" s="1"/>
  <c r="C268" i="9" s="1"/>
  <c r="AU48" i="1"/>
  <c r="AU62" i="1" s="1"/>
  <c r="D48" i="1"/>
  <c r="D62" i="1" s="1"/>
  <c r="D12" i="9" s="1"/>
  <c r="W48" i="1"/>
  <c r="W62" i="1" s="1"/>
  <c r="I76" i="9" s="1"/>
  <c r="AD48" i="1"/>
  <c r="AD62" i="1" s="1"/>
  <c r="E761" i="1" s="1"/>
  <c r="BR48" i="1"/>
  <c r="BR62" i="1" s="1"/>
  <c r="G300" i="9" s="1"/>
  <c r="AA48" i="1"/>
  <c r="AA62" i="1" s="1"/>
  <c r="F108" i="9" s="1"/>
  <c r="BA48" i="1"/>
  <c r="BA62" i="1" s="1"/>
  <c r="E784" i="1" s="1"/>
  <c r="O48" i="1"/>
  <c r="O62" i="1" s="1"/>
  <c r="AL48" i="1"/>
  <c r="AL62" i="1" s="1"/>
  <c r="BX48" i="1"/>
  <c r="BX62" i="1" s="1"/>
  <c r="E807" i="1" s="1"/>
  <c r="AR48" i="1"/>
  <c r="AR62" i="1" s="1"/>
  <c r="E775" i="1" s="1"/>
  <c r="CC48" i="1"/>
  <c r="CC62" i="1" s="1"/>
  <c r="E812" i="1" s="1"/>
  <c r="D816" i="1"/>
  <c r="R48" i="1"/>
  <c r="R62" i="1" s="1"/>
  <c r="D76" i="9" s="1"/>
  <c r="BF48" i="1"/>
  <c r="BF62" i="1" s="1"/>
  <c r="E48" i="1"/>
  <c r="E62" i="1" s="1"/>
  <c r="E12" i="9" s="1"/>
  <c r="G816" i="1"/>
  <c r="C430" i="1"/>
  <c r="I366" i="9"/>
  <c r="C204" i="9"/>
  <c r="E776" i="1"/>
  <c r="F48" i="1"/>
  <c r="F62" i="1" s="1"/>
  <c r="F12" i="9" s="1"/>
  <c r="V48" i="1"/>
  <c r="V62" i="1" s="1"/>
  <c r="AF48" i="1"/>
  <c r="AF62" i="1" s="1"/>
  <c r="E763" i="1" s="1"/>
  <c r="AN48" i="1"/>
  <c r="AN62" i="1" s="1"/>
  <c r="E172" i="9" s="1"/>
  <c r="AT48" i="1"/>
  <c r="AT62" i="1" s="1"/>
  <c r="AZ48" i="1"/>
  <c r="AZ62" i="1" s="1"/>
  <c r="BL48" i="1"/>
  <c r="BL62" i="1" s="1"/>
  <c r="H268" i="9" s="1"/>
  <c r="BT48" i="1"/>
  <c r="BT62" i="1" s="1"/>
  <c r="BY48" i="1"/>
  <c r="BY62" i="1" s="1"/>
  <c r="E808" i="1" s="1"/>
  <c r="AI48" i="1"/>
  <c r="AI62" i="1" s="1"/>
  <c r="E766" i="1" s="1"/>
  <c r="BO48" i="1"/>
  <c r="BO62" i="1" s="1"/>
  <c r="D300" i="9" s="1"/>
  <c r="I48" i="1"/>
  <c r="I62" i="1" s="1"/>
  <c r="E740" i="1" s="1"/>
  <c r="AG48" i="1"/>
  <c r="AG62" i="1" s="1"/>
  <c r="E140" i="9" s="1"/>
  <c r="BE48" i="1"/>
  <c r="BE62" i="1" s="1"/>
  <c r="U48" i="1"/>
  <c r="U62" i="1" s="1"/>
  <c r="BQ48" i="1"/>
  <c r="BQ62" i="1" s="1"/>
  <c r="L48" i="1"/>
  <c r="L62" i="1" s="1"/>
  <c r="J48" i="1"/>
  <c r="J62" i="1" s="1"/>
  <c r="AH48" i="1"/>
  <c r="AH62" i="1" s="1"/>
  <c r="F140" i="9" s="1"/>
  <c r="AP48" i="1"/>
  <c r="AP62" i="1" s="1"/>
  <c r="G172" i="9" s="1"/>
  <c r="AV48" i="1"/>
  <c r="AV62" i="1" s="1"/>
  <c r="E779" i="1" s="1"/>
  <c r="BB48" i="1"/>
  <c r="BB62" i="1" s="1"/>
  <c r="BH48" i="1"/>
  <c r="BH62" i="1" s="1"/>
  <c r="BN48" i="1"/>
  <c r="BN62" i="1" s="1"/>
  <c r="E797" i="1" s="1"/>
  <c r="BV48" i="1"/>
  <c r="BV62" i="1" s="1"/>
  <c r="CA48" i="1"/>
  <c r="CA62" i="1" s="1"/>
  <c r="C48" i="1"/>
  <c r="AO48" i="1"/>
  <c r="AO62" i="1" s="1"/>
  <c r="F172" i="9" s="1"/>
  <c r="BM48" i="1"/>
  <c r="BM62" i="1" s="1"/>
  <c r="E796" i="1" s="1"/>
  <c r="BI48" i="1"/>
  <c r="BI62" i="1" s="1"/>
  <c r="AE48" i="1"/>
  <c r="AE62" i="1" s="1"/>
  <c r="G48" i="1"/>
  <c r="G62" i="1" s="1"/>
  <c r="G12" i="9" s="1"/>
  <c r="X48" i="1"/>
  <c r="X62" i="1" s="1"/>
  <c r="N48" i="1"/>
  <c r="N62" i="1" s="1"/>
  <c r="Z48" i="1"/>
  <c r="Z62" i="1" s="1"/>
  <c r="AJ48" i="1"/>
  <c r="AJ62" i="1" s="1"/>
  <c r="E767" i="1" s="1"/>
  <c r="AX48" i="1"/>
  <c r="AX62" i="1" s="1"/>
  <c r="E781" i="1" s="1"/>
  <c r="BD48" i="1"/>
  <c r="BD62" i="1" s="1"/>
  <c r="BJ48" i="1"/>
  <c r="BJ62" i="1" s="1"/>
  <c r="F268" i="9" s="1"/>
  <c r="BP48" i="1"/>
  <c r="BP62" i="1" s="1"/>
  <c r="K48" i="1"/>
  <c r="K62" i="1" s="1"/>
  <c r="AY48" i="1"/>
  <c r="AY62" i="1" s="1"/>
  <c r="E782" i="1" s="1"/>
  <c r="BW48" i="1"/>
  <c r="BW62" i="1" s="1"/>
  <c r="E332" i="9" s="1"/>
  <c r="Q48" i="1"/>
  <c r="Q62" i="1" s="1"/>
  <c r="AW48" i="1"/>
  <c r="AW62" i="1" s="1"/>
  <c r="BU48" i="1"/>
  <c r="BU62" i="1" s="1"/>
  <c r="AK48" i="1"/>
  <c r="AK62" i="1" s="1"/>
  <c r="BS48" i="1"/>
  <c r="BS62" i="1" s="1"/>
  <c r="AB48" i="1"/>
  <c r="AB62" i="1" s="1"/>
  <c r="G108" i="9" s="1"/>
  <c r="E10" i="4"/>
  <c r="C27" i="5"/>
  <c r="C473" i="1"/>
  <c r="D13" i="7"/>
  <c r="P814" i="10"/>
  <c r="F814" i="10"/>
  <c r="E373" i="9"/>
  <c r="C575" i="1"/>
  <c r="E752" i="10"/>
  <c r="C14" i="5"/>
  <c r="D428" i="1"/>
  <c r="D612" i="1"/>
  <c r="CF76" i="1"/>
  <c r="AN52" i="1" s="1"/>
  <c r="AN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C172" i="9"/>
  <c r="E769" i="1"/>
  <c r="E801" i="1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AY52" i="1" l="1"/>
  <c r="AY67" i="1" s="1"/>
  <c r="AX52" i="1"/>
  <c r="AX67" i="1" s="1"/>
  <c r="AX71" i="1" s="1"/>
  <c r="H213" i="9" s="1"/>
  <c r="T52" i="1"/>
  <c r="T67" i="1" s="1"/>
  <c r="BD52" i="1"/>
  <c r="BD67" i="1" s="1"/>
  <c r="BD71" i="1" s="1"/>
  <c r="C549" i="1" s="1"/>
  <c r="M52" i="1"/>
  <c r="M67" i="1" s="1"/>
  <c r="AW52" i="1"/>
  <c r="AW67" i="1" s="1"/>
  <c r="AW71" i="1" s="1"/>
  <c r="BR52" i="1"/>
  <c r="BR67" i="1" s="1"/>
  <c r="BR71" i="1" s="1"/>
  <c r="CB52" i="1"/>
  <c r="CB67" i="1" s="1"/>
  <c r="C369" i="9" s="1"/>
  <c r="G52" i="1"/>
  <c r="G67" i="1" s="1"/>
  <c r="G71" i="1" s="1"/>
  <c r="G21" i="9" s="1"/>
  <c r="BM52" i="1"/>
  <c r="BM67" i="1" s="1"/>
  <c r="BM71" i="1" s="1"/>
  <c r="C638" i="1" s="1"/>
  <c r="BE52" i="1"/>
  <c r="BE67" i="1" s="1"/>
  <c r="J788" i="1" s="1"/>
  <c r="BY52" i="1"/>
  <c r="BY67" i="1" s="1"/>
  <c r="G337" i="9" s="1"/>
  <c r="AA52" i="1"/>
  <c r="AA67" i="1" s="1"/>
  <c r="AA71" i="1" s="1"/>
  <c r="C520" i="1" s="1"/>
  <c r="G520" i="1" s="1"/>
  <c r="F52" i="1"/>
  <c r="F67" i="1" s="1"/>
  <c r="F71" i="1" s="1"/>
  <c r="D52" i="1"/>
  <c r="D67" i="1" s="1"/>
  <c r="J735" i="1" s="1"/>
  <c r="BQ52" i="1"/>
  <c r="BQ67" i="1" s="1"/>
  <c r="BQ71" i="1" s="1"/>
  <c r="BV52" i="1"/>
  <c r="BV67" i="1" s="1"/>
  <c r="D337" i="9" s="1"/>
  <c r="BF52" i="1"/>
  <c r="BF67" i="1" s="1"/>
  <c r="BF71" i="1" s="1"/>
  <c r="C629" i="1" s="1"/>
  <c r="AK52" i="1"/>
  <c r="AK67" i="1" s="1"/>
  <c r="AM52" i="1"/>
  <c r="AM67" i="1" s="1"/>
  <c r="J770" i="1" s="1"/>
  <c r="BN52" i="1"/>
  <c r="BN67" i="1" s="1"/>
  <c r="BN71" i="1" s="1"/>
  <c r="C559" i="1" s="1"/>
  <c r="AF52" i="1"/>
  <c r="AF67" i="1" s="1"/>
  <c r="D145" i="9" s="1"/>
  <c r="AJ52" i="1"/>
  <c r="AJ67" i="1" s="1"/>
  <c r="AJ71" i="1" s="1"/>
  <c r="C529" i="1" s="1"/>
  <c r="G529" i="1" s="1"/>
  <c r="BP52" i="1"/>
  <c r="BP67" i="1" s="1"/>
  <c r="J799" i="1" s="1"/>
  <c r="BX52" i="1"/>
  <c r="BX67" i="1" s="1"/>
  <c r="BX71" i="1" s="1"/>
  <c r="C644" i="1" s="1"/>
  <c r="AB52" i="1"/>
  <c r="AB67" i="1" s="1"/>
  <c r="G113" i="9" s="1"/>
  <c r="H52" i="1"/>
  <c r="H67" i="1" s="1"/>
  <c r="H71" i="1" s="1"/>
  <c r="C673" i="1" s="1"/>
  <c r="P52" i="1"/>
  <c r="P67" i="1" s="1"/>
  <c r="I49" i="9" s="1"/>
  <c r="V52" i="1"/>
  <c r="V67" i="1" s="1"/>
  <c r="J753" i="1" s="1"/>
  <c r="BO52" i="1"/>
  <c r="BO67" i="1" s="1"/>
  <c r="BO71" i="1" s="1"/>
  <c r="D309" i="9" s="1"/>
  <c r="J52" i="1"/>
  <c r="J67" i="1" s="1"/>
  <c r="C49" i="9" s="1"/>
  <c r="AG52" i="1"/>
  <c r="AG67" i="1" s="1"/>
  <c r="AH52" i="1"/>
  <c r="AH67" i="1" s="1"/>
  <c r="F145" i="9" s="1"/>
  <c r="BT52" i="1"/>
  <c r="BT67" i="1" s="1"/>
  <c r="BT71" i="1" s="1"/>
  <c r="E798" i="1"/>
  <c r="J771" i="1"/>
  <c r="AN71" i="1"/>
  <c r="C533" i="1" s="1"/>
  <c r="G533" i="1" s="1"/>
  <c r="M71" i="1"/>
  <c r="F53" i="9" s="1"/>
  <c r="G332" i="9"/>
  <c r="E777" i="1"/>
  <c r="F204" i="9"/>
  <c r="AY71" i="1"/>
  <c r="C625" i="1" s="1"/>
  <c r="H44" i="9"/>
  <c r="E785" i="1"/>
  <c r="H76" i="9"/>
  <c r="I108" i="9"/>
  <c r="I332" i="9"/>
  <c r="E746" i="1"/>
  <c r="E736" i="1"/>
  <c r="E806" i="1"/>
  <c r="G140" i="9"/>
  <c r="E236" i="9"/>
  <c r="E805" i="1"/>
  <c r="E753" i="1"/>
  <c r="E793" i="1"/>
  <c r="E810" i="1"/>
  <c r="E741" i="1"/>
  <c r="E790" i="1"/>
  <c r="D364" i="9"/>
  <c r="E789" i="1"/>
  <c r="C44" i="9"/>
  <c r="E811" i="1"/>
  <c r="C332" i="9"/>
  <c r="F332" i="9"/>
  <c r="E735" i="1"/>
  <c r="E765" i="1"/>
  <c r="C76" i="9"/>
  <c r="E795" i="1"/>
  <c r="H140" i="9"/>
  <c r="E762" i="1"/>
  <c r="E758" i="1"/>
  <c r="D140" i="9"/>
  <c r="E749" i="1"/>
  <c r="H172" i="9"/>
  <c r="E754" i="1"/>
  <c r="E745" i="1"/>
  <c r="D236" i="9"/>
  <c r="E771" i="1"/>
  <c r="H204" i="9"/>
  <c r="E764" i="1"/>
  <c r="E744" i="1"/>
  <c r="F44" i="9"/>
  <c r="G44" i="9"/>
  <c r="D332" i="9"/>
  <c r="D204" i="9"/>
  <c r="I268" i="9"/>
  <c r="I172" i="9"/>
  <c r="I236" i="9"/>
  <c r="E756" i="1"/>
  <c r="C108" i="9"/>
  <c r="I204" i="9"/>
  <c r="D108" i="9"/>
  <c r="E755" i="1"/>
  <c r="E748" i="1"/>
  <c r="C140" i="9"/>
  <c r="E804" i="1"/>
  <c r="E780" i="1"/>
  <c r="F300" i="9"/>
  <c r="E800" i="1"/>
  <c r="C300" i="9"/>
  <c r="E772" i="1"/>
  <c r="D44" i="9"/>
  <c r="E802" i="1"/>
  <c r="H300" i="9"/>
  <c r="E799" i="1"/>
  <c r="E300" i="9"/>
  <c r="C62" i="1"/>
  <c r="CE48" i="1"/>
  <c r="E791" i="1"/>
  <c r="D268" i="9"/>
  <c r="G76" i="9"/>
  <c r="E752" i="1"/>
  <c r="G204" i="9"/>
  <c r="E773" i="1"/>
  <c r="I12" i="9"/>
  <c r="E742" i="1"/>
  <c r="E768" i="1"/>
  <c r="I140" i="9"/>
  <c r="AK71" i="1"/>
  <c r="E757" i="1"/>
  <c r="E108" i="9"/>
  <c r="E268" i="9"/>
  <c r="E792" i="1"/>
  <c r="E788" i="1"/>
  <c r="H236" i="9"/>
  <c r="C236" i="9"/>
  <c r="E783" i="1"/>
  <c r="E803" i="1"/>
  <c r="I300" i="9"/>
  <c r="E738" i="1"/>
  <c r="E759" i="1"/>
  <c r="G236" i="9"/>
  <c r="E787" i="1"/>
  <c r="E743" i="1"/>
  <c r="E44" i="9"/>
  <c r="E737" i="1"/>
  <c r="F76" i="9"/>
  <c r="E751" i="1"/>
  <c r="T71" i="1"/>
  <c r="J747" i="1"/>
  <c r="D305" i="9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BB52" i="1"/>
  <c r="BB67" i="1" s="1"/>
  <c r="BB71" i="1" s="1"/>
  <c r="L52" i="1"/>
  <c r="L67" i="1" s="1"/>
  <c r="L71" i="1" s="1"/>
  <c r="BA52" i="1"/>
  <c r="BA67" i="1" s="1"/>
  <c r="BA71" i="1" s="1"/>
  <c r="C546" i="1" s="1"/>
  <c r="G546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AS52" i="1"/>
  <c r="AS67" i="1" s="1"/>
  <c r="AS71" i="1" s="1"/>
  <c r="C538" i="1" s="1"/>
  <c r="G538" i="1" s="1"/>
  <c r="AQ52" i="1"/>
  <c r="AQ67" i="1" s="1"/>
  <c r="AQ71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A52" i="1"/>
  <c r="CA67" i="1" s="1"/>
  <c r="CA71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E760" i="1"/>
  <c r="F236" i="9"/>
  <c r="E786" i="1"/>
  <c r="I44" i="9"/>
  <c r="E747" i="1"/>
  <c r="P71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K52" i="1"/>
  <c r="K67" i="1" s="1"/>
  <c r="K71" i="1" s="1"/>
  <c r="D465" i="1"/>
  <c r="E177" i="9"/>
  <c r="CB71" i="1"/>
  <c r="C573" i="1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C689" i="1" s="1"/>
  <c r="BH52" i="1"/>
  <c r="BH67" i="1" s="1"/>
  <c r="BH71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G17" i="9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J781" i="1"/>
  <c r="H209" i="9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J768" i="1"/>
  <c r="I145" i="9"/>
  <c r="G209" i="9"/>
  <c r="D177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63" i="1"/>
  <c r="G309" i="9"/>
  <c r="C626" i="1"/>
  <c r="E782" i="10"/>
  <c r="E806" i="10"/>
  <c r="F516" i="1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49" i="9"/>
  <c r="J744" i="1"/>
  <c r="J811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780" i="1" l="1"/>
  <c r="E814" i="10"/>
  <c r="C305" i="9"/>
  <c r="J797" i="1"/>
  <c r="J798" i="1"/>
  <c r="AF71" i="1"/>
  <c r="C697" i="1" s="1"/>
  <c r="J763" i="1"/>
  <c r="I273" i="9"/>
  <c r="J796" i="1"/>
  <c r="AM71" i="1"/>
  <c r="C532" i="1" s="1"/>
  <c r="G532" i="1" s="1"/>
  <c r="J767" i="1"/>
  <c r="F17" i="9"/>
  <c r="J737" i="1"/>
  <c r="F337" i="9"/>
  <c r="J808" i="1"/>
  <c r="J758" i="1"/>
  <c r="H145" i="9"/>
  <c r="BY71" i="1"/>
  <c r="C645" i="1" s="1"/>
  <c r="F113" i="9"/>
  <c r="H241" i="9"/>
  <c r="BP71" i="1"/>
  <c r="C621" i="1" s="1"/>
  <c r="J759" i="1"/>
  <c r="AB71" i="1"/>
  <c r="G117" i="9" s="1"/>
  <c r="BE71" i="1"/>
  <c r="C550" i="1" s="1"/>
  <c r="J807" i="1"/>
  <c r="AH71" i="1"/>
  <c r="F149" i="9" s="1"/>
  <c r="D71" i="1"/>
  <c r="D17" i="9"/>
  <c r="J739" i="1"/>
  <c r="H17" i="9"/>
  <c r="E305" i="9"/>
  <c r="BV71" i="1"/>
  <c r="C642" i="1" s="1"/>
  <c r="J805" i="1"/>
  <c r="I245" i="9"/>
  <c r="H81" i="9"/>
  <c r="J71" i="1"/>
  <c r="C675" i="1" s="1"/>
  <c r="V71" i="1"/>
  <c r="C687" i="1" s="1"/>
  <c r="J765" i="1"/>
  <c r="H21" i="9"/>
  <c r="J741" i="1"/>
  <c r="J803" i="1"/>
  <c r="I305" i="9"/>
  <c r="E145" i="9"/>
  <c r="J764" i="1"/>
  <c r="AG71" i="1"/>
  <c r="C698" i="1" s="1"/>
  <c r="I213" i="9"/>
  <c r="E181" i="9"/>
  <c r="C624" i="1"/>
  <c r="C531" i="1"/>
  <c r="G531" i="1" s="1"/>
  <c r="C555" i="1"/>
  <c r="C705" i="1"/>
  <c r="C703" i="1"/>
  <c r="C560" i="1"/>
  <c r="H149" i="9"/>
  <c r="F277" i="9"/>
  <c r="D245" i="9"/>
  <c r="C517" i="1"/>
  <c r="G517" i="1" s="1"/>
  <c r="C551" i="1"/>
  <c r="C506" i="1"/>
  <c r="G506" i="1" s="1"/>
  <c r="I277" i="9"/>
  <c r="C678" i="1"/>
  <c r="C523" i="1"/>
  <c r="G523" i="1" s="1"/>
  <c r="C539" i="1"/>
  <c r="G539" i="1" s="1"/>
  <c r="C711" i="1"/>
  <c r="D213" i="9"/>
  <c r="C516" i="1"/>
  <c r="C688" i="1"/>
  <c r="C637" i="1"/>
  <c r="C557" i="1"/>
  <c r="H277" i="9"/>
  <c r="C508" i="1"/>
  <c r="G508" i="1" s="1"/>
  <c r="C680" i="1"/>
  <c r="H53" i="9"/>
  <c r="C566" i="1"/>
  <c r="C641" i="1"/>
  <c r="C341" i="9"/>
  <c r="C528" i="1"/>
  <c r="G528" i="1" s="1"/>
  <c r="G149" i="9"/>
  <c r="C574" i="1"/>
  <c r="C620" i="1"/>
  <c r="C707" i="1"/>
  <c r="C535" i="1"/>
  <c r="G535" i="1" s="1"/>
  <c r="C682" i="1"/>
  <c r="C510" i="1"/>
  <c r="G510" i="1" s="1"/>
  <c r="C85" i="9"/>
  <c r="G53" i="9"/>
  <c r="C507" i="1"/>
  <c r="G507" i="1" s="1"/>
  <c r="C679" i="1"/>
  <c r="C643" i="1"/>
  <c r="C568" i="1"/>
  <c r="E341" i="9"/>
  <c r="C524" i="1"/>
  <c r="C696" i="1"/>
  <c r="C149" i="9"/>
  <c r="C676" i="1"/>
  <c r="D53" i="9"/>
  <c r="C504" i="1"/>
  <c r="G504" i="1" s="1"/>
  <c r="C647" i="1"/>
  <c r="I341" i="9"/>
  <c r="C572" i="1"/>
  <c r="C708" i="1"/>
  <c r="C536" i="1"/>
  <c r="G536" i="1" s="1"/>
  <c r="H181" i="9"/>
  <c r="F181" i="9"/>
  <c r="C534" i="1"/>
  <c r="G534" i="1" s="1"/>
  <c r="C706" i="1"/>
  <c r="E245" i="9"/>
  <c r="C632" i="1"/>
  <c r="C547" i="1"/>
  <c r="C518" i="1"/>
  <c r="G518" i="1" s="1"/>
  <c r="D117" i="9"/>
  <c r="C690" i="1"/>
  <c r="C540" i="1"/>
  <c r="G540" i="1" s="1"/>
  <c r="C712" i="1"/>
  <c r="E213" i="9"/>
  <c r="C501" i="1"/>
  <c r="G501" i="1" s="1"/>
  <c r="C545" i="1"/>
  <c r="G545" i="1" s="1"/>
  <c r="G245" i="9"/>
  <c r="C213" i="9"/>
  <c r="C630" i="1"/>
  <c r="C117" i="9"/>
  <c r="C628" i="1"/>
  <c r="C710" i="1"/>
  <c r="I117" i="9"/>
  <c r="C543" i="1"/>
  <c r="C616" i="1"/>
  <c r="C709" i="1"/>
  <c r="I85" i="9"/>
  <c r="C670" i="1"/>
  <c r="C544" i="1"/>
  <c r="E21" i="9"/>
  <c r="C701" i="1"/>
  <c r="C500" i="1"/>
  <c r="G500" i="1" s="1"/>
  <c r="C373" i="9"/>
  <c r="C672" i="1"/>
  <c r="C502" i="1"/>
  <c r="G502" i="1" s="1"/>
  <c r="C618" i="1"/>
  <c r="G181" i="9"/>
  <c r="C541" i="1"/>
  <c r="C537" i="1"/>
  <c r="G537" i="1" s="1"/>
  <c r="C552" i="1"/>
  <c r="C700" i="1"/>
  <c r="D373" i="9"/>
  <c r="C627" i="1"/>
  <c r="H117" i="9"/>
  <c r="C511" i="1"/>
  <c r="G511" i="1" s="1"/>
  <c r="F117" i="9"/>
  <c r="C525" i="1"/>
  <c r="G525" i="1" s="1"/>
  <c r="C619" i="1"/>
  <c r="C692" i="1"/>
  <c r="D149" i="9"/>
  <c r="I21" i="9"/>
  <c r="C683" i="1"/>
  <c r="F341" i="9"/>
  <c r="C309" i="9"/>
  <c r="C569" i="1"/>
  <c r="H498" i="1"/>
  <c r="C622" i="1"/>
  <c r="F213" i="9"/>
  <c r="C558" i="1"/>
  <c r="C694" i="1"/>
  <c r="F21" i="9"/>
  <c r="C671" i="1"/>
  <c r="C499" i="1"/>
  <c r="G499" i="1" s="1"/>
  <c r="G85" i="9"/>
  <c r="C514" i="1"/>
  <c r="G514" i="1" s="1"/>
  <c r="C686" i="1"/>
  <c r="C636" i="1"/>
  <c r="C553" i="1"/>
  <c r="D277" i="9"/>
  <c r="C623" i="1"/>
  <c r="F309" i="9"/>
  <c r="C562" i="1"/>
  <c r="H520" i="1"/>
  <c r="E53" i="9"/>
  <c r="C505" i="1"/>
  <c r="G505" i="1" s="1"/>
  <c r="C677" i="1"/>
  <c r="C554" i="1"/>
  <c r="C634" i="1"/>
  <c r="E277" i="9"/>
  <c r="C530" i="1"/>
  <c r="G530" i="1" s="1"/>
  <c r="I149" i="9"/>
  <c r="C702" i="1"/>
  <c r="C639" i="1"/>
  <c r="C564" i="1"/>
  <c r="H309" i="9"/>
  <c r="G213" i="9"/>
  <c r="C631" i="1"/>
  <c r="C542" i="1"/>
  <c r="C565" i="1"/>
  <c r="I309" i="9"/>
  <c r="C640" i="1"/>
  <c r="C691" i="1"/>
  <c r="E117" i="9"/>
  <c r="C519" i="1"/>
  <c r="G519" i="1" s="1"/>
  <c r="E734" i="1"/>
  <c r="E815" i="1" s="1"/>
  <c r="C12" i="9"/>
  <c r="CE62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H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D181" i="9" l="1"/>
  <c r="C704" i="1"/>
  <c r="H518" i="1"/>
  <c r="C570" i="1"/>
  <c r="G341" i="9"/>
  <c r="C567" i="1"/>
  <c r="E309" i="9"/>
  <c r="C561" i="1"/>
  <c r="C699" i="1"/>
  <c r="C527" i="1"/>
  <c r="G527" i="1" s="1"/>
  <c r="H245" i="9"/>
  <c r="C521" i="1"/>
  <c r="G521" i="1" s="1"/>
  <c r="C614" i="1"/>
  <c r="D615" i="1" s="1"/>
  <c r="C693" i="1"/>
  <c r="D341" i="9"/>
  <c r="C497" i="1"/>
  <c r="G497" i="1" s="1"/>
  <c r="D21" i="9"/>
  <c r="C669" i="1"/>
  <c r="C53" i="9"/>
  <c r="C503" i="1"/>
  <c r="G503" i="1" s="1"/>
  <c r="H85" i="9"/>
  <c r="C515" i="1"/>
  <c r="H511" i="1"/>
  <c r="E149" i="9"/>
  <c r="C526" i="1"/>
  <c r="G526" i="1" s="1"/>
  <c r="H514" i="1"/>
  <c r="H517" i="1"/>
  <c r="H508" i="1"/>
  <c r="H510" i="1"/>
  <c r="G516" i="1"/>
  <c r="H516" i="1" s="1"/>
  <c r="G544" i="1"/>
  <c r="H544" i="1" s="1"/>
  <c r="G524" i="1"/>
  <c r="H524" i="1" s="1"/>
  <c r="H512" i="1"/>
  <c r="H509" i="1"/>
  <c r="I364" i="9"/>
  <c r="C428" i="1"/>
  <c r="E816" i="1"/>
  <c r="G550" i="1"/>
  <c r="H550" i="1" s="1"/>
  <c r="C21" i="9"/>
  <c r="C496" i="1"/>
  <c r="C668" i="1"/>
  <c r="J734" i="1"/>
  <c r="J815" i="1" s="1"/>
  <c r="CE67" i="1"/>
  <c r="CE71" i="1" s="1"/>
  <c r="C17" i="9"/>
  <c r="J733" i="10"/>
  <c r="J814" i="10" s="1"/>
  <c r="F545" i="1"/>
  <c r="H545" i="1" s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648" i="1"/>
  <c r="M716" i="1" s="1"/>
  <c r="Y816" i="1" s="1"/>
  <c r="H526" i="1"/>
  <c r="G515" i="1"/>
  <c r="H515" i="1" s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29" i="1"/>
  <c r="D634" i="1"/>
  <c r="D638" i="1"/>
  <c r="D673" i="1"/>
  <c r="D627" i="1"/>
  <c r="D689" i="1"/>
  <c r="D678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0" i="1"/>
  <c r="D669" i="1"/>
  <c r="D703" i="1"/>
  <c r="D677" i="1"/>
  <c r="D621" i="1"/>
  <c r="D70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91" i="1"/>
  <c r="D670" i="1"/>
  <c r="D640" i="1"/>
  <c r="D712" i="1"/>
  <c r="D696" i="1"/>
  <c r="G496" i="1"/>
  <c r="H496" i="1" s="1"/>
  <c r="C716" i="1"/>
  <c r="I373" i="9"/>
  <c r="C715" i="1"/>
  <c r="C433" i="1"/>
  <c r="C441" i="1" s="1"/>
  <c r="J816" i="1"/>
  <c r="I369" i="9"/>
  <c r="J815" i="10"/>
  <c r="D715" i="1" l="1"/>
  <c r="E623" i="1"/>
  <c r="E612" i="1"/>
  <c r="E716" i="1" l="1"/>
  <c r="E641" i="1"/>
  <c r="E647" i="1"/>
  <c r="E683" i="1"/>
  <c r="E669" i="1"/>
  <c r="E702" i="1"/>
  <c r="E643" i="1"/>
  <c r="E680" i="1"/>
  <c r="E677" i="1"/>
  <c r="E709" i="1"/>
  <c r="E703" i="1"/>
  <c r="E645" i="1"/>
  <c r="E684" i="1"/>
  <c r="E690" i="1"/>
  <c r="E634" i="1"/>
  <c r="E674" i="1"/>
  <c r="E706" i="1"/>
  <c r="E630" i="1"/>
  <c r="E635" i="1"/>
  <c r="E710" i="1"/>
  <c r="E675" i="1"/>
  <c r="E701" i="1"/>
  <c r="E679" i="1"/>
  <c r="E636" i="1"/>
  <c r="E644" i="1"/>
  <c r="E699" i="1"/>
  <c r="E712" i="1"/>
  <c r="E626" i="1"/>
  <c r="E705" i="1"/>
  <c r="E688" i="1"/>
  <c r="E698" i="1"/>
  <c r="E697" i="1"/>
  <c r="E640" i="1"/>
  <c r="E673" i="1"/>
  <c r="E628" i="1"/>
  <c r="E694" i="1"/>
  <c r="E668" i="1"/>
  <c r="E711" i="1"/>
  <c r="E639" i="1"/>
  <c r="E625" i="1"/>
  <c r="E689" i="1"/>
  <c r="E676" i="1"/>
  <c r="E700" i="1"/>
  <c r="E642" i="1"/>
  <c r="E671" i="1"/>
  <c r="E707" i="1"/>
  <c r="E631" i="1"/>
  <c r="E696" i="1"/>
  <c r="E681" i="1"/>
  <c r="E686" i="1"/>
  <c r="E691" i="1"/>
  <c r="E678" i="1"/>
  <c r="E646" i="1"/>
  <c r="E632" i="1"/>
  <c r="E633" i="1"/>
  <c r="E695" i="1"/>
  <c r="E692" i="1"/>
  <c r="E627" i="1"/>
  <c r="E708" i="1"/>
  <c r="E682" i="1"/>
  <c r="E685" i="1"/>
  <c r="E638" i="1"/>
  <c r="E704" i="1"/>
  <c r="E624" i="1"/>
  <c r="F624" i="1" s="1"/>
  <c r="E713" i="1"/>
  <c r="E687" i="1"/>
  <c r="E693" i="1"/>
  <c r="E629" i="1"/>
  <c r="E670" i="1"/>
  <c r="E672" i="1"/>
  <c r="E637" i="1"/>
  <c r="F707" i="1" l="1"/>
  <c r="F679" i="1"/>
  <c r="F712" i="1"/>
  <c r="F690" i="1"/>
  <c r="F669" i="1"/>
  <c r="F645" i="1"/>
  <c r="F697" i="1"/>
  <c r="F629" i="1"/>
  <c r="F637" i="1"/>
  <c r="F677" i="1"/>
  <c r="F705" i="1"/>
  <c r="F710" i="1"/>
  <c r="F711" i="1"/>
  <c r="F627" i="1"/>
  <c r="F709" i="1"/>
  <c r="F681" i="1"/>
  <c r="F696" i="1"/>
  <c r="F684" i="1"/>
  <c r="F671" i="1"/>
  <c r="F682" i="1"/>
  <c r="F701" i="1"/>
  <c r="F698" i="1"/>
  <c r="F699" i="1"/>
  <c r="F691" i="1"/>
  <c r="F632" i="1"/>
  <c r="F642" i="1"/>
  <c r="F644" i="1"/>
  <c r="F639" i="1"/>
  <c r="F685" i="1"/>
  <c r="F628" i="1"/>
  <c r="F634" i="1"/>
  <c r="F700" i="1"/>
  <c r="F683" i="1"/>
  <c r="F680" i="1"/>
  <c r="F646" i="1"/>
  <c r="F668" i="1"/>
  <c r="F688" i="1"/>
  <c r="F630" i="1"/>
  <c r="F633" i="1"/>
  <c r="F647" i="1"/>
  <c r="F687" i="1"/>
  <c r="F638" i="1"/>
  <c r="F641" i="1"/>
  <c r="F626" i="1"/>
  <c r="F678" i="1"/>
  <c r="F635" i="1"/>
  <c r="F716" i="1"/>
  <c r="F689" i="1"/>
  <c r="F676" i="1"/>
  <c r="F674" i="1"/>
  <c r="F625" i="1"/>
  <c r="F703" i="1"/>
  <c r="F706" i="1"/>
  <c r="F686" i="1"/>
  <c r="F693" i="1"/>
  <c r="F695" i="1"/>
  <c r="F643" i="1"/>
  <c r="F702" i="1"/>
  <c r="F672" i="1"/>
  <c r="F675" i="1"/>
  <c r="F631" i="1"/>
  <c r="F708" i="1"/>
  <c r="F640" i="1"/>
  <c r="F694" i="1"/>
  <c r="F704" i="1"/>
  <c r="F636" i="1"/>
  <c r="F670" i="1"/>
  <c r="F673" i="1"/>
  <c r="F713" i="1"/>
  <c r="F692" i="1"/>
  <c r="G625" i="1"/>
  <c r="E715" i="1"/>
  <c r="F715" i="1" l="1"/>
  <c r="G711" i="1"/>
  <c r="G695" i="1"/>
  <c r="G646" i="1"/>
  <c r="G634" i="1"/>
  <c r="G707" i="1"/>
  <c r="G709" i="1"/>
  <c r="G687" i="1"/>
  <c r="G682" i="1"/>
  <c r="G672" i="1"/>
  <c r="G680" i="1"/>
  <c r="G698" i="1"/>
  <c r="G703" i="1"/>
  <c r="G627" i="1"/>
  <c r="G685" i="1"/>
  <c r="G668" i="1"/>
  <c r="G684" i="1"/>
  <c r="G643" i="1"/>
  <c r="G638" i="1"/>
  <c r="G669" i="1"/>
  <c r="G640" i="1"/>
  <c r="G689" i="1"/>
  <c r="G674" i="1"/>
  <c r="G632" i="1"/>
  <c r="G686" i="1"/>
  <c r="G629" i="1"/>
  <c r="G712" i="1"/>
  <c r="G693" i="1"/>
  <c r="G691" i="1"/>
  <c r="G692" i="1"/>
  <c r="G683" i="1"/>
  <c r="G633" i="1"/>
  <c r="G704" i="1"/>
  <c r="G678" i="1"/>
  <c r="G675" i="1"/>
  <c r="G688" i="1"/>
  <c r="G690" i="1"/>
  <c r="G710" i="1"/>
  <c r="G636" i="1"/>
  <c r="G706" i="1"/>
  <c r="G676" i="1"/>
  <c r="G644" i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37" i="1"/>
  <c r="G635" i="1"/>
  <c r="G641" i="1"/>
  <c r="G697" i="1"/>
  <c r="G639" i="1"/>
  <c r="G670" i="1"/>
  <c r="G699" i="1"/>
  <c r="G679" i="1"/>
  <c r="G700" i="1"/>
  <c r="G631" i="1"/>
  <c r="G713" i="1"/>
  <c r="G708" i="1"/>
  <c r="G694" i="1"/>
  <c r="G701" i="1"/>
  <c r="G716" i="1"/>
  <c r="G647" i="1"/>
  <c r="H628" i="1" l="1"/>
  <c r="H684" i="1" s="1"/>
  <c r="G715" i="1"/>
  <c r="H634" i="1" l="1"/>
  <c r="H708" i="1"/>
  <c r="H633" i="1"/>
  <c r="H636" i="1"/>
  <c r="H632" i="1"/>
  <c r="H681" i="1"/>
  <c r="H711" i="1"/>
  <c r="H704" i="1"/>
  <c r="H692" i="1"/>
  <c r="H702" i="1"/>
  <c r="H687" i="1"/>
  <c r="H669" i="1"/>
  <c r="H637" i="1"/>
  <c r="H646" i="1"/>
  <c r="H631" i="1"/>
  <c r="H694" i="1"/>
  <c r="H679" i="1"/>
  <c r="H643" i="1"/>
  <c r="H671" i="1"/>
  <c r="H635" i="1"/>
  <c r="H686" i="1"/>
  <c r="H638" i="1"/>
  <c r="H696" i="1"/>
  <c r="H678" i="1"/>
  <c r="H693" i="1"/>
  <c r="H685" i="1"/>
  <c r="H707" i="1"/>
  <c r="H629" i="1"/>
  <c r="I629" i="1" s="1"/>
  <c r="H672" i="1"/>
  <c r="H709" i="1"/>
  <c r="H712" i="1"/>
  <c r="H674" i="1"/>
  <c r="H640" i="1"/>
  <c r="H701" i="1"/>
  <c r="H688" i="1"/>
  <c r="H695" i="1"/>
  <c r="H705" i="1"/>
  <c r="H700" i="1"/>
  <c r="H630" i="1"/>
  <c r="H670" i="1"/>
  <c r="H697" i="1"/>
  <c r="H641" i="1"/>
  <c r="H645" i="1"/>
  <c r="H690" i="1"/>
  <c r="H675" i="1"/>
  <c r="H698" i="1"/>
  <c r="H689" i="1"/>
  <c r="H673" i="1"/>
  <c r="H668" i="1"/>
  <c r="H639" i="1"/>
  <c r="H699" i="1"/>
  <c r="H677" i="1"/>
  <c r="H647" i="1"/>
  <c r="H710" i="1"/>
  <c r="H676" i="1"/>
  <c r="H680" i="1"/>
  <c r="H703" i="1"/>
  <c r="H691" i="1"/>
  <c r="H683" i="1"/>
  <c r="H642" i="1"/>
  <c r="H682" i="1"/>
  <c r="H713" i="1"/>
  <c r="H644" i="1"/>
  <c r="H716" i="1"/>
  <c r="H706" i="1"/>
  <c r="H715" i="1" l="1"/>
  <c r="I669" i="1"/>
  <c r="I674" i="1"/>
  <c r="I641" i="1"/>
  <c r="I702" i="1"/>
  <c r="I700" i="1"/>
  <c r="I716" i="1"/>
  <c r="I683" i="1"/>
  <c r="I704" i="1"/>
  <c r="I708" i="1"/>
  <c r="I685" i="1"/>
  <c r="I690" i="1"/>
  <c r="I639" i="1"/>
  <c r="I638" i="1"/>
  <c r="I696" i="1"/>
  <c r="I680" i="1"/>
  <c r="I713" i="1"/>
  <c r="I678" i="1"/>
  <c r="I681" i="1"/>
  <c r="I647" i="1"/>
  <c r="I630" i="1"/>
  <c r="J630" i="1" s="1"/>
  <c r="I709" i="1"/>
  <c r="I636" i="1"/>
  <c r="I677" i="1"/>
  <c r="I697" i="1"/>
  <c r="I712" i="1"/>
  <c r="I646" i="1"/>
  <c r="I675" i="1"/>
  <c r="I686" i="1"/>
  <c r="I631" i="1"/>
  <c r="I635" i="1"/>
  <c r="I644" i="1"/>
  <c r="I695" i="1"/>
  <c r="I643" i="1"/>
  <c r="I633" i="1"/>
  <c r="I634" i="1"/>
  <c r="I676" i="1"/>
  <c r="I642" i="1"/>
  <c r="I672" i="1"/>
  <c r="I705" i="1"/>
  <c r="I699" i="1"/>
  <c r="I701" i="1"/>
  <c r="I703" i="1"/>
  <c r="I671" i="1"/>
  <c r="I711" i="1"/>
  <c r="I645" i="1"/>
  <c r="I689" i="1"/>
  <c r="I691" i="1"/>
  <c r="I679" i="1"/>
  <c r="I682" i="1"/>
  <c r="I706" i="1"/>
  <c r="I637" i="1"/>
  <c r="I684" i="1"/>
  <c r="I694" i="1"/>
  <c r="I688" i="1"/>
  <c r="I632" i="1"/>
  <c r="I687" i="1"/>
  <c r="I707" i="1"/>
  <c r="I692" i="1"/>
  <c r="I693" i="1"/>
  <c r="I673" i="1"/>
  <c r="I698" i="1"/>
  <c r="I668" i="1"/>
  <c r="I710" i="1"/>
  <c r="I670" i="1"/>
  <c r="I640" i="1"/>
  <c r="J641" i="1" l="1"/>
  <c r="J673" i="1"/>
  <c r="J692" i="1"/>
  <c r="J701" i="1"/>
  <c r="J707" i="1"/>
  <c r="J691" i="1"/>
  <c r="J674" i="1"/>
  <c r="J702" i="1"/>
  <c r="J688" i="1"/>
  <c r="J671" i="1"/>
  <c r="J638" i="1"/>
  <c r="J634" i="1"/>
  <c r="J700" i="1"/>
  <c r="J647" i="1"/>
  <c r="J709" i="1"/>
  <c r="J690" i="1"/>
  <c r="J683" i="1"/>
  <c r="J703" i="1"/>
  <c r="J712" i="1"/>
  <c r="J698" i="1"/>
  <c r="J678" i="1"/>
  <c r="J632" i="1"/>
  <c r="J686" i="1"/>
  <c r="J643" i="1"/>
  <c r="J708" i="1"/>
  <c r="J689" i="1"/>
  <c r="J677" i="1"/>
  <c r="J676" i="1"/>
  <c r="J687" i="1"/>
  <c r="J710" i="1"/>
  <c r="J669" i="1"/>
  <c r="J640" i="1"/>
  <c r="J672" i="1"/>
  <c r="J644" i="1"/>
  <c r="J668" i="1"/>
  <c r="J704" i="1"/>
  <c r="J696" i="1"/>
  <c r="J636" i="1"/>
  <c r="J681" i="1"/>
  <c r="J697" i="1"/>
  <c r="J635" i="1"/>
  <c r="J705" i="1"/>
  <c r="J631" i="1"/>
  <c r="J684" i="1"/>
  <c r="J645" i="1"/>
  <c r="J637" i="1"/>
  <c r="J670" i="1"/>
  <c r="J706" i="1"/>
  <c r="J694" i="1"/>
  <c r="J675" i="1"/>
  <c r="J639" i="1"/>
  <c r="J711" i="1"/>
  <c r="J633" i="1"/>
  <c r="J716" i="1"/>
  <c r="J646" i="1"/>
  <c r="J642" i="1"/>
  <c r="J679" i="1"/>
  <c r="J682" i="1"/>
  <c r="J699" i="1"/>
  <c r="J685" i="1"/>
  <c r="J693" i="1"/>
  <c r="J680" i="1"/>
  <c r="J695" i="1"/>
  <c r="J713" i="1"/>
  <c r="I715" i="1"/>
  <c r="L647" i="1" l="1"/>
  <c r="J715" i="1"/>
  <c r="L678" i="1"/>
  <c r="L705" i="1"/>
  <c r="L684" i="1"/>
  <c r="L669" i="1"/>
  <c r="L685" i="1"/>
  <c r="L700" i="1"/>
  <c r="L716" i="1"/>
  <c r="L696" i="1"/>
  <c r="L703" i="1"/>
  <c r="L673" i="1"/>
  <c r="L671" i="1"/>
  <c r="L680" i="1"/>
  <c r="L711" i="1"/>
  <c r="L712" i="1"/>
  <c r="L713" i="1"/>
  <c r="L672" i="1"/>
  <c r="L668" i="1"/>
  <c r="L695" i="1"/>
  <c r="L706" i="1"/>
  <c r="L682" i="1"/>
  <c r="L679" i="1"/>
  <c r="L687" i="1"/>
  <c r="L710" i="1"/>
  <c r="L702" i="1"/>
  <c r="L704" i="1"/>
  <c r="L691" i="1"/>
  <c r="L676" i="1"/>
  <c r="L694" i="1"/>
  <c r="L683" i="1"/>
  <c r="L701" i="1"/>
  <c r="L707" i="1"/>
  <c r="L689" i="1"/>
  <c r="L681" i="1"/>
  <c r="L675" i="1"/>
  <c r="L692" i="1"/>
  <c r="L708" i="1"/>
  <c r="L693" i="1"/>
  <c r="L709" i="1"/>
  <c r="L698" i="1"/>
  <c r="L670" i="1"/>
  <c r="L686" i="1"/>
  <c r="L690" i="1"/>
  <c r="L688" i="1"/>
  <c r="L697" i="1"/>
  <c r="L699" i="1"/>
  <c r="L674" i="1"/>
  <c r="L677" i="1"/>
  <c r="K644" i="1"/>
  <c r="K699" i="1" s="1"/>
  <c r="M699" i="1" l="1"/>
  <c r="F151" i="9" s="1"/>
  <c r="L715" i="1"/>
  <c r="K692" i="1"/>
  <c r="M692" i="1" s="1"/>
  <c r="K704" i="1"/>
  <c r="M704" i="1" s="1"/>
  <c r="K682" i="1"/>
  <c r="M682" i="1" s="1"/>
  <c r="K670" i="1"/>
  <c r="M670" i="1" s="1"/>
  <c r="K680" i="1"/>
  <c r="M680" i="1" s="1"/>
  <c r="K674" i="1"/>
  <c r="M674" i="1" s="1"/>
  <c r="K712" i="1"/>
  <c r="M712" i="1" s="1"/>
  <c r="K677" i="1"/>
  <c r="M677" i="1" s="1"/>
  <c r="K696" i="1"/>
  <c r="M696" i="1" s="1"/>
  <c r="K683" i="1"/>
  <c r="M683" i="1" s="1"/>
  <c r="K681" i="1"/>
  <c r="M681" i="1" s="1"/>
  <c r="K711" i="1"/>
  <c r="M711" i="1" s="1"/>
  <c r="K695" i="1"/>
  <c r="M695" i="1" s="1"/>
  <c r="K689" i="1"/>
  <c r="M689" i="1" s="1"/>
  <c r="K688" i="1"/>
  <c r="M688" i="1" s="1"/>
  <c r="K673" i="1"/>
  <c r="M673" i="1" s="1"/>
  <c r="K700" i="1"/>
  <c r="M700" i="1" s="1"/>
  <c r="K708" i="1"/>
  <c r="M708" i="1" s="1"/>
  <c r="K706" i="1"/>
  <c r="M706" i="1" s="1"/>
  <c r="K668" i="1"/>
  <c r="K691" i="1"/>
  <c r="M691" i="1" s="1"/>
  <c r="K672" i="1"/>
  <c r="M672" i="1" s="1"/>
  <c r="Y738" i="1" s="1"/>
  <c r="K679" i="1"/>
  <c r="M679" i="1" s="1"/>
  <c r="K684" i="1"/>
  <c r="M684" i="1" s="1"/>
  <c r="K693" i="1"/>
  <c r="M693" i="1" s="1"/>
  <c r="K675" i="1"/>
  <c r="M675" i="1" s="1"/>
  <c r="K702" i="1"/>
  <c r="M702" i="1" s="1"/>
  <c r="K676" i="1"/>
  <c r="M676" i="1" s="1"/>
  <c r="K687" i="1"/>
  <c r="M687" i="1" s="1"/>
  <c r="K694" i="1"/>
  <c r="M694" i="1" s="1"/>
  <c r="K671" i="1"/>
  <c r="M671" i="1" s="1"/>
  <c r="K709" i="1"/>
  <c r="M709" i="1" s="1"/>
  <c r="K710" i="1"/>
  <c r="M710" i="1" s="1"/>
  <c r="K705" i="1"/>
  <c r="M705" i="1" s="1"/>
  <c r="K707" i="1"/>
  <c r="M707" i="1" s="1"/>
  <c r="K685" i="1"/>
  <c r="M685" i="1" s="1"/>
  <c r="K701" i="1"/>
  <c r="M701" i="1" s="1"/>
  <c r="K678" i="1"/>
  <c r="M678" i="1" s="1"/>
  <c r="K690" i="1"/>
  <c r="M690" i="1" s="1"/>
  <c r="K698" i="1"/>
  <c r="M698" i="1" s="1"/>
  <c r="K686" i="1"/>
  <c r="M686" i="1" s="1"/>
  <c r="K716" i="1"/>
  <c r="K703" i="1"/>
  <c r="M703" i="1" s="1"/>
  <c r="K669" i="1"/>
  <c r="M669" i="1" s="1"/>
  <c r="K697" i="1"/>
  <c r="M697" i="1" s="1"/>
  <c r="K713" i="1"/>
  <c r="M713" i="1" s="1"/>
  <c r="Y779" i="1" s="1"/>
  <c r="Y765" i="1" l="1"/>
  <c r="Y774" i="1"/>
  <c r="H183" i="9"/>
  <c r="F119" i="9"/>
  <c r="Y758" i="1"/>
  <c r="C55" i="9"/>
  <c r="Y741" i="1"/>
  <c r="Y773" i="1"/>
  <c r="G183" i="9"/>
  <c r="I151" i="9"/>
  <c r="Y768" i="1"/>
  <c r="G119" i="9"/>
  <c r="Y759" i="1"/>
  <c r="E55" i="9"/>
  <c r="Y743" i="1"/>
  <c r="D183" i="9"/>
  <c r="Y770" i="1"/>
  <c r="D215" i="9"/>
  <c r="Y777" i="1"/>
  <c r="Y746" i="1"/>
  <c r="H55" i="9"/>
  <c r="Y736" i="1"/>
  <c r="E23" i="9"/>
  <c r="H87" i="9"/>
  <c r="Y753" i="1"/>
  <c r="Y748" i="1"/>
  <c r="C87" i="9"/>
  <c r="Y767" i="1"/>
  <c r="H151" i="9"/>
  <c r="Y755" i="1"/>
  <c r="C119" i="9"/>
  <c r="Y756" i="1"/>
  <c r="D119" i="9"/>
  <c r="D55" i="9"/>
  <c r="Y742" i="1"/>
  <c r="Y761" i="1"/>
  <c r="I119" i="9"/>
  <c r="I55" i="9"/>
  <c r="Y747" i="1"/>
  <c r="H119" i="9"/>
  <c r="Y760" i="1"/>
  <c r="F55" i="9"/>
  <c r="Y744" i="1"/>
  <c r="E87" i="9"/>
  <c r="Y750" i="1"/>
  <c r="Y771" i="1"/>
  <c r="E183" i="9"/>
  <c r="G55" i="9"/>
  <c r="Y745" i="1"/>
  <c r="G23" i="9"/>
  <c r="G151" i="9"/>
  <c r="Y766" i="1"/>
  <c r="D23" i="9"/>
  <c r="Y735" i="1"/>
  <c r="C183" i="9"/>
  <c r="Y769" i="1"/>
  <c r="D87" i="9"/>
  <c r="Y749" i="1"/>
  <c r="Y740" i="1"/>
  <c r="I23" i="9"/>
  <c r="F215" i="9"/>
  <c r="D151" i="9"/>
  <c r="Y763" i="1"/>
  <c r="C215" i="9"/>
  <c r="Y776" i="1"/>
  <c r="Y757" i="1"/>
  <c r="E119" i="9"/>
  <c r="C151" i="9"/>
  <c r="Y762" i="1"/>
  <c r="H23" i="9"/>
  <c r="Y739" i="1"/>
  <c r="Y751" i="1"/>
  <c r="F87" i="9"/>
  <c r="G87" i="9"/>
  <c r="Y752" i="1"/>
  <c r="Y775" i="1"/>
  <c r="I183" i="9"/>
  <c r="K715" i="1"/>
  <c r="M668" i="1"/>
  <c r="Y754" i="1"/>
  <c r="I87" i="9"/>
  <c r="E151" i="9"/>
  <c r="Y764" i="1"/>
  <c r="F23" i="9"/>
  <c r="Y737" i="1"/>
  <c r="Y772" i="1"/>
  <c r="F183" i="9"/>
  <c r="E215" i="9"/>
  <c r="Y778" i="1"/>
  <c r="M715" i="1" l="1"/>
  <c r="C23" i="9"/>
  <c r="Y734" i="1"/>
  <c r="Y815" i="1" s="1"/>
</calcChain>
</file>

<file path=xl/sharedStrings.xml><?xml version="1.0" encoding="utf-8"?>
<sst xmlns="http://schemas.openxmlformats.org/spreadsheetml/2006/main" count="4940" uniqueCount="1280">
  <si>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</si>
  <si>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</si>
  <si>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</si>
  <si>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</si>
  <si>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</si>
  <si>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</si>
  <si>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</si>
  <si>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</si>
  <si>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</si>
  <si>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</si>
  <si>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</si>
  <si>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</si>
  <si>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</si>
  <si>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</si>
  <si>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</si>
  <si>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</si>
  <si>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</si>
  <si>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</si>
  <si>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</si>
  <si>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</si>
  <si>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</si>
  <si>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</si>
  <si>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</si>
  <si>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</si>
  <si>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</si>
  <si>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</si>
  <si>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</si>
  <si>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</si>
  <si>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</si>
  <si>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</si>
  <si>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</si>
  <si>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</si>
  <si>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</si>
  <si>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</si>
  <si>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</si>
  <si>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</si>
  <si>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</si>
  <si>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</si>
  <si>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</si>
  <si>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</si>
  <si>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</si>
  <si>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</si>
  <si>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</si>
  <si>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</si>
  <si>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</si>
  <si>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</si>
  <si>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</si>
  <si>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</si>
  <si>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</si>
  <si>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</si>
  <si>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</si>
  <si>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</si>
  <si>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</si>
  <si>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</si>
  <si>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</si>
  <si>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</si>
  <si>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</si>
  <si>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</si>
  <si>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</si>
  <si>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</si>
  <si>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</si>
  <si>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</si>
  <si>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</si>
  <si>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</si>
  <si>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</si>
  <si>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</si>
  <si>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</si>
  <si>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</si>
  <si>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</si>
  <si>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</si>
  <si>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</si>
  <si>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</si>
  <si>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</si>
  <si>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</si>
  <si>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</si>
  <si>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</si>
  <si>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</si>
  <si>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</si>
  <si>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</si>
  <si>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</si>
  <si>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</si>
  <si>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</si>
  <si>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</si>
  <si>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</si>
  <si>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</si>
  <si>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</si>
  <si>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</si>
  <si>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</si>
  <si>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</si>
  <si>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</si>
  <si>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</si>
  <si>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</si>
  <si>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</si>
  <si>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</si>
  <si>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</si>
  <si>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</si>
  <si>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</si>
  <si>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</si>
  <si>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</si>
  <si>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</si>
  <si>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</si>
  <si>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</si>
  <si>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</si>
  <si>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</si>
  <si>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</si>
  <si>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</si>
  <si>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</si>
  <si>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</si>
  <si>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</si>
  <si>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</si>
  <si>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</si>
  <si>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</si>
  <si>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</si>
  <si>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</si>
  <si>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</si>
  <si>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</si>
  <si>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</si>
  <si>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</si>
  <si>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</si>
  <si>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</si>
  <si>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</si>
  <si>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</si>
  <si>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</si>
  <si>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</si>
  <si>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</si>
  <si>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</si>
  <si>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</si>
  <si>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</si>
  <si>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</si>
  <si>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</si>
  <si>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</si>
  <si>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</si>
  <si>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</si>
  <si>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</si>
  <si>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</si>
  <si>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</si>
  <si>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</si>
  <si>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</si>
  <si>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</si>
  <si>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</si>
  <si>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</si>
  <si>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</si>
  <si>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</si>
  <si>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</si>
  <si>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</si>
  <si>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</si>
  <si>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</si>
  <si>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</si>
  <si>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</si>
  <si>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</si>
  <si>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</si>
  <si>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</si>
  <si>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</si>
  <si>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</si>
  <si>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</si>
  <si>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</si>
  <si>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</si>
  <si>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</si>
  <si>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</si>
  <si>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</si>
  <si>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</si>
  <si>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</si>
  <si>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</si>
  <si>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</si>
  <si>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</si>
  <si>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</si>
  <si>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</si>
  <si>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</si>
  <si>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</si>
  <si>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</si>
  <si>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</si>
  <si>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</si>
  <si>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</si>
  <si>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</si>
  <si>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</si>
  <si>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</si>
  <si>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</si>
  <si>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</si>
  <si>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</si>
  <si>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</si>
  <si>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</si>
  <si>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</si>
  <si>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</si>
  <si>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</si>
  <si>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</si>
  <si>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</si>
  <si>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</si>
  <si>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</si>
  <si>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</si>
  <si>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</si>
  <si>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</si>
  <si>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</si>
  <si>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</si>
  <si>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</si>
  <si>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</si>
  <si>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</si>
  <si>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</si>
  <si>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</si>
  <si>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</si>
  <si>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</si>
  <si>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</si>
  <si>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</si>
  <si>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</si>
  <si>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</si>
  <si>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</si>
  <si>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</si>
  <si>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</si>
  <si>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</si>
  <si>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</si>
  <si>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</si>
  <si>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</si>
  <si>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</si>
  <si>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</si>
  <si>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</si>
  <si>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</si>
  <si>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</si>
  <si>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</si>
  <si>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</si>
  <si>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</si>
  <si>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</si>
  <si>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</si>
  <si>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</si>
  <si>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</si>
  <si>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</si>
  <si>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</si>
  <si>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</si>
  <si>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</si>
  <si>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</si>
  <si>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</si>
  <si>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</si>
  <si>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</si>
  <si>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</si>
  <si>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</si>
  <si>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</si>
  <si>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</si>
  <si>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</si>
  <si>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</si>
  <si>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</si>
  <si>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</si>
  <si>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</si>
  <si>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</si>
  <si>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</si>
  <si>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</si>
  <si>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</si>
  <si>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</si>
  <si>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</si>
  <si>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</si>
  <si>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</si>
  <si>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</si>
  <si>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</si>
  <si>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</si>
  <si>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</si>
  <si>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</si>
  <si>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</si>
  <si>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</si>
  <si>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</si>
  <si>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</si>
  <si>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</si>
  <si>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</si>
  <si>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</si>
  <si>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</si>
  <si>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</si>
  <si>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</si>
  <si>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</si>
  <si>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</si>
  <si>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</si>
  <si>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</si>
  <si>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</si>
  <si>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</si>
  <si>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</si>
  <si>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</si>
  <si>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</si>
  <si>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</si>
  <si>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</si>
  <si>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</si>
  <si>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</si>
  <si>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</si>
  <si>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</si>
  <si>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</si>
  <si>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</si>
  <si>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</si>
  <si>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</si>
  <si>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</si>
  <si>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</si>
  <si>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</si>
  <si>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</si>
  <si>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</si>
  <si>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</si>
  <si>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</si>
  <si>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</si>
  <si>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</si>
  <si>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</si>
  <si>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</si>
  <si>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</si>
  <si>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</si>
  <si>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</si>
  <si>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</si>
  <si>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</si>
  <si>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</si>
  <si>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</si>
  <si>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</si>
  <si>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</si>
  <si>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</si>
  <si>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</si>
  <si>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</si>
  <si>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</si>
  <si>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</si>
  <si>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</si>
  <si>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</si>
  <si>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</si>
  <si>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</si>
  <si>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</si>
  <si>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</si>
  <si>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</si>
  <si>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</si>
  <si>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</si>
  <si>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</si>
  <si>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</si>
  <si>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</si>
  <si>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</si>
  <si>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</si>
  <si>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</si>
  <si>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</si>
  <si>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</si>
  <si>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</si>
  <si>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</si>
  <si>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</si>
  <si>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</si>
  <si>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</si>
  <si>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</si>
  <si>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</si>
  <si>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</si>
  <si>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</si>
  <si>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</si>
  <si>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</si>
  <si>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</si>
  <si>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</si>
  <si>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</si>
  <si>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</si>
  <si>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</si>
  <si>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</si>
  <si>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</si>
  <si>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</si>
  <si>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</si>
  <si>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</si>
  <si>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</si>
  <si>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</si>
  <si>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</si>
  <si>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</si>
  <si>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</si>
  <si>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</si>
  <si>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</si>
  <si>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</si>
  <si>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</si>
  <si>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</si>
  <si>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</si>
  <si>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</si>
  <si>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</si>
  <si>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</si>
  <si>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</si>
  <si>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</si>
  <si>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</si>
  <si>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</si>
  <si>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</si>
  <si>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</si>
  <si>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</si>
  <si>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</si>
  <si>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</si>
  <si>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</si>
  <si>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</si>
  <si>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</si>
  <si>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</si>
  <si>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</si>
  <si>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</si>
  <si>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</si>
  <si>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</si>
  <si>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</si>
  <si>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</si>
  <si>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</si>
  <si>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</si>
  <si>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</si>
  <si>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</si>
  <si>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</si>
  <si>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</si>
  <si>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</si>
  <si>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</si>
  <si>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</si>
  <si>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</si>
  <si>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</si>
  <si>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</si>
  <si>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</si>
  <si>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</si>
  <si>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</si>
  <si>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</si>
  <si>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</si>
  <si>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</si>
  <si>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</si>
  <si>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</si>
  <si>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</si>
  <si>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</si>
  <si>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</si>
  <si>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</si>
  <si>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</si>
  <si>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</si>
  <si>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</si>
  <si>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</si>
  <si>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</si>
  <si>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</si>
  <si>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</si>
  <si>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</si>
  <si>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</si>
  <si>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</si>
  <si>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</si>
  <si>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</si>
  <si>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</si>
  <si>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</si>
  <si>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</si>
  <si>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</si>
  <si>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</si>
  <si>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</si>
  <si>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</si>
  <si>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</si>
  <si>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</si>
  <si>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</si>
  <si>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</si>
  <si>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</si>
  <si>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</si>
  <si>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</si>
  <si>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</si>
  <si>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</si>
  <si>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</si>
  <si>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</si>
  <si>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</si>
  <si>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</si>
  <si>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</si>
  <si>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</si>
  <si>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</si>
  <si>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</si>
  <si>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</si>
  <si>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</si>
  <si>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</si>
  <si>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</si>
  <si>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</si>
  <si>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</si>
  <si>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</si>
  <si>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</si>
  <si>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</si>
  <si>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</si>
  <si>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</si>
  <si>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</si>
  <si>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</si>
  <si>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</si>
  <si>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</si>
  <si>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</si>
  <si>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</si>
  <si>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</si>
  <si>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</si>
  <si>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</si>
  <si>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</si>
  <si>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</si>
  <si>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</si>
  <si>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</si>
  <si>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</si>
  <si>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</si>
  <si>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</si>
  <si>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</si>
  <si>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</si>
  <si>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</si>
  <si>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</si>
  <si>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</si>
  <si>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</si>
  <si>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</si>
  <si>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</si>
  <si>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</si>
  <si>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</si>
  <si>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</si>
  <si>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</si>
  <si>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</si>
  <si>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</si>
  <si>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</si>
  <si>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</si>
  <si>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</si>
  <si>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</si>
  <si>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</si>
  <si>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</si>
  <si>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</si>
  <si>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</si>
  <si>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</si>
  <si>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</si>
  <si>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</si>
  <si>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</si>
  <si>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</si>
  <si>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</si>
  <si>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</si>
  <si>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</si>
  <si>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</si>
  <si>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</si>
  <si>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</si>
  <si>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</si>
  <si>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</si>
  <si>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</si>
  <si>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</si>
  <si>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</si>
  <si>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</si>
  <si>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</si>
  <si>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</si>
  <si>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</si>
  <si>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</si>
  <si>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</si>
  <si>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</si>
  <si>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</si>
  <si>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</si>
  <si>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</si>
  <si>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</si>
  <si>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</si>
  <si>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</si>
  <si>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</si>
  <si>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</si>
  <si>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</si>
  <si>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</si>
  <si>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</si>
  <si>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</si>
  <si>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</si>
  <si>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</si>
  <si>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</si>
  <si>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</si>
  <si>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</si>
  <si>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</si>
  <si>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</si>
  <si>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</si>
  <si>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</si>
  <si>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</si>
  <si>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</si>
  <si>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</si>
  <si>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</si>
  <si>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</si>
  <si>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</si>
  <si>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</si>
  <si>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</si>
  <si>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</si>
  <si>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</si>
  <si>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</si>
  <si>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</si>
  <si>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</si>
  <si>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</si>
  <si>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</si>
  <si>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</si>
  <si>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</si>
  <si>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</si>
  <si>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</si>
  <si>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</si>
  <si>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</si>
  <si>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</si>
  <si>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</si>
  <si>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</si>
  <si>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</si>
  <si>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</si>
  <si>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</si>
  <si>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</si>
  <si>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</si>
  <si>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</si>
  <si>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</si>
  <si>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</si>
  <si>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</si>
  <si>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</si>
  <si>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</si>
  <si>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</si>
  <si>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</si>
  <si>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</si>
  <si>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</si>
  <si>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</si>
  <si>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</si>
  <si>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</si>
  <si>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</si>
  <si>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</si>
  <si>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</si>
  <si>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</si>
  <si>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</si>
  <si>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</si>
  <si>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</si>
  <si>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</si>
  <si>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</si>
  <si>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</si>
  <si>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</si>
  <si>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</si>
  <si>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</si>
  <si>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</si>
  <si>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</si>
  <si>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</si>
  <si>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</si>
  <si>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</si>
  <si>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</si>
  <si>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</si>
  <si>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</si>
  <si>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</si>
  <si>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</si>
  <si>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</si>
  <si>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</si>
  <si>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</si>
  <si>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</si>
  <si>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</si>
  <si>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</si>
  <si>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</si>
  <si>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</si>
  <si>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</si>
  <si>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</si>
  <si>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</si>
  <si>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</si>
  <si>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</si>
  <si>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</si>
  <si>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</si>
  <si>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</si>
  <si>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</si>
  <si>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</si>
  <si>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</si>
  <si>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</si>
  <si>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</si>
  <si>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</si>
  <si>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</si>
  <si>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</si>
  <si>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</si>
  <si>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</si>
  <si>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</si>
  <si>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</si>
  <si>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</si>
  <si>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</si>
  <si>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</si>
  <si>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</si>
  <si>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</si>
  <si>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</si>
  <si>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</si>
  <si>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</si>
  <si>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</si>
  <si>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</si>
  <si>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</si>
  <si>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</si>
  <si>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</si>
  <si>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</si>
  <si>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</si>
  <si>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</si>
  <si>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</si>
  <si>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</si>
  <si>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</si>
  <si>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</si>
  <si>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</si>
  <si>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</si>
  <si>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</si>
  <si>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</si>
  <si>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</si>
  <si>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</si>
  <si>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</si>
  <si>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</si>
  <si>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</si>
  <si>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</si>
  <si>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</si>
  <si>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</si>
  <si>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</si>
  <si>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</si>
  <si>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</si>
  <si>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</si>
  <si>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</si>
  <si>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</si>
  <si>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</si>
  <si>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</si>
  <si>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</si>
  <si>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</si>
  <si>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</si>
  <si>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</si>
  <si>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</si>
  <si>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</si>
  <si>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</si>
  <si>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</si>
  <si>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</si>
  <si>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</si>
  <si>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</si>
  <si>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</si>
  <si>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</si>
  <si>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</si>
  <si>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</si>
  <si>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</si>
  <si>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</si>
  <si>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</si>
  <si>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</si>
  <si>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</si>
  <si>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</si>
  <si>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</si>
  <si>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</si>
  <si>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</si>
  <si>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</si>
  <si>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</si>
  <si>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</si>
  <si>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</si>
  <si>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</si>
  <si>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</si>
  <si>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</si>
  <si>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</si>
  <si>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</si>
  <si>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</si>
  <si>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</si>
  <si>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</si>
  <si>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</si>
  <si>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</si>
  <si>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</si>
  <si>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</si>
  <si>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</si>
  <si>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</si>
  <si>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</si>
  <si>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</si>
  <si>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</si>
  <si>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</si>
  <si>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</si>
  <si>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</si>
  <si>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</si>
  <si>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</si>
  <si>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</si>
  <si>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</si>
  <si>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</si>
  <si>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</si>
  <si>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</si>
  <si>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</si>
  <si>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</si>
  <si>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</si>
  <si>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</si>
  <si>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</si>
  <si>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</si>
  <si>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</si>
  <si>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</si>
  <si>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</si>
  <si>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</si>
  <si>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</si>
  <si>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</si>
  <si>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</si>
  <si>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</si>
  <si>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</si>
  <si>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</si>
  <si>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</si>
  <si>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</si>
  <si>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</si>
  <si>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</si>
  <si>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</si>
  <si>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</si>
  <si>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</si>
  <si>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</si>
  <si>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</si>
  <si>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</si>
  <si>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</si>
  <si>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</si>
  <si>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</si>
  <si>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</si>
  <si>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</si>
  <si>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</si>
  <si>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</si>
  <si>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</si>
  <si>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</si>
  <si>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</si>
  <si>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</si>
  <si>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</si>
  <si>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</si>
  <si>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</si>
  <si>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</si>
  <si>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</si>
  <si>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</si>
  <si>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</si>
  <si>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</si>
  <si>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</si>
  <si>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</si>
  <si>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</si>
  <si>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</si>
  <si>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</si>
  <si>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</si>
  <si>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</si>
  <si>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</si>
  <si>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</si>
  <si>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</si>
  <si>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</si>
  <si>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</si>
  <si>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</si>
  <si>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</si>
  <si>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</si>
  <si>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</si>
  <si>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</si>
  <si>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</si>
  <si>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</si>
  <si>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</si>
  <si>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</si>
  <si>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</si>
  <si>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</si>
  <si>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</si>
  <si>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</si>
  <si>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</si>
  <si>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</si>
  <si>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</si>
  <si>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</si>
  <si>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</si>
  <si>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</si>
  <si>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</si>
  <si>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</si>
  <si>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</si>
  <si>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</si>
  <si>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</si>
  <si>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</si>
  <si>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</si>
  <si>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</si>
  <si>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</si>
  <si>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</si>
  <si>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</si>
  <si>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</si>
  <si>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</si>
  <si>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</si>
  <si>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</si>
  <si>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</si>
  <si>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</si>
  <si>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</si>
  <si>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</si>
  <si>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</si>
  <si>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</si>
  <si>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</si>
  <si>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</si>
  <si>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</si>
  <si>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</si>
  <si>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</si>
  <si>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</si>
  <si>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</si>
  <si>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</si>
  <si>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</si>
  <si>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</si>
  <si>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</si>
  <si>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</si>
  <si>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</si>
  <si>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</si>
  <si>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</si>
  <si>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</si>
  <si>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</si>
  <si>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</si>
  <si>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</si>
  <si>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</si>
  <si>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</si>
  <si>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</si>
  <si>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</si>
  <si>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</si>
  <si>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</si>
  <si>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</si>
  <si>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</si>
  <si>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</si>
  <si>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</si>
  <si>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</si>
  <si>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</si>
  <si>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</si>
  <si>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</si>
  <si>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</si>
  <si>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</si>
  <si>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</si>
  <si>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</si>
  <si>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</si>
  <si>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</si>
  <si>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</si>
  <si>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</si>
  <si>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</si>
  <si>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</si>
  <si>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</si>
  <si>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</si>
  <si>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</si>
  <si>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</si>
  <si>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</si>
  <si>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</si>
  <si>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</si>
  <si>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</si>
  <si>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</si>
  <si>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</si>
  <si>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</si>
  <si>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</si>
  <si>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</si>
  <si>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</si>
  <si>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</si>
  <si>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</si>
  <si>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</si>
  <si>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</si>
  <si>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</si>
  <si>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</si>
  <si>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</si>
  <si>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</si>
  <si>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</si>
  <si>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</si>
  <si>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</si>
  <si>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</si>
  <si>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</si>
  <si>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</si>
  <si>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</si>
  <si>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</si>
  <si>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</si>
  <si>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</si>
  <si>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</si>
  <si>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</si>
  <si>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</si>
  <si>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</si>
  <si>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</si>
  <si>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</si>
  <si>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</si>
  <si>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</si>
  <si>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</si>
  <si>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</si>
  <si>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</si>
  <si>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</si>
  <si>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</si>
  <si>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</si>
  <si>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</si>
  <si>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</si>
  <si>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</si>
  <si>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</si>
  <si>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</si>
  <si>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</si>
  <si>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</si>
  <si>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</si>
  <si>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</si>
  <si>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</si>
  <si>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</si>
  <si>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</si>
  <si>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</si>
  <si>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</si>
  <si>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</si>
  <si>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</si>
  <si>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</si>
  <si>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</si>
  <si>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</si>
  <si>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</si>
  <si>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</si>
  <si>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</si>
  <si>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</si>
  <si>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</si>
  <si>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</si>
  <si>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</si>
  <si>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</si>
  <si>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</si>
  <si>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</si>
  <si>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</si>
  <si>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</si>
  <si>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</si>
  <si>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</si>
  <si>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</si>
  <si>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</si>
  <si>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</si>
  <si>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</si>
  <si>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</si>
  <si>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</si>
  <si>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</si>
  <si>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</si>
  <si>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</si>
  <si>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</si>
  <si>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</si>
  <si>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</si>
  <si>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</si>
  <si>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</si>
  <si>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</si>
  <si>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</si>
  <si>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</si>
  <si>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</si>
  <si>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</si>
  <si>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</si>
  <si>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</si>
  <si>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</si>
  <si>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</si>
  <si>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</si>
  <si>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</si>
  <si>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</si>
  <si>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</si>
  <si>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</si>
  <si>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</si>
  <si>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</si>
  <si>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</si>
  <si>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</si>
  <si>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</si>
  <si>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</si>
  <si>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</si>
  <si>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</si>
  <si>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</si>
  <si>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</si>
  <si>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</si>
  <si>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</si>
  <si>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</si>
  <si>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</si>
  <si>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</si>
  <si>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</si>
  <si>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</si>
  <si>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</si>
  <si>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</si>
  <si>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</si>
  <si>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</si>
  <si>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</si>
  <si>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</si>
  <si>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</si>
  <si>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</si>
  <si>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</si>
  <si>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</si>
  <si>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</si>
  <si>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</si>
  <si>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</si>
  <si>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</si>
  <si>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</si>
  <si>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</si>
  <si>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</si>
  <si>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</si>
  <si>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</si>
  <si>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</si>
  <si>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</si>
  <si>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</si>
  <si>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</si>
  <si>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</si>
  <si>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</si>
  <si>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</si>
  <si>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</si>
  <si>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</si>
  <si>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</si>
  <si>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</si>
  <si>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</si>
  <si>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</si>
  <si>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</si>
  <si>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</si>
  <si>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</si>
  <si>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</si>
  <si>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</si>
  <si>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</si>
  <si>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</si>
  <si>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</si>
  <si>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</si>
  <si>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</si>
  <si>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</si>
  <si>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</si>
  <si>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</si>
  <si>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</si>
  <si>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</si>
  <si>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</si>
  <si>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</si>
  <si>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</si>
  <si>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</si>
  <si>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</si>
  <si>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</si>
  <si>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</si>
  <si>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</si>
  <si>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</si>
  <si>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</si>
  <si>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</si>
  <si>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</si>
  <si>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</si>
  <si>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</si>
  <si>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</si>
  <si>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</si>
  <si>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</si>
  <si>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</si>
  <si>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</si>
  <si>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</si>
  <si>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</si>
  <si>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</si>
  <si>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</si>
  <si>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</si>
  <si>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</si>
  <si>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</si>
  <si>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</si>
  <si>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</si>
  <si>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</si>
  <si>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</si>
  <si>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</si>
  <si>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</si>
  <si>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</si>
  <si>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</si>
  <si>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</si>
  <si>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</si>
  <si>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</si>
  <si>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</si>
  <si>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</si>
  <si>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</si>
  <si>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</si>
  <si>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</si>
  <si>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</si>
  <si>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</si>
  <si>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</si>
  <si>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</si>
  <si>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</si>
  <si>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</si>
  <si>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</si>
  <si>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</si>
  <si>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</si>
  <si>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</si>
  <si>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</si>
  <si>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</si>
  <si>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</si>
  <si>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</si>
  <si>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</si>
  <si>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</si>
  <si>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</si>
  <si>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</si>
  <si>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</si>
  <si>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</si>
  <si>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</si>
  <si>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</si>
  <si>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</si>
  <si>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</si>
  <si>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</si>
  <si>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</si>
  <si>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</si>
  <si>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</si>
  <si>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</si>
  <si>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</si>
  <si>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</si>
  <si>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</si>
  <si>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</si>
  <si>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</si>
  <si>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</si>
  <si>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</si>
  <si>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</si>
  <si>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</si>
  <si>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</si>
  <si>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</si>
  <si>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</si>
  <si>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</si>
  <si>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</si>
  <si>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</si>
  <si>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</si>
  <si>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</si>
  <si>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</si>
  <si>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</si>
  <si>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</si>
  <si>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</si>
  <si>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</si>
  <si>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</si>
  <si>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</si>
  <si>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</si>
  <si>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</si>
  <si>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</si>
  <si>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</si>
  <si>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</si>
  <si>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</si>
  <si>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</si>
  <si>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</si>
  <si>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</si>
  <si>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</si>
  <si>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</si>
  <si>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</si>
  <si>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</si>
  <si>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</si>
  <si>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</si>
  <si>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</si>
  <si>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</si>
  <si>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</si>
  <si>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</si>
  <si>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</si>
  <si>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</si>
  <si>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</si>
  <si>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</si>
  <si>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</si>
  <si>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</si>
  <si>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</si>
  <si>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</si>
  <si>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</si>
  <si>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</si>
  <si>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</si>
  <si>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</si>
  <si>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</si>
  <si>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</si>
  <si>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</si>
  <si>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</si>
  <si>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</si>
  <si>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</si>
  <si>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</si>
  <si>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</si>
  <si>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</si>
  <si>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</si>
  <si>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</si>
  <si>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</si>
  <si>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</si>
  <si>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</si>
  <si>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</si>
  <si>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</si>
  <si>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</si>
  <si>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</si>
  <si>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</si>
  <si>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</si>
  <si>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</si>
  <si>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</si>
  <si>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</si>
  <si>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</si>
  <si>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</si>
  <si>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</si>
  <si>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</si>
  <si>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</si>
  <si>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</si>
  <si>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</si>
  <si>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</si>
  <si>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</si>
  <si>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</si>
  <si>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</si>
  <si>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</si>
  <si>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</si>
  <si>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</si>
  <si>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</si>
  <si>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</si>
  <si>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</si>
  <si>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</si>
  <si>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</si>
  <si>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</si>
  <si>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</si>
  <si>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</si>
  <si>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</si>
  <si>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</si>
  <si>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</si>
  <si>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</si>
  <si>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</si>
  <si>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</si>
  <si>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</si>
  <si>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</si>
  <si>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</si>
  <si>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</si>
  <si>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</si>
  <si>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</si>
  <si>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</si>
  <si>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</si>
  <si>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</si>
  <si>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</si>
  <si>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</si>
  <si>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</si>
  <si>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</si>
  <si>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</si>
  <si>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</si>
  <si>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</si>
  <si>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</si>
  <si>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</si>
  <si>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</si>
  <si>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</si>
  <si>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</si>
  <si>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</si>
  <si>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</si>
  <si>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</si>
  <si>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</si>
  <si>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</si>
  <si>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</si>
  <si>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</si>
  <si>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</si>
  <si>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</si>
  <si>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</si>
  <si>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</si>
  <si>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</si>
  <si>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</si>
  <si>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</si>
  <si>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</si>
  <si>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</si>
  <si>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</si>
  <si>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</si>
  <si>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</si>
  <si>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</si>
  <si>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</si>
  <si>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</si>
  <si>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</si>
  <si>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</si>
  <si>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</si>
  <si>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</si>
  <si>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</si>
  <si>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</si>
  <si>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</si>
  <si>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</si>
  <si>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</si>
  <si>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</si>
  <si>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</si>
  <si>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</si>
  <si>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</si>
  <si>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</si>
  <si>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</si>
  <si>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</si>
  <si>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</si>
  <si>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</si>
  <si>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12/31/2021</t>
  </si>
  <si>
    <t>172</t>
  </si>
  <si>
    <t>Public Hospital District #1-A of Whitman County</t>
  </si>
  <si>
    <t>835 SE Bishop Blvd</t>
  </si>
  <si>
    <t>Pullman WA 99163</t>
  </si>
  <si>
    <t>Whitman</t>
  </si>
  <si>
    <t>Scott K Adams</t>
  </si>
  <si>
    <t>Steven D Febus</t>
  </si>
  <si>
    <t>Jeff Elbracht</t>
  </si>
  <si>
    <t>509-332-2541</t>
  </si>
  <si>
    <t>509-332-4242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</si>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</sst>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7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600</v>
          </cell>
          <cell r="D59"/>
          <cell r="E59">
            <v>2851</v>
          </cell>
          <cell r="F59"/>
          <cell r="G59"/>
          <cell r="H59"/>
          <cell r="I59"/>
          <cell r="J59">
            <v>711</v>
          </cell>
          <cell r="K59"/>
          <cell r="L59">
            <v>181</v>
          </cell>
          <cell r="M59"/>
          <cell r="N59"/>
          <cell r="O59">
            <v>358</v>
          </cell>
          <cell r="P59">
            <v>215571</v>
          </cell>
          <cell r="Q59">
            <v>105830</v>
          </cell>
          <cell r="R59">
            <v>161700</v>
          </cell>
          <cell r="U59">
            <v>110516</v>
          </cell>
          <cell r="V59">
            <v>3574</v>
          </cell>
          <cell r="W59">
            <v>2866</v>
          </cell>
          <cell r="X59">
            <v>4910</v>
          </cell>
          <cell r="Y59">
            <v>25356</v>
          </cell>
          <cell r="Z59"/>
          <cell r="AA59">
            <v>803</v>
          </cell>
          <cell r="AC59">
            <v>13692</v>
          </cell>
          <cell r="AD59"/>
          <cell r="AE59">
            <v>38141</v>
          </cell>
          <cell r="AF59"/>
          <cell r="AG59">
            <v>12662</v>
          </cell>
          <cell r="AH59"/>
          <cell r="AI59"/>
          <cell r="AJ59">
            <v>340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21476.37</v>
          </cell>
          <cell r="AZ59">
            <v>89538.42</v>
          </cell>
          <cell r="BA59"/>
          <cell r="BE59">
            <v>120387</v>
          </cell>
        </row>
        <row r="71">
          <cell r="C71">
            <v>1662774</v>
          </cell>
          <cell r="D71">
            <v>0</v>
          </cell>
          <cell r="E71">
            <v>4488628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2731315</v>
          </cell>
          <cell r="P71">
            <v>7222692</v>
          </cell>
          <cell r="Q71">
            <v>0</v>
          </cell>
          <cell r="R71">
            <v>478914</v>
          </cell>
          <cell r="S71">
            <v>4870749</v>
          </cell>
          <cell r="T71">
            <v>0</v>
          </cell>
          <cell r="U71">
            <v>2643619</v>
          </cell>
          <cell r="V71">
            <v>7486</v>
          </cell>
          <cell r="W71">
            <v>587180</v>
          </cell>
          <cell r="X71">
            <v>269621</v>
          </cell>
          <cell r="Y71">
            <v>2980818</v>
          </cell>
          <cell r="Z71">
            <v>0</v>
          </cell>
          <cell r="AA71">
            <v>789006</v>
          </cell>
          <cell r="AB71">
            <v>4520472</v>
          </cell>
          <cell r="AC71">
            <v>1372896</v>
          </cell>
          <cell r="AD71">
            <v>0</v>
          </cell>
          <cell r="AE71">
            <v>4415111</v>
          </cell>
          <cell r="AF71">
            <v>0</v>
          </cell>
          <cell r="AG71">
            <v>6277890</v>
          </cell>
          <cell r="AH71">
            <v>0</v>
          </cell>
          <cell r="AI71">
            <v>0</v>
          </cell>
          <cell r="AJ71">
            <v>92217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-9825</v>
          </cell>
          <cell r="AW71">
            <v>0</v>
          </cell>
          <cell r="AX71">
            <v>0</v>
          </cell>
          <cell r="AY71">
            <v>1861718</v>
          </cell>
          <cell r="AZ71">
            <v>-604044</v>
          </cell>
          <cell r="BA71">
            <v>253057</v>
          </cell>
          <cell r="BB71">
            <v>619019</v>
          </cell>
          <cell r="BC71">
            <v>0</v>
          </cell>
          <cell r="BD71">
            <v>648581</v>
          </cell>
          <cell r="BE71">
            <v>1737260</v>
          </cell>
          <cell r="BF71">
            <v>818723</v>
          </cell>
          <cell r="BG71">
            <v>0</v>
          </cell>
          <cell r="BH71">
            <v>1896207</v>
          </cell>
          <cell r="BI71">
            <v>908734</v>
          </cell>
          <cell r="BJ71">
            <v>0</v>
          </cell>
          <cell r="BK71">
            <v>1393769</v>
          </cell>
          <cell r="BL71">
            <v>636392</v>
          </cell>
          <cell r="BM71">
            <v>264325</v>
          </cell>
          <cell r="BN71">
            <v>1534633</v>
          </cell>
          <cell r="BO71">
            <v>130780</v>
          </cell>
          <cell r="BP71">
            <v>865921</v>
          </cell>
          <cell r="BQ71">
            <v>0</v>
          </cell>
          <cell r="BR71">
            <v>972272</v>
          </cell>
          <cell r="BS71">
            <v>0</v>
          </cell>
          <cell r="BT71">
            <v>0</v>
          </cell>
          <cell r="BU71">
            <v>0</v>
          </cell>
          <cell r="BV71">
            <v>603722</v>
          </cell>
          <cell r="BW71">
            <v>1769561</v>
          </cell>
          <cell r="BX71">
            <v>423513</v>
          </cell>
          <cell r="BY71">
            <v>1047611</v>
          </cell>
          <cell r="BZ71">
            <v>0</v>
          </cell>
          <cell r="CA71">
            <v>0</v>
          </cell>
          <cell r="CB71">
            <v>0</v>
          </cell>
          <cell r="CC71">
            <v>611098</v>
          </cell>
        </row>
        <row r="72">
          <cell r="CD72" t="str">
            <v>x</v>
          </cell>
        </row>
        <row r="83">
          <cell r="C83" t="str">
            <v>172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18" transitionEvaluation="1" transitionEntry="1" codeName="Sheet1">
    <pageSetUpPr autoPageBreaks="0" fitToPage="1"/>
  </sheetPr>
  <dimension ref="A1:CF817"/>
  <sheetViews>
    <sheetView showGridLines="0" tabSelected="1" topLeftCell="A718" zoomScale="75" zoomScaleNormal="75" workbookViewId="0">
      <selection activeCell="A724" sqref="A724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">
      <c r="A3" s="199"/>
      <c r="C3" s="234"/>
    </row>
    <row r="4" spans="1:6" ht="12.75" customHeight="1" x14ac:dyDescent="0.3">
      <c r="C4" s="234"/>
    </row>
    <row r="5" spans="1:6" ht="12.75" customHeight="1" x14ac:dyDescent="0.3">
      <c r="A5" s="199" t="s">
        <v>1257</v>
      </c>
      <c r="C5" s="234"/>
    </row>
    <row r="6" spans="1:6" ht="12.75" customHeight="1" x14ac:dyDescent="0.3">
      <c r="A6" s="199" t="s">
        <v>0</v>
      </c>
      <c r="C6" s="234"/>
    </row>
    <row r="7" spans="1:6" ht="12.75" customHeight="1" x14ac:dyDescent="0.3">
      <c r="A7" s="199" t="s">
        <v>1</v>
      </c>
      <c r="C7" s="234"/>
    </row>
    <row r="8" spans="1:6" ht="12.75" customHeight="1" x14ac:dyDescent="0.3">
      <c r="C8" s="234"/>
    </row>
    <row r="9" spans="1:6" ht="12.75" customHeight="1" x14ac:dyDescent="0.3">
      <c r="C9" s="234"/>
    </row>
    <row r="10" spans="1:6" ht="12.75" customHeight="1" x14ac:dyDescent="0.3">
      <c r="A10" s="198" t="s">
        <v>1228</v>
      </c>
      <c r="C10" s="234"/>
    </row>
    <row r="11" spans="1:6" ht="12.75" customHeight="1" x14ac:dyDescent="0.3">
      <c r="A11" s="198" t="s">
        <v>1230</v>
      </c>
      <c r="C11" s="234"/>
    </row>
    <row r="12" spans="1:6" ht="12.75" customHeight="1" x14ac:dyDescent="0.3">
      <c r="C12" s="234"/>
    </row>
    <row r="13" spans="1:6" ht="12.75" customHeight="1" x14ac:dyDescent="0.3">
      <c r="C13" s="234"/>
    </row>
    <row r="14" spans="1:6" ht="12.75" customHeight="1" x14ac:dyDescent="0.3">
      <c r="A14" s="199" t="s">
        <v>2</v>
      </c>
      <c r="C14" s="234"/>
    </row>
    <row r="15" spans="1:6" ht="12.75" customHeight="1" x14ac:dyDescent="0.3">
      <c r="A15" s="293"/>
      <c r="C15" s="234"/>
    </row>
    <row r="16" spans="1:6" ht="12.75" customHeight="1" x14ac:dyDescent="0.3">
      <c r="A16" s="294" t="s">
        <v>1266</v>
      </c>
      <c r="C16" s="234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4"/>
    </row>
    <row r="19" spans="1:6" ht="12.75" customHeight="1" x14ac:dyDescent="0.3">
      <c r="C19" s="234"/>
    </row>
    <row r="20" spans="1:6" ht="12.75" customHeight="1" x14ac:dyDescent="0.3">
      <c r="A20" s="272" t="s">
        <v>1233</v>
      </c>
      <c r="B20" s="272"/>
      <c r="C20" s="288"/>
      <c r="D20" s="272"/>
      <c r="E20" s="272"/>
      <c r="F20" s="272"/>
    </row>
    <row r="21" spans="1:6" ht="22.5" customHeight="1" x14ac:dyDescent="0.3">
      <c r="A21" s="199"/>
      <c r="C21" s="234"/>
    </row>
    <row r="22" spans="1:6" ht="12.65" customHeight="1" x14ac:dyDescent="0.3">
      <c r="A22" s="236" t="s">
        <v>1253</v>
      </c>
      <c r="B22" s="237"/>
      <c r="C22" s="238"/>
      <c r="D22" s="236"/>
      <c r="E22" s="236"/>
    </row>
    <row r="23" spans="1:6" ht="12.65" customHeight="1" x14ac:dyDescent="0.3">
      <c r="B23" s="199"/>
      <c r="C23" s="234"/>
    </row>
    <row r="24" spans="1:6" ht="12.65" customHeight="1" x14ac:dyDescent="0.3">
      <c r="A24" s="239" t="s">
        <v>3</v>
      </c>
      <c r="C24" s="234"/>
    </row>
    <row r="25" spans="1:6" ht="12.65" customHeight="1" x14ac:dyDescent="0.3">
      <c r="A25" s="198" t="s">
        <v>1234</v>
      </c>
      <c r="C25" s="234"/>
    </row>
    <row r="26" spans="1:6" ht="12.65" customHeight="1" x14ac:dyDescent="0.3">
      <c r="A26" s="199" t="s">
        <v>4</v>
      </c>
      <c r="C26" s="234"/>
    </row>
    <row r="27" spans="1:6" ht="12.65" customHeight="1" x14ac:dyDescent="0.3">
      <c r="A27" s="198" t="s">
        <v>1235</v>
      </c>
      <c r="C27" s="234"/>
    </row>
    <row r="28" spans="1:6" ht="12.65" customHeight="1" x14ac:dyDescent="0.3">
      <c r="A28" s="199" t="s">
        <v>5</v>
      </c>
      <c r="C28" s="234"/>
    </row>
    <row r="29" spans="1:6" ht="12.65" customHeight="1" x14ac:dyDescent="0.3">
      <c r="A29" s="198"/>
      <c r="C29" s="234"/>
    </row>
    <row r="30" spans="1:6" ht="12.65" customHeight="1" x14ac:dyDescent="0.3">
      <c r="A30" s="180" t="s">
        <v>6</v>
      </c>
      <c r="C30" s="234"/>
    </row>
    <row r="31" spans="1:6" ht="12.65" customHeight="1" x14ac:dyDescent="0.3">
      <c r="A31" s="199" t="s">
        <v>7</v>
      </c>
      <c r="C31" s="234"/>
    </row>
    <row r="32" spans="1:6" ht="12.65" customHeight="1" x14ac:dyDescent="0.3">
      <c r="A32" s="199" t="s">
        <v>8</v>
      </c>
      <c r="C32" s="234"/>
    </row>
    <row r="33" spans="1:83" ht="12.65" customHeight="1" x14ac:dyDescent="0.3">
      <c r="A33" s="198" t="s">
        <v>1236</v>
      </c>
      <c r="C33" s="234"/>
    </row>
    <row r="34" spans="1:83" ht="12.65" customHeight="1" x14ac:dyDescent="0.3">
      <c r="A34" s="199" t="s">
        <v>9</v>
      </c>
      <c r="C34" s="234"/>
    </row>
    <row r="35" spans="1:83" ht="12.65" customHeight="1" x14ac:dyDescent="0.3">
      <c r="A35" s="199"/>
      <c r="C35" s="234"/>
    </row>
    <row r="36" spans="1:83" ht="12.65" customHeight="1" x14ac:dyDescent="0.3">
      <c r="A36" s="198" t="s">
        <v>1237</v>
      </c>
      <c r="C36" s="234"/>
    </row>
    <row r="37" spans="1:83" ht="12.65" customHeight="1" x14ac:dyDescent="0.3">
      <c r="A37" s="199" t="s">
        <v>1229</v>
      </c>
      <c r="C37" s="234"/>
    </row>
    <row r="38" spans="1:83" ht="12" customHeight="1" x14ac:dyDescent="0.3">
      <c r="A38" s="198"/>
      <c r="C38" s="234"/>
    </row>
    <row r="39" spans="1:83" ht="12.65" customHeight="1" x14ac:dyDescent="0.3">
      <c r="A39" s="199"/>
      <c r="C39" s="234"/>
    </row>
    <row r="40" spans="1:83" ht="12" customHeight="1" x14ac:dyDescent="0.3">
      <c r="A40" s="199"/>
      <c r="C40" s="234"/>
    </row>
    <row r="41" spans="1:83" ht="12" customHeight="1" x14ac:dyDescent="0.3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">
      <c r="A43" s="199"/>
      <c r="C43" s="234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8624055</v>
      </c>
      <c r="C48" s="244">
        <f>ROUND(((B48/CE61)*C61),0)</f>
        <v>334216</v>
      </c>
      <c r="D48" s="244">
        <f>ROUND(((B48/CE61)*D61),0)</f>
        <v>0</v>
      </c>
      <c r="E48" s="195">
        <f>ROUND(((B48/CE61)*E61),0)</f>
        <v>756739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509959</v>
      </c>
      <c r="P48" s="195">
        <f>ROUND(((B48/CE61)*P61),0)</f>
        <v>1148650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266765</v>
      </c>
      <c r="V48" s="195">
        <f>ROUND(((B48/CE61)*V61),0)</f>
        <v>0</v>
      </c>
      <c r="W48" s="195">
        <f>ROUND(((B48/CE61)*W61),0)</f>
        <v>81914</v>
      </c>
      <c r="X48" s="195">
        <f>ROUND(((B48/CE61)*X61),0)</f>
        <v>19682</v>
      </c>
      <c r="Y48" s="195">
        <f>ROUND(((B48/CE61)*Y61),0)</f>
        <v>459403</v>
      </c>
      <c r="Z48" s="195">
        <f>ROUND(((B48/CE61)*Z61),0)</f>
        <v>0</v>
      </c>
      <c r="AA48" s="195">
        <f>ROUND(((B48/CE61)*AA61),0)</f>
        <v>61418</v>
      </c>
      <c r="AB48" s="195">
        <f>ROUND(((B48/CE61)*AB61),0)</f>
        <v>192857</v>
      </c>
      <c r="AC48" s="195">
        <f>ROUND(((B48/CE61)*AC61),0)</f>
        <v>235491</v>
      </c>
      <c r="AD48" s="195">
        <f>ROUND(((B48/CE61)*AD61),0)</f>
        <v>0</v>
      </c>
      <c r="AE48" s="195">
        <f>ROUND(((B48/CE61)*AE61),0)</f>
        <v>846575</v>
      </c>
      <c r="AF48" s="195">
        <f>ROUND(((B48/CE61)*AF61),0)</f>
        <v>0</v>
      </c>
      <c r="AG48" s="195">
        <f>ROUND(((B48/CE61)*AG61),0)</f>
        <v>1289300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19185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15989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46087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209055</v>
      </c>
      <c r="AZ48" s="195">
        <f>ROUND(((B48/CE61)*AZ61),0)</f>
        <v>0</v>
      </c>
      <c r="BA48" s="195">
        <f>ROUND(((B48/CE61)*BA61),0)</f>
        <v>10310</v>
      </c>
      <c r="BB48" s="195">
        <f>ROUND(((B48/CE61)*BB61),0)</f>
        <v>123485</v>
      </c>
      <c r="BC48" s="195">
        <f>ROUND(((B48/CE61)*BC61),0)</f>
        <v>0</v>
      </c>
      <c r="BD48" s="195">
        <f>ROUND(((B48/CE61)*BD61),0)</f>
        <v>107817</v>
      </c>
      <c r="BE48" s="195">
        <f>ROUND(((B48/CE61)*BE61),0)</f>
        <v>144900</v>
      </c>
      <c r="BF48" s="195">
        <f>ROUND(((B48/CE61)*BF61),0)</f>
        <v>145750</v>
      </c>
      <c r="BG48" s="195">
        <f>ROUND(((B48/CE61)*BG61),0)</f>
        <v>0</v>
      </c>
      <c r="BH48" s="195">
        <f>ROUND(((B48/CE61)*BH61),0)</f>
        <v>160096</v>
      </c>
      <c r="BI48" s="195">
        <f>ROUND(((B48/CE61)*BI61),0)</f>
        <v>96309</v>
      </c>
      <c r="BJ48" s="195">
        <f>ROUND(((B48/CE61)*BJ61),0)</f>
        <v>0</v>
      </c>
      <c r="BK48" s="195">
        <f>ROUND(((B48/CE61)*BK61),0)</f>
        <v>172929</v>
      </c>
      <c r="BL48" s="195">
        <f>ROUND(((B48/CE61)*BL61),0)</f>
        <v>129804</v>
      </c>
      <c r="BM48" s="195">
        <f>ROUND(((B48/CE61)*BM61),0)</f>
        <v>90459</v>
      </c>
      <c r="BN48" s="195">
        <f>ROUND(((B48/CE61)*BN61),0)</f>
        <v>167744</v>
      </c>
      <c r="BO48" s="195">
        <f>ROUND(((B48/CE61)*BO61),0)</f>
        <v>24061</v>
      </c>
      <c r="BP48" s="195">
        <f>ROUND(((B48/CE61)*BP61),0)</f>
        <v>79835</v>
      </c>
      <c r="BQ48" s="195">
        <f>ROUND(((B48/CE61)*BQ61),0)</f>
        <v>0</v>
      </c>
      <c r="BR48" s="195">
        <f>ROUND(((B48/CE61)*BR61),0)</f>
        <v>144318</v>
      </c>
      <c r="BS48" s="195">
        <f>ROUND(((B48/CE61)*BS61),0)</f>
        <v>16566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69695</v>
      </c>
      <c r="BW48" s="195">
        <f>ROUND(((B48/CE61)*BW61),0)</f>
        <v>170028</v>
      </c>
      <c r="BX48" s="195">
        <f>ROUND(((B48/CE61)*BX61),0)</f>
        <v>44534</v>
      </c>
      <c r="BY48" s="195">
        <f>ROUND(((B48/CE61)*BY61),0)</f>
        <v>232129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8624054</v>
      </c>
    </row>
    <row r="49" spans="1:84" ht="12.65" customHeight="1" x14ac:dyDescent="0.3">
      <c r="A49" s="175" t="s">
        <v>206</v>
      </c>
      <c r="B49" s="195">
        <f>B47+B48</f>
        <v>8624055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2634471</v>
      </c>
      <c r="C52" s="195">
        <f>ROUND((B52/(CE76+CF76)*C76),0)</f>
        <v>84621</v>
      </c>
      <c r="D52" s="195">
        <f>ROUND((B52/(CE76+CF76)*D76),0)</f>
        <v>0</v>
      </c>
      <c r="E52" s="195">
        <f>ROUND((B52/(CE76+CF76)*E76),0)</f>
        <v>141834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169386</v>
      </c>
      <c r="P52" s="195">
        <f>ROUND((B52/(CE76+CF76)*P76),0)</f>
        <v>327115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28193</v>
      </c>
      <c r="T52" s="195">
        <f>ROUND((B52/(CE76+CF76)*T76),0)</f>
        <v>0</v>
      </c>
      <c r="U52" s="195">
        <f>ROUND((B52/(CE76+CF76)*U76),0)</f>
        <v>42434</v>
      </c>
      <c r="V52" s="195">
        <f>ROUND((B52/(CE76+CF76)*V76),0)</f>
        <v>8061</v>
      </c>
      <c r="W52" s="195">
        <f>ROUND((B52/(CE76+CF76)*W76),0)</f>
        <v>13104</v>
      </c>
      <c r="X52" s="195">
        <f>ROUND((B52/(CE76+CF76)*X76),0)</f>
        <v>10789</v>
      </c>
      <c r="Y52" s="195">
        <f>ROUND((B52/(CE76+CF76)*Y76),0)</f>
        <v>101983</v>
      </c>
      <c r="Z52" s="195">
        <f>ROUND((B52/(CE76+CF76)*Z76),0)</f>
        <v>0</v>
      </c>
      <c r="AA52" s="195">
        <f>ROUND((B52/(CE76+CF76)*AA76),0)</f>
        <v>7110</v>
      </c>
      <c r="AB52" s="195">
        <f>ROUND((B52/(CE76+CF76)*AB76),0)</f>
        <v>20256</v>
      </c>
      <c r="AC52" s="195">
        <f>ROUND((B52/(CE76+CF76)*AC76),0)</f>
        <v>26891</v>
      </c>
      <c r="AD52" s="195">
        <f>ROUND((B52/(CE76+CF76)*AD76),0)</f>
        <v>0</v>
      </c>
      <c r="AE52" s="195">
        <f>ROUND((B52/(CE76+CF76)*AE76),0)</f>
        <v>289538</v>
      </c>
      <c r="AF52" s="195">
        <f>ROUND((B52/(CE76+CF76)*AF76),0)</f>
        <v>0</v>
      </c>
      <c r="AG52" s="195">
        <f>ROUND((B52/(CE76+CF76)*AG76),0)</f>
        <v>123624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54361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9839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94170</v>
      </c>
      <c r="AZ52" s="195">
        <f>ROUND((B52/(CE76+CF76)*AZ76),0)</f>
        <v>0</v>
      </c>
      <c r="BA52" s="195">
        <f>ROUND((B52/(CE76+CF76)*BA76),0)</f>
        <v>26664</v>
      </c>
      <c r="BB52" s="195">
        <f>ROUND((B52/(CE76+CF76)*BB76),0)</f>
        <v>8723</v>
      </c>
      <c r="BC52" s="195">
        <f>ROUND((B52/(CE76+CF76)*BC76),0)</f>
        <v>0</v>
      </c>
      <c r="BD52" s="195">
        <f>ROUND((B52/(CE76+CF76)*BD76),0)</f>
        <v>58970</v>
      </c>
      <c r="BE52" s="195">
        <f>ROUND((B52/(CE76+CF76)*BE76),0)</f>
        <v>225256</v>
      </c>
      <c r="BF52" s="195">
        <f>ROUND((B52/(CE76+CF76)*BF76),0)</f>
        <v>91897</v>
      </c>
      <c r="BG52" s="195">
        <f>ROUND((B52/(CE76+CF76)*BG76),0)</f>
        <v>0</v>
      </c>
      <c r="BH52" s="195">
        <f>ROUND((B52/(CE76+CF76)*BH76),0)</f>
        <v>21724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21331</v>
      </c>
      <c r="BM52" s="195">
        <f>ROUND((B52/(CE76+CF76)*BM76),0)</f>
        <v>0</v>
      </c>
      <c r="BN52" s="195">
        <f>ROUND((B52/(CE76+CF76)*BN76),0)</f>
        <v>44150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13518</v>
      </c>
      <c r="BW52" s="195">
        <f>ROUND((B52/(CE76+CF76)*BW76),0)</f>
        <v>4857</v>
      </c>
      <c r="BX52" s="195">
        <f>ROUND((B52/(CE76+CF76)*BX76),0)</f>
        <v>3100</v>
      </c>
      <c r="BY52" s="195">
        <f>ROUND((B52/(CE76+CF76)*BY76),0)</f>
        <v>2790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558180</v>
      </c>
      <c r="CD52" s="195"/>
      <c r="CE52" s="195">
        <f>SUM(C52:CD52)</f>
        <v>2634469</v>
      </c>
    </row>
    <row r="53" spans="1:84" ht="12.65" customHeight="1" x14ac:dyDescent="0.3">
      <c r="A53" s="175" t="s">
        <v>206</v>
      </c>
      <c r="B53" s="195">
        <f>B51+B52</f>
        <v>2634471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">
      <c r="A59" s="171" t="s">
        <v>233</v>
      </c>
      <c r="B59" s="175"/>
      <c r="C59" s="184">
        <v>740</v>
      </c>
      <c r="D59" s="184"/>
      <c r="E59" s="184">
        <f>3475-740</f>
        <v>2735</v>
      </c>
      <c r="F59" s="184"/>
      <c r="G59" s="184"/>
      <c r="H59" s="184"/>
      <c r="I59" s="184"/>
      <c r="J59" s="184">
        <v>668</v>
      </c>
      <c r="K59" s="184"/>
      <c r="L59" s="184">
        <v>64</v>
      </c>
      <c r="M59" s="184"/>
      <c r="N59" s="184"/>
      <c r="O59" s="184"/>
      <c r="P59" s="185">
        <f>236593+4199</f>
        <v>240792</v>
      </c>
      <c r="Q59" s="185">
        <v>102401</v>
      </c>
      <c r="R59" s="185">
        <f>3075*60</f>
        <v>184500</v>
      </c>
      <c r="S59" s="247"/>
      <c r="T59" s="247"/>
      <c r="U59" s="224">
        <f>129041+305</f>
        <v>129346</v>
      </c>
      <c r="V59" s="185">
        <v>3998</v>
      </c>
      <c r="W59" s="185">
        <v>2590</v>
      </c>
      <c r="X59" s="185">
        <v>5648</v>
      </c>
      <c r="Y59" s="185">
        <f>15816+6264+2975</f>
        <v>25055</v>
      </c>
      <c r="Z59" s="185">
        <v>0</v>
      </c>
      <c r="AA59" s="185">
        <v>1146</v>
      </c>
      <c r="AB59" s="247"/>
      <c r="AC59" s="185">
        <f>11551+467+691</f>
        <v>12709</v>
      </c>
      <c r="AD59" s="185"/>
      <c r="AE59" s="185">
        <f>16137+15610+4821</f>
        <v>36568</v>
      </c>
      <c r="AF59" s="185"/>
      <c r="AG59" s="185">
        <v>12676</v>
      </c>
      <c r="AH59" s="185"/>
      <c r="AI59" s="185"/>
      <c r="AJ59" s="185">
        <v>405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f>22460</f>
        <v>22460</v>
      </c>
      <c r="AZ59" s="185">
        <f>36860+13419</f>
        <v>50279</v>
      </c>
      <c r="BA59" s="247"/>
      <c r="BB59" s="247"/>
      <c r="BC59" s="247"/>
      <c r="BD59" s="247"/>
      <c r="BE59" s="185">
        <v>127457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">
      <c r="A60" s="249" t="s">
        <v>234</v>
      </c>
      <c r="B60" s="175"/>
      <c r="C60" s="186">
        <v>12.93</v>
      </c>
      <c r="D60" s="187"/>
      <c r="E60" s="187">
        <f>3.57+19.89</f>
        <v>23.46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19.37</v>
      </c>
      <c r="P60" s="221">
        <f>24.02+24.98+0.05</f>
        <v>49.05</v>
      </c>
      <c r="Q60" s="221"/>
      <c r="R60" s="221"/>
      <c r="S60" s="221"/>
      <c r="T60" s="221"/>
      <c r="U60" s="221">
        <v>14.81</v>
      </c>
      <c r="V60" s="221"/>
      <c r="W60" s="221">
        <v>3.46</v>
      </c>
      <c r="X60" s="221">
        <v>0.92</v>
      </c>
      <c r="Y60" s="221">
        <f>14.46+5.16+1.95</f>
        <v>21.57</v>
      </c>
      <c r="Z60" s="221"/>
      <c r="AA60" s="221">
        <v>2.11</v>
      </c>
      <c r="AB60" s="221">
        <v>6.35</v>
      </c>
      <c r="AC60" s="221">
        <f>8.31+1+1.37</f>
        <v>10.68</v>
      </c>
      <c r="AD60" s="221"/>
      <c r="AE60" s="221">
        <f>4+31.87+3.71+1</f>
        <v>40.580000000000005</v>
      </c>
      <c r="AF60" s="221"/>
      <c r="AG60" s="221">
        <f>20.64+7.89+0.54</f>
        <v>29.07</v>
      </c>
      <c r="AH60" s="221"/>
      <c r="AI60" s="221"/>
      <c r="AJ60" s="221">
        <f>0.7</f>
        <v>0.7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2.02</v>
      </c>
      <c r="AW60" s="221"/>
      <c r="AX60" s="221"/>
      <c r="AY60" s="221">
        <f>13.9+3.37</f>
        <v>17.27</v>
      </c>
      <c r="AZ60" s="221"/>
      <c r="BA60" s="221">
        <v>1</v>
      </c>
      <c r="BB60" s="221">
        <f>1.48+4.54</f>
        <v>6.02</v>
      </c>
      <c r="BC60" s="221"/>
      <c r="BD60" s="221">
        <v>6.01</v>
      </c>
      <c r="BE60" s="221">
        <v>7.48</v>
      </c>
      <c r="BF60" s="221">
        <v>13.06</v>
      </c>
      <c r="BG60" s="221"/>
      <c r="BH60" s="221">
        <f>4.04+1.75</f>
        <v>5.79</v>
      </c>
      <c r="BI60" s="221">
        <v>3.12</v>
      </c>
      <c r="BJ60" s="221"/>
      <c r="BK60" s="221">
        <f>9.03+2.01</f>
        <v>11.04</v>
      </c>
      <c r="BL60" s="221">
        <v>11.09</v>
      </c>
      <c r="BM60" s="221">
        <v>4.1399999999999997</v>
      </c>
      <c r="BN60" s="221">
        <v>4</v>
      </c>
      <c r="BO60" s="221">
        <f>1+0.79</f>
        <v>1.79</v>
      </c>
      <c r="BP60" s="221">
        <v>5.32</v>
      </c>
      <c r="BQ60" s="221"/>
      <c r="BR60" s="221">
        <f>4.89+1.02</f>
        <v>5.91</v>
      </c>
      <c r="BS60" s="221"/>
      <c r="BT60" s="221"/>
      <c r="BU60" s="221"/>
      <c r="BV60" s="221">
        <v>3.91</v>
      </c>
      <c r="BW60" s="221">
        <f>1.06+2.01</f>
        <v>3.07</v>
      </c>
      <c r="BX60" s="221">
        <f>2.03</f>
        <v>2.0299999999999998</v>
      </c>
      <c r="BY60" s="221">
        <v>6.6</v>
      </c>
      <c r="BZ60" s="221"/>
      <c r="CA60" s="221"/>
      <c r="CB60" s="221"/>
      <c r="CC60" s="221"/>
      <c r="CD60" s="248" t="s">
        <v>221</v>
      </c>
      <c r="CE60" s="250">
        <f t="shared" ref="CE60:CE70" si="0">SUM(C60:CD60)</f>
        <v>355.73000000000008</v>
      </c>
    </row>
    <row r="61" spans="1:84" ht="12.65" customHeight="1" x14ac:dyDescent="0.3">
      <c r="A61" s="171" t="s">
        <v>235</v>
      </c>
      <c r="B61" s="175"/>
      <c r="C61" s="184">
        <f>1292254-1</f>
        <v>1292253</v>
      </c>
      <c r="D61" s="184"/>
      <c r="E61" s="184">
        <f>1052575+1873372</f>
        <v>2925947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1971766</v>
      </c>
      <c r="P61" s="185">
        <f>2092424+2348857</f>
        <v>4441281</v>
      </c>
      <c r="Q61" s="185"/>
      <c r="R61" s="185"/>
      <c r="S61" s="185"/>
      <c r="T61" s="185"/>
      <c r="U61" s="185">
        <v>1031453</v>
      </c>
      <c r="V61" s="185"/>
      <c r="W61" s="185">
        <v>316724</v>
      </c>
      <c r="X61" s="185">
        <v>76100</v>
      </c>
      <c r="Y61" s="185">
        <f>1051316+558489+166486</f>
        <v>1776291</v>
      </c>
      <c r="Z61" s="185"/>
      <c r="AA61" s="185">
        <v>237474</v>
      </c>
      <c r="AB61" s="185">
        <v>745687</v>
      </c>
      <c r="AC61" s="185">
        <f>701348+153621+55561</f>
        <v>910530</v>
      </c>
      <c r="AD61" s="185"/>
      <c r="AE61" s="185">
        <f>2649356+277854+112237+233854</f>
        <v>3273301</v>
      </c>
      <c r="AF61" s="185"/>
      <c r="AG61" s="185">
        <f>2177361+66400+2741346</f>
        <v>4985107</v>
      </c>
      <c r="AH61" s="185"/>
      <c r="AI61" s="185"/>
      <c r="AJ61" s="185">
        <v>74181</v>
      </c>
      <c r="AK61" s="185"/>
      <c r="AL61" s="185"/>
      <c r="AM61" s="185"/>
      <c r="AN61" s="185"/>
      <c r="AO61" s="185"/>
      <c r="AP61" s="185">
        <v>61820</v>
      </c>
      <c r="AQ61" s="185"/>
      <c r="AR61" s="185"/>
      <c r="AS61" s="185"/>
      <c r="AT61" s="185"/>
      <c r="AU61" s="185"/>
      <c r="AV61" s="185">
        <v>178198</v>
      </c>
      <c r="AW61" s="185"/>
      <c r="AX61" s="185"/>
      <c r="AY61" s="185">
        <f>570432+237885</f>
        <v>808317</v>
      </c>
      <c r="AZ61" s="185"/>
      <c r="BA61" s="185">
        <v>39863</v>
      </c>
      <c r="BB61" s="185">
        <f>365780+111679</f>
        <v>477459</v>
      </c>
      <c r="BC61" s="185"/>
      <c r="BD61" s="185">
        <v>416878</v>
      </c>
      <c r="BE61" s="185">
        <v>560260</v>
      </c>
      <c r="BF61" s="185">
        <v>563544</v>
      </c>
      <c r="BG61" s="185"/>
      <c r="BH61" s="185">
        <f>392000+227016</f>
        <v>619016</v>
      </c>
      <c r="BI61" s="185">
        <v>372380</v>
      </c>
      <c r="BJ61" s="185"/>
      <c r="BK61" s="185">
        <f>505917+162718</f>
        <v>668635</v>
      </c>
      <c r="BL61" s="185">
        <v>501890</v>
      </c>
      <c r="BM61" s="185">
        <v>349762</v>
      </c>
      <c r="BN61" s="185">
        <v>648584</v>
      </c>
      <c r="BO61" s="185">
        <v>93031</v>
      </c>
      <c r="BP61" s="185">
        <v>308682</v>
      </c>
      <c r="BQ61" s="185"/>
      <c r="BR61" s="185">
        <f>503497+54510</f>
        <v>558007</v>
      </c>
      <c r="BS61" s="185">
        <v>64053</v>
      </c>
      <c r="BT61" s="185"/>
      <c r="BU61" s="185"/>
      <c r="BV61" s="185">
        <v>269476</v>
      </c>
      <c r="BW61" s="185">
        <f>78513+578902</f>
        <v>657415</v>
      </c>
      <c r="BX61" s="185">
        <f>165847+6346</f>
        <v>172193</v>
      </c>
      <c r="BY61" s="185">
        <v>897531</v>
      </c>
      <c r="BZ61" s="185"/>
      <c r="CA61" s="185"/>
      <c r="CB61" s="185"/>
      <c r="CC61" s="185"/>
      <c r="CD61" s="248" t="s">
        <v>221</v>
      </c>
      <c r="CE61" s="195">
        <f t="shared" si="0"/>
        <v>33345089</v>
      </c>
      <c r="CF61" s="251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334216</v>
      </c>
      <c r="D62" s="195">
        <f t="shared" si="1"/>
        <v>0</v>
      </c>
      <c r="E62" s="195">
        <f t="shared" si="1"/>
        <v>756739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509959</v>
      </c>
      <c r="P62" s="195">
        <f t="shared" si="1"/>
        <v>1148650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266765</v>
      </c>
      <c r="V62" s="195">
        <f t="shared" si="1"/>
        <v>0</v>
      </c>
      <c r="W62" s="195">
        <f t="shared" si="1"/>
        <v>81914</v>
      </c>
      <c r="X62" s="195">
        <f t="shared" si="1"/>
        <v>19682</v>
      </c>
      <c r="Y62" s="195">
        <f t="shared" si="1"/>
        <v>459403</v>
      </c>
      <c r="Z62" s="195">
        <f t="shared" si="1"/>
        <v>0</v>
      </c>
      <c r="AA62" s="195">
        <f t="shared" si="1"/>
        <v>61418</v>
      </c>
      <c r="AB62" s="195">
        <f t="shared" si="1"/>
        <v>192857</v>
      </c>
      <c r="AC62" s="195">
        <f t="shared" si="1"/>
        <v>235491</v>
      </c>
      <c r="AD62" s="195">
        <f t="shared" si="1"/>
        <v>0</v>
      </c>
      <c r="AE62" s="195">
        <f t="shared" si="1"/>
        <v>846575</v>
      </c>
      <c r="AF62" s="195">
        <f t="shared" si="1"/>
        <v>0</v>
      </c>
      <c r="AG62" s="195">
        <f t="shared" si="1"/>
        <v>1289300</v>
      </c>
      <c r="AH62" s="195">
        <f t="shared" si="1"/>
        <v>0</v>
      </c>
      <c r="AI62" s="195">
        <f t="shared" si="1"/>
        <v>0</v>
      </c>
      <c r="AJ62" s="195">
        <f t="shared" si="1"/>
        <v>19185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15989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46087</v>
      </c>
      <c r="AW62" s="195">
        <f t="shared" si="1"/>
        <v>0</v>
      </c>
      <c r="AX62" s="195">
        <f t="shared" si="1"/>
        <v>0</v>
      </c>
      <c r="AY62" s="195">
        <f>ROUND(AY47+AY48,0)</f>
        <v>209055</v>
      </c>
      <c r="AZ62" s="195">
        <f>ROUND(AZ47+AZ48,0)</f>
        <v>0</v>
      </c>
      <c r="BA62" s="195">
        <f>ROUND(BA47+BA48,0)</f>
        <v>10310</v>
      </c>
      <c r="BB62" s="195">
        <f t="shared" si="1"/>
        <v>123485</v>
      </c>
      <c r="BC62" s="195">
        <f t="shared" si="1"/>
        <v>0</v>
      </c>
      <c r="BD62" s="195">
        <f t="shared" si="1"/>
        <v>107817</v>
      </c>
      <c r="BE62" s="195">
        <f t="shared" si="1"/>
        <v>144900</v>
      </c>
      <c r="BF62" s="195">
        <f t="shared" si="1"/>
        <v>145750</v>
      </c>
      <c r="BG62" s="195">
        <f t="shared" si="1"/>
        <v>0</v>
      </c>
      <c r="BH62" s="195">
        <f t="shared" si="1"/>
        <v>160096</v>
      </c>
      <c r="BI62" s="195">
        <f t="shared" si="1"/>
        <v>96309</v>
      </c>
      <c r="BJ62" s="195">
        <f t="shared" si="1"/>
        <v>0</v>
      </c>
      <c r="BK62" s="195">
        <f t="shared" si="1"/>
        <v>172929</v>
      </c>
      <c r="BL62" s="195">
        <f t="shared" si="1"/>
        <v>129804</v>
      </c>
      <c r="BM62" s="195">
        <f t="shared" si="1"/>
        <v>90459</v>
      </c>
      <c r="BN62" s="195">
        <f t="shared" si="1"/>
        <v>167744</v>
      </c>
      <c r="BO62" s="195">
        <f t="shared" ref="BO62:CC62" si="2">ROUND(BO47+BO48,0)</f>
        <v>24061</v>
      </c>
      <c r="BP62" s="195">
        <f t="shared" si="2"/>
        <v>79835</v>
      </c>
      <c r="BQ62" s="195">
        <f t="shared" si="2"/>
        <v>0</v>
      </c>
      <c r="BR62" s="195">
        <f t="shared" si="2"/>
        <v>144318</v>
      </c>
      <c r="BS62" s="195">
        <f t="shared" si="2"/>
        <v>16566</v>
      </c>
      <c r="BT62" s="195">
        <f t="shared" si="2"/>
        <v>0</v>
      </c>
      <c r="BU62" s="195">
        <f t="shared" si="2"/>
        <v>0</v>
      </c>
      <c r="BV62" s="195">
        <f t="shared" si="2"/>
        <v>69695</v>
      </c>
      <c r="BW62" s="195">
        <f t="shared" si="2"/>
        <v>170028</v>
      </c>
      <c r="BX62" s="195">
        <f t="shared" si="2"/>
        <v>44534</v>
      </c>
      <c r="BY62" s="195">
        <f t="shared" si="2"/>
        <v>232129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8624054</v>
      </c>
      <c r="CF62" s="251"/>
    </row>
    <row r="63" spans="1:84" ht="12.65" customHeight="1" x14ac:dyDescent="0.3">
      <c r="A63" s="171" t="s">
        <v>236</v>
      </c>
      <c r="B63" s="175"/>
      <c r="C63" s="184">
        <v>51213</v>
      </c>
      <c r="D63" s="184"/>
      <c r="E63" s="184">
        <f>205655+1548</f>
        <v>207203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1294</v>
      </c>
      <c r="Q63" s="185"/>
      <c r="R63" s="185">
        <v>441793</v>
      </c>
      <c r="S63" s="185"/>
      <c r="T63" s="185"/>
      <c r="U63" s="185">
        <f>871996-3</f>
        <v>871993</v>
      </c>
      <c r="V63" s="185"/>
      <c r="W63" s="185">
        <v>44146</v>
      </c>
      <c r="X63" s="185"/>
      <c r="Y63" s="185">
        <v>311062</v>
      </c>
      <c r="Z63" s="185"/>
      <c r="AA63" s="185">
        <v>223395</v>
      </c>
      <c r="AB63" s="185">
        <f>55856+11400</f>
        <v>67256</v>
      </c>
      <c r="AC63" s="185">
        <f>203+15241+2193</f>
        <v>17637</v>
      </c>
      <c r="AD63" s="185"/>
      <c r="AE63" s="185">
        <v>18088</v>
      </c>
      <c r="AF63" s="185"/>
      <c r="AG63" s="185">
        <f>68467+43518</f>
        <v>111985</v>
      </c>
      <c r="AH63" s="185"/>
      <c r="AI63" s="185"/>
      <c r="AJ63" s="185"/>
      <c r="AK63" s="185"/>
      <c r="AL63" s="185"/>
      <c r="AM63" s="185"/>
      <c r="AN63" s="185"/>
      <c r="AO63" s="185"/>
      <c r="AP63" s="185">
        <v>680526</v>
      </c>
      <c r="AQ63" s="185"/>
      <c r="AR63" s="185"/>
      <c r="AS63" s="185"/>
      <c r="AT63" s="185"/>
      <c r="AU63" s="185"/>
      <c r="AV63" s="185">
        <v>8828</v>
      </c>
      <c r="AW63" s="185"/>
      <c r="AX63" s="185"/>
      <c r="AY63" s="185">
        <v>4249</v>
      </c>
      <c r="AZ63" s="185"/>
      <c r="BA63" s="185"/>
      <c r="BB63" s="185">
        <v>11596</v>
      </c>
      <c r="BC63" s="185"/>
      <c r="BD63" s="185"/>
      <c r="BE63" s="185">
        <v>47075</v>
      </c>
      <c r="BF63" s="185">
        <v>4900</v>
      </c>
      <c r="BG63" s="185"/>
      <c r="BH63" s="185"/>
      <c r="BI63" s="185">
        <v>41375</v>
      </c>
      <c r="BJ63" s="185"/>
      <c r="BK63" s="185">
        <f>100613+114275</f>
        <v>214888</v>
      </c>
      <c r="BL63" s="185"/>
      <c r="BM63" s="185">
        <v>94062</v>
      </c>
      <c r="BN63" s="185">
        <f>141021+26880</f>
        <v>167901</v>
      </c>
      <c r="BO63" s="185"/>
      <c r="BP63" s="185">
        <v>409197</v>
      </c>
      <c r="BQ63" s="185"/>
      <c r="BR63" s="185">
        <v>72971</v>
      </c>
      <c r="BS63" s="185"/>
      <c r="BT63" s="185"/>
      <c r="BU63" s="185"/>
      <c r="BV63" s="185">
        <v>241945</v>
      </c>
      <c r="BW63" s="185">
        <f>7990+1316063</f>
        <v>1324053</v>
      </c>
      <c r="BX63" s="185">
        <v>72100</v>
      </c>
      <c r="BY63" s="185">
        <v>2250</v>
      </c>
      <c r="BZ63" s="185"/>
      <c r="CA63" s="185"/>
      <c r="CB63" s="185"/>
      <c r="CC63" s="185"/>
      <c r="CD63" s="248" t="s">
        <v>221</v>
      </c>
      <c r="CE63" s="195">
        <f t="shared" si="0"/>
        <v>5764981</v>
      </c>
      <c r="CF63" s="251"/>
    </row>
    <row r="64" spans="1:84" ht="12.65" customHeight="1" x14ac:dyDescent="0.3">
      <c r="A64" s="171" t="s">
        <v>237</v>
      </c>
      <c r="B64" s="175"/>
      <c r="C64" s="184">
        <v>86946</v>
      </c>
      <c r="D64" s="184"/>
      <c r="E64" s="185">
        <f>486+116606</f>
        <v>117092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119328</v>
      </c>
      <c r="P64" s="185">
        <f>1017550+204711+155</f>
        <v>1222416</v>
      </c>
      <c r="Q64" s="185">
        <v>28673</v>
      </c>
      <c r="R64" s="185">
        <v>127127</v>
      </c>
      <c r="S64" s="185">
        <f>4879978+16241</f>
        <v>4896219</v>
      </c>
      <c r="T64" s="185"/>
      <c r="U64" s="185">
        <f>665272+228913</f>
        <v>894185</v>
      </c>
      <c r="V64" s="185"/>
      <c r="W64" s="185">
        <v>8789</v>
      </c>
      <c r="X64" s="185">
        <v>18577</v>
      </c>
      <c r="Y64" s="185">
        <f>111983+25247+534</f>
        <v>137764</v>
      </c>
      <c r="Z64" s="185"/>
      <c r="AA64" s="185">
        <v>242907</v>
      </c>
      <c r="AB64" s="185">
        <f>3034473+31241</f>
        <v>3065714</v>
      </c>
      <c r="AC64" s="185">
        <f>38993+4630+353</f>
        <v>43976</v>
      </c>
      <c r="AD64" s="185"/>
      <c r="AE64" s="185">
        <f>78095+158+2277+5961</f>
        <v>86491</v>
      </c>
      <c r="AF64" s="185"/>
      <c r="AG64" s="185">
        <f>187790+30+75</f>
        <v>187895</v>
      </c>
      <c r="AH64" s="185"/>
      <c r="AI64" s="185"/>
      <c r="AJ64" s="185"/>
      <c r="AK64" s="185"/>
      <c r="AL64" s="185"/>
      <c r="AM64" s="185"/>
      <c r="AN64" s="185"/>
      <c r="AO64" s="185"/>
      <c r="AP64" s="185">
        <v>156124</v>
      </c>
      <c r="AQ64" s="185"/>
      <c r="AR64" s="185"/>
      <c r="AS64" s="185"/>
      <c r="AT64" s="185"/>
      <c r="AU64" s="185"/>
      <c r="AV64" s="185">
        <v>6356</v>
      </c>
      <c r="AW64" s="185"/>
      <c r="AX64" s="185"/>
      <c r="AY64" s="185">
        <f>419061+5675</f>
        <v>424736</v>
      </c>
      <c r="AZ64" s="185"/>
      <c r="BA64" s="185"/>
      <c r="BB64" s="185">
        <f>2397+96</f>
        <v>2493</v>
      </c>
      <c r="BC64" s="185"/>
      <c r="BD64" s="185">
        <v>17270</v>
      </c>
      <c r="BE64" s="185">
        <v>8722</v>
      </c>
      <c r="BF64" s="185">
        <v>58108</v>
      </c>
      <c r="BG64" s="185"/>
      <c r="BH64" s="185">
        <f>2235+432</f>
        <v>2667</v>
      </c>
      <c r="BI64" s="185">
        <v>9325</v>
      </c>
      <c r="BJ64" s="185"/>
      <c r="BK64" s="185">
        <v>21607</v>
      </c>
      <c r="BL64" s="185">
        <v>11081</v>
      </c>
      <c r="BM64" s="185">
        <v>6468</v>
      </c>
      <c r="BN64" s="185">
        <v>11664</v>
      </c>
      <c r="BO64" s="185">
        <v>358</v>
      </c>
      <c r="BP64" s="185">
        <v>1804</v>
      </c>
      <c r="BQ64" s="185"/>
      <c r="BR64" s="185">
        <v>7011</v>
      </c>
      <c r="BS64" s="185">
        <v>745</v>
      </c>
      <c r="BT64" s="185"/>
      <c r="BU64" s="185"/>
      <c r="BV64" s="185">
        <v>5418</v>
      </c>
      <c r="BW64" s="185">
        <v>9965</v>
      </c>
      <c r="BX64" s="185">
        <f>376+175</f>
        <v>551</v>
      </c>
      <c r="BY64" s="185">
        <v>3387</v>
      </c>
      <c r="BZ64" s="185"/>
      <c r="CA64" s="185"/>
      <c r="CB64" s="185"/>
      <c r="CC64" s="185"/>
      <c r="CD64" s="248" t="s">
        <v>221</v>
      </c>
      <c r="CE64" s="195">
        <f t="shared" si="0"/>
        <v>12049959</v>
      </c>
      <c r="CF64" s="251"/>
    </row>
    <row r="65" spans="1:84" ht="12.65" customHeight="1" x14ac:dyDescent="0.3">
      <c r="A65" s="171" t="s">
        <v>238</v>
      </c>
      <c r="B65" s="175"/>
      <c r="C65" s="184">
        <v>480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480</v>
      </c>
      <c r="P65" s="185">
        <f>960+680</f>
        <v>1640</v>
      </c>
      <c r="Q65" s="185"/>
      <c r="R65" s="185"/>
      <c r="S65" s="185"/>
      <c r="T65" s="185"/>
      <c r="U65" s="185">
        <v>960</v>
      </c>
      <c r="V65" s="185"/>
      <c r="W65" s="185"/>
      <c r="X65" s="185"/>
      <c r="Y65" s="185">
        <v>520</v>
      </c>
      <c r="Z65" s="185"/>
      <c r="AA65" s="185"/>
      <c r="AB65" s="185">
        <v>22493</v>
      </c>
      <c r="AC65" s="185">
        <v>480</v>
      </c>
      <c r="AD65" s="185"/>
      <c r="AE65" s="185">
        <v>30901</v>
      </c>
      <c r="AF65" s="185"/>
      <c r="AG65" s="185">
        <f>512+714+480</f>
        <v>1706</v>
      </c>
      <c r="AH65" s="185"/>
      <c r="AI65" s="185"/>
      <c r="AJ65" s="185"/>
      <c r="AK65" s="185"/>
      <c r="AL65" s="185"/>
      <c r="AM65" s="185"/>
      <c r="AN65" s="185"/>
      <c r="AO65" s="185"/>
      <c r="AP65" s="185">
        <v>2825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f>2535+480</f>
        <v>3015</v>
      </c>
      <c r="BC65" s="185"/>
      <c r="BD65" s="185">
        <v>1210</v>
      </c>
      <c r="BE65" s="185">
        <v>521796</v>
      </c>
      <c r="BF65" s="185">
        <v>56514</v>
      </c>
      <c r="BG65" s="185"/>
      <c r="BH65" s="185">
        <f>136682+480</f>
        <v>137162</v>
      </c>
      <c r="BI65" s="185">
        <v>4671</v>
      </c>
      <c r="BJ65" s="185"/>
      <c r="BK65" s="185">
        <v>3126</v>
      </c>
      <c r="BL65" s="185">
        <v>480</v>
      </c>
      <c r="BM65" s="185"/>
      <c r="BN65" s="185">
        <v>960</v>
      </c>
      <c r="BO65" s="185"/>
      <c r="BP65" s="185">
        <v>40</v>
      </c>
      <c r="BQ65" s="185"/>
      <c r="BR65" s="185"/>
      <c r="BS65" s="185"/>
      <c r="BT65" s="185"/>
      <c r="BU65" s="185"/>
      <c r="BV65" s="185"/>
      <c r="BW65" s="185">
        <f>400+280</f>
        <v>680</v>
      </c>
      <c r="BX65" s="185">
        <v>480</v>
      </c>
      <c r="BY65" s="185">
        <v>1051</v>
      </c>
      <c r="BZ65" s="185"/>
      <c r="CA65" s="185"/>
      <c r="CB65" s="185"/>
      <c r="CC65" s="185"/>
      <c r="CD65" s="248" t="s">
        <v>221</v>
      </c>
      <c r="CE65" s="195">
        <f t="shared" si="0"/>
        <v>793670</v>
      </c>
      <c r="CF65" s="251"/>
    </row>
    <row r="66" spans="1:84" ht="12.65" customHeight="1" x14ac:dyDescent="0.3">
      <c r="A66" s="171" t="s">
        <v>239</v>
      </c>
      <c r="B66" s="175"/>
      <c r="C66" s="184">
        <v>28224</v>
      </c>
      <c r="D66" s="184"/>
      <c r="E66" s="184">
        <f>10290+15394</f>
        <v>25684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64633</v>
      </c>
      <c r="P66" s="185">
        <f>464098+30568-2</f>
        <v>494664</v>
      </c>
      <c r="Q66" s="185">
        <v>328</v>
      </c>
      <c r="R66" s="185">
        <v>2281</v>
      </c>
      <c r="S66" s="184"/>
      <c r="T66" s="184"/>
      <c r="U66" s="185">
        <v>121469</v>
      </c>
      <c r="V66" s="185"/>
      <c r="W66" s="185">
        <v>167758</v>
      </c>
      <c r="X66" s="185">
        <v>165906</v>
      </c>
      <c r="Y66" s="185">
        <f>192680+52969+66842</f>
        <v>312491</v>
      </c>
      <c r="Z66" s="185"/>
      <c r="AA66" s="185">
        <v>129251</v>
      </c>
      <c r="AB66" s="185">
        <f>19818+8624</f>
        <v>28442</v>
      </c>
      <c r="AC66" s="185">
        <f>12537+634</f>
        <v>13171</v>
      </c>
      <c r="AD66" s="185"/>
      <c r="AE66" s="185">
        <v>86792</v>
      </c>
      <c r="AF66" s="185"/>
      <c r="AG66" s="185">
        <f>19840+428+57945</f>
        <v>78213</v>
      </c>
      <c r="AH66" s="185"/>
      <c r="AI66" s="185"/>
      <c r="AJ66" s="185"/>
      <c r="AK66" s="185"/>
      <c r="AL66" s="185"/>
      <c r="AM66" s="185"/>
      <c r="AN66" s="185"/>
      <c r="AO66" s="185"/>
      <c r="AP66" s="185">
        <v>15170</v>
      </c>
      <c r="AQ66" s="185"/>
      <c r="AR66" s="185"/>
      <c r="AS66" s="185"/>
      <c r="AT66" s="185"/>
      <c r="AU66" s="185"/>
      <c r="AV66" s="185">
        <v>1194</v>
      </c>
      <c r="AW66" s="185"/>
      <c r="AX66" s="185"/>
      <c r="AY66" s="185">
        <f>7943+2606</f>
        <v>10549</v>
      </c>
      <c r="AZ66" s="185"/>
      <c r="BA66" s="185">
        <v>205655</v>
      </c>
      <c r="BB66" s="185">
        <v>14918</v>
      </c>
      <c r="BC66" s="185"/>
      <c r="BD66" s="185">
        <v>5587</v>
      </c>
      <c r="BE66" s="185">
        <v>167977</v>
      </c>
      <c r="BF66" s="185">
        <v>1306</v>
      </c>
      <c r="BG66" s="185"/>
      <c r="BH66" s="185">
        <f>230521+892589</f>
        <v>1123110</v>
      </c>
      <c r="BI66" s="185">
        <v>122212</v>
      </c>
      <c r="BJ66" s="185"/>
      <c r="BK66" s="185">
        <f>290048+72994</f>
        <v>363042</v>
      </c>
      <c r="BL66" s="185">
        <v>159</v>
      </c>
      <c r="BM66" s="185">
        <v>30697</v>
      </c>
      <c r="BN66" s="185">
        <v>33982</v>
      </c>
      <c r="BO66" s="185"/>
      <c r="BP66" s="185">
        <v>46109</v>
      </c>
      <c r="BQ66" s="185"/>
      <c r="BR66" s="185">
        <f>83000+7627</f>
        <v>90627</v>
      </c>
      <c r="BS66" s="185"/>
      <c r="BT66" s="185"/>
      <c r="BU66" s="185"/>
      <c r="BV66" s="185">
        <v>42710</v>
      </c>
      <c r="BW66" s="185">
        <v>23052</v>
      </c>
      <c r="BX66" s="185">
        <f>47757+104</f>
        <v>47861</v>
      </c>
      <c r="BY66" s="185"/>
      <c r="BZ66" s="185"/>
      <c r="CA66" s="185"/>
      <c r="CB66" s="185"/>
      <c r="CC66" s="185"/>
      <c r="CD66" s="248" t="s">
        <v>221</v>
      </c>
      <c r="CE66" s="195">
        <f t="shared" si="0"/>
        <v>4065224</v>
      </c>
      <c r="CF66" s="251"/>
    </row>
    <row r="67" spans="1:84" ht="12.65" customHeight="1" x14ac:dyDescent="0.3">
      <c r="A67" s="171" t="s">
        <v>6</v>
      </c>
      <c r="B67" s="175"/>
      <c r="C67" s="195">
        <f>ROUND(C51+C52,0)</f>
        <v>84621</v>
      </c>
      <c r="D67" s="195">
        <f>ROUND(D51+D52,0)</f>
        <v>0</v>
      </c>
      <c r="E67" s="195">
        <f t="shared" ref="E67:BP67" si="3">ROUND(E51+E52,0)</f>
        <v>141834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169386</v>
      </c>
      <c r="P67" s="195">
        <f t="shared" si="3"/>
        <v>327115</v>
      </c>
      <c r="Q67" s="195">
        <f t="shared" si="3"/>
        <v>0</v>
      </c>
      <c r="R67" s="195">
        <f t="shared" si="3"/>
        <v>0</v>
      </c>
      <c r="S67" s="195">
        <f t="shared" si="3"/>
        <v>28193</v>
      </c>
      <c r="T67" s="195">
        <f t="shared" si="3"/>
        <v>0</v>
      </c>
      <c r="U67" s="195">
        <f t="shared" si="3"/>
        <v>42434</v>
      </c>
      <c r="V67" s="195">
        <f t="shared" si="3"/>
        <v>8061</v>
      </c>
      <c r="W67" s="195">
        <f t="shared" si="3"/>
        <v>13104</v>
      </c>
      <c r="X67" s="195">
        <f t="shared" si="3"/>
        <v>10789</v>
      </c>
      <c r="Y67" s="195">
        <f t="shared" si="3"/>
        <v>101983</v>
      </c>
      <c r="Z67" s="195">
        <f t="shared" si="3"/>
        <v>0</v>
      </c>
      <c r="AA67" s="195">
        <f t="shared" si="3"/>
        <v>7110</v>
      </c>
      <c r="AB67" s="195">
        <f t="shared" si="3"/>
        <v>20256</v>
      </c>
      <c r="AC67" s="195">
        <f t="shared" si="3"/>
        <v>26891</v>
      </c>
      <c r="AD67" s="195">
        <f t="shared" si="3"/>
        <v>0</v>
      </c>
      <c r="AE67" s="195">
        <f t="shared" si="3"/>
        <v>289538</v>
      </c>
      <c r="AF67" s="195">
        <f t="shared" si="3"/>
        <v>0</v>
      </c>
      <c r="AG67" s="195">
        <f t="shared" si="3"/>
        <v>123624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54361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9839</v>
      </c>
      <c r="AW67" s="195">
        <f t="shared" si="3"/>
        <v>0</v>
      </c>
      <c r="AX67" s="195">
        <f t="shared" si="3"/>
        <v>0</v>
      </c>
      <c r="AY67" s="195">
        <f t="shared" si="3"/>
        <v>94170</v>
      </c>
      <c r="AZ67" s="195">
        <f>ROUND(AZ51+AZ52,0)</f>
        <v>0</v>
      </c>
      <c r="BA67" s="195">
        <f>ROUND(BA51+BA52,0)</f>
        <v>26664</v>
      </c>
      <c r="BB67" s="195">
        <f t="shared" si="3"/>
        <v>8723</v>
      </c>
      <c r="BC67" s="195">
        <f t="shared" si="3"/>
        <v>0</v>
      </c>
      <c r="BD67" s="195">
        <f t="shared" si="3"/>
        <v>58970</v>
      </c>
      <c r="BE67" s="195">
        <f t="shared" si="3"/>
        <v>225256</v>
      </c>
      <c r="BF67" s="195">
        <f t="shared" si="3"/>
        <v>91897</v>
      </c>
      <c r="BG67" s="195">
        <f t="shared" si="3"/>
        <v>0</v>
      </c>
      <c r="BH67" s="195">
        <f t="shared" si="3"/>
        <v>21724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21331</v>
      </c>
      <c r="BM67" s="195">
        <f t="shared" si="3"/>
        <v>0</v>
      </c>
      <c r="BN67" s="195">
        <f t="shared" si="3"/>
        <v>44150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13518</v>
      </c>
      <c r="BW67" s="195">
        <f t="shared" si="4"/>
        <v>4857</v>
      </c>
      <c r="BX67" s="195">
        <f t="shared" si="4"/>
        <v>3100</v>
      </c>
      <c r="BY67" s="195">
        <f t="shared" si="4"/>
        <v>2790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558180</v>
      </c>
      <c r="CD67" s="248" t="s">
        <v>221</v>
      </c>
      <c r="CE67" s="195">
        <f t="shared" si="0"/>
        <v>2634469</v>
      </c>
      <c r="CF67" s="251"/>
    </row>
    <row r="68" spans="1:84" ht="12.65" customHeight="1" x14ac:dyDescent="0.3">
      <c r="A68" s="171" t="s">
        <v>240</v>
      </c>
      <c r="B68" s="175"/>
      <c r="C68" s="184">
        <v>12430</v>
      </c>
      <c r="D68" s="184"/>
      <c r="E68" s="184">
        <f>54939-5</f>
        <v>54934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28687</v>
      </c>
      <c r="P68" s="185">
        <f>31451+46258</f>
        <v>77709</v>
      </c>
      <c r="Q68" s="185"/>
      <c r="R68" s="185"/>
      <c r="S68" s="185">
        <v>63093</v>
      </c>
      <c r="T68" s="185"/>
      <c r="U68" s="185">
        <v>3059</v>
      </c>
      <c r="V68" s="185"/>
      <c r="W68" s="185">
        <v>33300</v>
      </c>
      <c r="X68" s="185"/>
      <c r="Y68" s="185">
        <v>30554</v>
      </c>
      <c r="Z68" s="185"/>
      <c r="AA68" s="185"/>
      <c r="AB68" s="185">
        <v>136626</v>
      </c>
      <c r="AC68" s="185">
        <v>466</v>
      </c>
      <c r="AD68" s="185"/>
      <c r="AE68" s="185">
        <v>17281</v>
      </c>
      <c r="AF68" s="185"/>
      <c r="AG68" s="185">
        <v>29932</v>
      </c>
      <c r="AH68" s="185"/>
      <c r="AI68" s="185"/>
      <c r="AJ68" s="185"/>
      <c r="AK68" s="185"/>
      <c r="AL68" s="185"/>
      <c r="AM68" s="185"/>
      <c r="AN68" s="185"/>
      <c r="AO68" s="185"/>
      <c r="AP68" s="185">
        <v>31391</v>
      </c>
      <c r="AQ68" s="185"/>
      <c r="AR68" s="185"/>
      <c r="AS68" s="185"/>
      <c r="AT68" s="185"/>
      <c r="AU68" s="185"/>
      <c r="AV68" s="185"/>
      <c r="AW68" s="185"/>
      <c r="AX68" s="185"/>
      <c r="AY68" s="185">
        <v>2264</v>
      </c>
      <c r="AZ68" s="185"/>
      <c r="BA68" s="185"/>
      <c r="BB68" s="185">
        <v>1861</v>
      </c>
      <c r="BC68" s="185"/>
      <c r="BD68" s="185">
        <v>7414</v>
      </c>
      <c r="BE68" s="185">
        <v>7762</v>
      </c>
      <c r="BF68" s="185">
        <v>103</v>
      </c>
      <c r="BG68" s="185"/>
      <c r="BH68" s="185"/>
      <c r="BI68" s="185">
        <v>42655</v>
      </c>
      <c r="BJ68" s="185"/>
      <c r="BK68" s="185">
        <v>56032</v>
      </c>
      <c r="BL68" s="185">
        <v>3709</v>
      </c>
      <c r="BM68" s="185">
        <v>11706</v>
      </c>
      <c r="BN68" s="185">
        <v>29104</v>
      </c>
      <c r="BO68" s="185"/>
      <c r="BP68" s="185"/>
      <c r="BQ68" s="185"/>
      <c r="BR68" s="185">
        <v>11706</v>
      </c>
      <c r="BS68" s="185"/>
      <c r="BT68" s="185"/>
      <c r="BU68" s="185"/>
      <c r="BV68" s="185">
        <v>7566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701344</v>
      </c>
      <c r="CF68" s="251"/>
    </row>
    <row r="69" spans="1:84" ht="12.65" customHeight="1" x14ac:dyDescent="0.3">
      <c r="A69" s="171" t="s">
        <v>241</v>
      </c>
      <c r="B69" s="175"/>
      <c r="C69" s="184">
        <v>3093</v>
      </c>
      <c r="D69" s="184"/>
      <c r="E69" s="185">
        <f>1954+248</f>
        <v>2202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5359</v>
      </c>
      <c r="P69" s="185">
        <f>11921+4731</f>
        <v>16652</v>
      </c>
      <c r="Q69" s="185"/>
      <c r="R69" s="224"/>
      <c r="S69" s="185">
        <v>100563</v>
      </c>
      <c r="T69" s="184"/>
      <c r="U69" s="185">
        <v>6856</v>
      </c>
      <c r="V69" s="185"/>
      <c r="W69" s="184">
        <v>6100</v>
      </c>
      <c r="X69" s="185">
        <v>2610</v>
      </c>
      <c r="Y69" s="185">
        <f>6987+429+4357</f>
        <v>11773</v>
      </c>
      <c r="Z69" s="185"/>
      <c r="AA69" s="185">
        <v>12246</v>
      </c>
      <c r="AB69" s="185">
        <v>7110</v>
      </c>
      <c r="AC69" s="185">
        <v>1265</v>
      </c>
      <c r="AD69" s="185"/>
      <c r="AE69" s="185">
        <f>28745+5103</f>
        <v>33848</v>
      </c>
      <c r="AF69" s="185"/>
      <c r="AG69" s="185">
        <f>1791+975+61015</f>
        <v>63781</v>
      </c>
      <c r="AH69" s="185"/>
      <c r="AI69" s="185"/>
      <c r="AJ69" s="185">
        <v>450</v>
      </c>
      <c r="AK69" s="185"/>
      <c r="AL69" s="185"/>
      <c r="AM69" s="185"/>
      <c r="AN69" s="185"/>
      <c r="AO69" s="184"/>
      <c r="AP69" s="185">
        <v>138413</v>
      </c>
      <c r="AQ69" s="184"/>
      <c r="AR69" s="184"/>
      <c r="AS69" s="184"/>
      <c r="AT69" s="184"/>
      <c r="AU69" s="185"/>
      <c r="AV69" s="185">
        <v>8206</v>
      </c>
      <c r="AW69" s="185"/>
      <c r="AX69" s="185"/>
      <c r="AY69" s="185">
        <f>385+3337</f>
        <v>3722</v>
      </c>
      <c r="AZ69" s="185"/>
      <c r="BA69" s="185"/>
      <c r="BB69" s="185">
        <v>4421</v>
      </c>
      <c r="BC69" s="185"/>
      <c r="BD69" s="185">
        <v>3397</v>
      </c>
      <c r="BE69" s="185">
        <v>936</v>
      </c>
      <c r="BF69" s="185">
        <v>452</v>
      </c>
      <c r="BG69" s="185"/>
      <c r="BH69" s="224">
        <f>3747+199</f>
        <v>3946</v>
      </c>
      <c r="BI69" s="185">
        <v>150910</v>
      </c>
      <c r="BJ69" s="185"/>
      <c r="BK69" s="185">
        <f>323+6690</f>
        <v>7013</v>
      </c>
      <c r="BL69" s="185"/>
      <c r="BM69" s="185">
        <f>42173+46487-4</f>
        <v>88656</v>
      </c>
      <c r="BN69" s="185">
        <f>223098+4481</f>
        <v>227579</v>
      </c>
      <c r="BO69" s="185">
        <v>386</v>
      </c>
      <c r="BP69" s="185">
        <v>5893</v>
      </c>
      <c r="BQ69" s="185"/>
      <c r="BR69" s="185">
        <v>58864</v>
      </c>
      <c r="BS69" s="185">
        <v>3234</v>
      </c>
      <c r="BT69" s="185"/>
      <c r="BU69" s="185"/>
      <c r="BV69" s="185">
        <v>390</v>
      </c>
      <c r="BW69" s="185">
        <f>8225+9725</f>
        <v>17950</v>
      </c>
      <c r="BX69" s="185">
        <v>7753</v>
      </c>
      <c r="BY69" s="185">
        <v>8825</v>
      </c>
      <c r="BZ69" s="185"/>
      <c r="CA69" s="185"/>
      <c r="CB69" s="185"/>
      <c r="CC69" s="185"/>
      <c r="CD69" s="188">
        <v>1562769</v>
      </c>
      <c r="CE69" s="195">
        <f t="shared" si="0"/>
        <v>2577623</v>
      </c>
      <c r="CF69" s="251"/>
    </row>
    <row r="70" spans="1:84" ht="12.65" customHeight="1" x14ac:dyDescent="0.3">
      <c r="A70" s="171" t="s">
        <v>242</v>
      </c>
      <c r="B70" s="175"/>
      <c r="C70" s="184">
        <v>5160</v>
      </c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3765</v>
      </c>
      <c r="P70" s="184">
        <v>11880</v>
      </c>
      <c r="Q70" s="184"/>
      <c r="R70" s="184"/>
      <c r="S70" s="184">
        <v>6757</v>
      </c>
      <c r="T70" s="184"/>
      <c r="U70" s="185"/>
      <c r="V70" s="184"/>
      <c r="W70" s="184"/>
      <c r="X70" s="185"/>
      <c r="Y70" s="185">
        <v>20</v>
      </c>
      <c r="Z70" s="185"/>
      <c r="AA70" s="185"/>
      <c r="AB70" s="185">
        <f>5485+11007</f>
        <v>16492</v>
      </c>
      <c r="AC70" s="185"/>
      <c r="AD70" s="185"/>
      <c r="AE70" s="185">
        <f>13456+2716+28680</f>
        <v>44852</v>
      </c>
      <c r="AF70" s="185"/>
      <c r="AG70" s="185">
        <v>2000</v>
      </c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f>222625+11471</f>
        <v>234096</v>
      </c>
      <c r="AW70" s="185"/>
      <c r="AX70" s="185"/>
      <c r="AY70" s="185"/>
      <c r="AZ70" s="185">
        <v>317597</v>
      </c>
      <c r="BA70" s="185"/>
      <c r="BB70" s="185">
        <v>16720</v>
      </c>
      <c r="BC70" s="185"/>
      <c r="BD70" s="185"/>
      <c r="BE70" s="185"/>
      <c r="BF70" s="185"/>
      <c r="BG70" s="185"/>
      <c r="BH70" s="185">
        <v>15540</v>
      </c>
      <c r="BI70" s="185"/>
      <c r="BJ70" s="185"/>
      <c r="BK70" s="185"/>
      <c r="BL70" s="185"/>
      <c r="BM70" s="185">
        <v>1817390</v>
      </c>
      <c r="BN70" s="185">
        <v>50000</v>
      </c>
      <c r="BO70" s="185"/>
      <c r="BP70" s="185">
        <v>15000</v>
      </c>
      <c r="BQ70" s="185"/>
      <c r="BR70" s="185">
        <v>35300</v>
      </c>
      <c r="BS70" s="185"/>
      <c r="BT70" s="185"/>
      <c r="BU70" s="185"/>
      <c r="BV70" s="185">
        <v>8399</v>
      </c>
      <c r="BW70" s="185">
        <f>9750+237924</f>
        <v>247674</v>
      </c>
      <c r="BX70" s="185"/>
      <c r="BY70" s="185">
        <v>30078</v>
      </c>
      <c r="BZ70" s="185"/>
      <c r="CA70" s="185"/>
      <c r="CB70" s="185"/>
      <c r="CC70" s="185"/>
      <c r="CD70" s="188">
        <f>81519+29737</f>
        <v>111256</v>
      </c>
      <c r="CE70" s="195">
        <f t="shared" si="0"/>
        <v>2989976</v>
      </c>
      <c r="CF70" s="251"/>
    </row>
    <row r="71" spans="1:84" ht="12.65" customHeight="1" x14ac:dyDescent="0.3">
      <c r="A71" s="171" t="s">
        <v>243</v>
      </c>
      <c r="B71" s="175"/>
      <c r="C71" s="195">
        <f>SUM(C61:C68)+C69-C70</f>
        <v>1888316</v>
      </c>
      <c r="D71" s="195">
        <f t="shared" ref="D71:AI71" si="5">SUM(D61:D69)-D70</f>
        <v>0</v>
      </c>
      <c r="E71" s="195">
        <f t="shared" si="5"/>
        <v>4231635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2865833</v>
      </c>
      <c r="P71" s="195">
        <f t="shared" si="5"/>
        <v>7719541</v>
      </c>
      <c r="Q71" s="195">
        <f t="shared" si="5"/>
        <v>29001</v>
      </c>
      <c r="R71" s="195">
        <f t="shared" si="5"/>
        <v>571201</v>
      </c>
      <c r="S71" s="195">
        <f t="shared" si="5"/>
        <v>5081311</v>
      </c>
      <c r="T71" s="195">
        <f t="shared" si="5"/>
        <v>0</v>
      </c>
      <c r="U71" s="195">
        <f t="shared" si="5"/>
        <v>3239174</v>
      </c>
      <c r="V71" s="195">
        <f t="shared" si="5"/>
        <v>8061</v>
      </c>
      <c r="W71" s="195">
        <f t="shared" si="5"/>
        <v>671835</v>
      </c>
      <c r="X71" s="195">
        <f t="shared" si="5"/>
        <v>293664</v>
      </c>
      <c r="Y71" s="195">
        <f t="shared" si="5"/>
        <v>3141821</v>
      </c>
      <c r="Z71" s="195">
        <f t="shared" si="5"/>
        <v>0</v>
      </c>
      <c r="AA71" s="195">
        <f t="shared" si="5"/>
        <v>913801</v>
      </c>
      <c r="AB71" s="195">
        <f t="shared" si="5"/>
        <v>4269949</v>
      </c>
      <c r="AC71" s="195">
        <f t="shared" si="5"/>
        <v>1249907</v>
      </c>
      <c r="AD71" s="195">
        <f t="shared" si="5"/>
        <v>0</v>
      </c>
      <c r="AE71" s="195">
        <f t="shared" si="5"/>
        <v>4637963</v>
      </c>
      <c r="AF71" s="195">
        <f t="shared" si="5"/>
        <v>0</v>
      </c>
      <c r="AG71" s="195">
        <f t="shared" si="5"/>
        <v>6869543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93816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1156619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24612</v>
      </c>
      <c r="AW71" s="195">
        <f t="shared" si="6"/>
        <v>0</v>
      </c>
      <c r="AX71" s="195">
        <f t="shared" si="6"/>
        <v>0</v>
      </c>
      <c r="AY71" s="195">
        <f t="shared" si="6"/>
        <v>1557062</v>
      </c>
      <c r="AZ71" s="195">
        <f t="shared" si="6"/>
        <v>-317597</v>
      </c>
      <c r="BA71" s="195">
        <f t="shared" si="6"/>
        <v>282492</v>
      </c>
      <c r="BB71" s="195">
        <f t="shared" si="6"/>
        <v>631251</v>
      </c>
      <c r="BC71" s="195">
        <f t="shared" si="6"/>
        <v>0</v>
      </c>
      <c r="BD71" s="195">
        <f t="shared" si="6"/>
        <v>618543</v>
      </c>
      <c r="BE71" s="195">
        <f t="shared" si="6"/>
        <v>1684684</v>
      </c>
      <c r="BF71" s="195">
        <f t="shared" si="6"/>
        <v>922574</v>
      </c>
      <c r="BG71" s="195">
        <f t="shared" si="6"/>
        <v>0</v>
      </c>
      <c r="BH71" s="195">
        <f t="shared" si="6"/>
        <v>2052181</v>
      </c>
      <c r="BI71" s="195">
        <f t="shared" si="6"/>
        <v>839837</v>
      </c>
      <c r="BJ71" s="195">
        <f t="shared" si="6"/>
        <v>0</v>
      </c>
      <c r="BK71" s="195">
        <f t="shared" si="6"/>
        <v>1507272</v>
      </c>
      <c r="BL71" s="195">
        <f t="shared" si="6"/>
        <v>668454</v>
      </c>
      <c r="BM71" s="195">
        <f t="shared" si="6"/>
        <v>-1145580</v>
      </c>
      <c r="BN71" s="195">
        <f t="shared" si="6"/>
        <v>1281668</v>
      </c>
      <c r="BO71" s="195">
        <f t="shared" si="6"/>
        <v>117836</v>
      </c>
      <c r="BP71" s="195">
        <f t="shared" ref="BP71:CC71" si="7">SUM(BP61:BP69)-BP70</f>
        <v>836560</v>
      </c>
      <c r="BQ71" s="195">
        <f t="shared" si="7"/>
        <v>0</v>
      </c>
      <c r="BR71" s="195">
        <f t="shared" si="7"/>
        <v>908204</v>
      </c>
      <c r="BS71" s="195">
        <f t="shared" si="7"/>
        <v>84598</v>
      </c>
      <c r="BT71" s="195">
        <f t="shared" si="7"/>
        <v>0</v>
      </c>
      <c r="BU71" s="195">
        <f t="shared" si="7"/>
        <v>0</v>
      </c>
      <c r="BV71" s="195">
        <f t="shared" si="7"/>
        <v>642319</v>
      </c>
      <c r="BW71" s="195">
        <f t="shared" si="7"/>
        <v>1960326</v>
      </c>
      <c r="BX71" s="195">
        <f t="shared" si="7"/>
        <v>348572</v>
      </c>
      <c r="BY71" s="195">
        <f t="shared" si="7"/>
        <v>1117885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558180</v>
      </c>
      <c r="CD71" s="244">
        <f>CD69-CD70</f>
        <v>1451513</v>
      </c>
      <c r="CE71" s="195">
        <f>SUM(CE61:CE69)-CE70</f>
        <v>67566437</v>
      </c>
      <c r="CF71" s="251"/>
    </row>
    <row r="72" spans="1:84" ht="12.65" customHeight="1" x14ac:dyDescent="0.3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1226000</v>
      </c>
      <c r="CF72" s="251"/>
    </row>
    <row r="73" spans="1:84" ht="12.65" customHeight="1" x14ac:dyDescent="0.3">
      <c r="A73" s="171" t="s">
        <v>245</v>
      </c>
      <c r="B73" s="175"/>
      <c r="C73" s="184">
        <v>1742255</v>
      </c>
      <c r="D73" s="184"/>
      <c r="E73" s="185">
        <f>627406+2949858+160509</f>
        <v>3737773</v>
      </c>
      <c r="F73" s="185"/>
      <c r="G73" s="184"/>
      <c r="H73" s="184"/>
      <c r="I73" s="185"/>
      <c r="J73" s="185">
        <v>485460</v>
      </c>
      <c r="K73" s="185"/>
      <c r="L73" s="185">
        <v>84602</v>
      </c>
      <c r="M73" s="184"/>
      <c r="N73" s="184"/>
      <c r="O73" s="184">
        <v>2565437</v>
      </c>
      <c r="P73" s="185">
        <f>4035504+33809</f>
        <v>4069313</v>
      </c>
      <c r="Q73" s="185">
        <v>341422</v>
      </c>
      <c r="R73" s="185">
        <v>1213108</v>
      </c>
      <c r="S73" s="185">
        <f>3918164+1783401</f>
        <v>5701565</v>
      </c>
      <c r="T73" s="185"/>
      <c r="U73" s="185">
        <f>1897302+41398</f>
        <v>1938700</v>
      </c>
      <c r="V73" s="185">
        <v>49223</v>
      </c>
      <c r="W73" s="185">
        <v>60230</v>
      </c>
      <c r="X73" s="185">
        <v>254665</v>
      </c>
      <c r="Y73" s="185">
        <f>278238+271044+446</f>
        <v>549728</v>
      </c>
      <c r="Z73" s="185"/>
      <c r="AA73" s="185">
        <v>44830</v>
      </c>
      <c r="AB73" s="185">
        <v>3633965</v>
      </c>
      <c r="AC73" s="185">
        <v>1245756</v>
      </c>
      <c r="AD73" s="185"/>
      <c r="AE73" s="185">
        <v>369093</v>
      </c>
      <c r="AF73" s="185"/>
      <c r="AG73" s="185">
        <f>79772+159133</f>
        <v>238905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28326030</v>
      </c>
      <c r="CF73" s="251"/>
    </row>
    <row r="74" spans="1:84" ht="12.65" customHeight="1" x14ac:dyDescent="0.3">
      <c r="A74" s="171" t="s">
        <v>246</v>
      </c>
      <c r="B74" s="175"/>
      <c r="C74" s="184">
        <v>1039602</v>
      </c>
      <c r="D74" s="184"/>
      <c r="E74" s="185">
        <f>461907+2887862+391591+55605</f>
        <v>3796965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574178</v>
      </c>
      <c r="P74" s="185">
        <f>12465087+3844310</f>
        <v>16309397</v>
      </c>
      <c r="Q74" s="185">
        <v>1330510</v>
      </c>
      <c r="R74" s="185">
        <v>3647843</v>
      </c>
      <c r="S74" s="185">
        <f>13043994+487085</f>
        <v>13531079</v>
      </c>
      <c r="T74" s="185"/>
      <c r="U74" s="185">
        <f>12078538+137621</f>
        <v>12216159</v>
      </c>
      <c r="V74" s="185">
        <v>586625</v>
      </c>
      <c r="W74" s="185">
        <v>6385026</v>
      </c>
      <c r="X74" s="185">
        <v>10502530</v>
      </c>
      <c r="Y74" s="185">
        <f>5268414+5137759+1227393</f>
        <v>11633566</v>
      </c>
      <c r="Z74" s="185"/>
      <c r="AA74" s="185">
        <v>3252747</v>
      </c>
      <c r="AB74" s="185">
        <v>14113826</v>
      </c>
      <c r="AC74" s="185">
        <f>1034340+1271619+202986</f>
        <v>2508945</v>
      </c>
      <c r="AD74" s="185"/>
      <c r="AE74" s="185">
        <f>4803758+312200+403474</f>
        <v>5519432</v>
      </c>
      <c r="AF74" s="185"/>
      <c r="AG74" s="185">
        <f>9791424+29391+5778240</f>
        <v>15599055</v>
      </c>
      <c r="AH74" s="185"/>
      <c r="AI74" s="185"/>
      <c r="AJ74" s="185">
        <v>136568</v>
      </c>
      <c r="AK74" s="185"/>
      <c r="AL74" s="185"/>
      <c r="AM74" s="185"/>
      <c r="AN74" s="185"/>
      <c r="AO74" s="185"/>
      <c r="AP74" s="185">
        <v>329416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123013469</v>
      </c>
      <c r="CF74" s="251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2781857</v>
      </c>
      <c r="D75" s="195">
        <f t="shared" si="9"/>
        <v>0</v>
      </c>
      <c r="E75" s="195">
        <f t="shared" si="9"/>
        <v>7534738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485460</v>
      </c>
      <c r="K75" s="195">
        <f t="shared" si="9"/>
        <v>0</v>
      </c>
      <c r="L75" s="195">
        <f t="shared" si="9"/>
        <v>84602</v>
      </c>
      <c r="M75" s="195">
        <f t="shared" si="9"/>
        <v>0</v>
      </c>
      <c r="N75" s="195">
        <f t="shared" si="9"/>
        <v>0</v>
      </c>
      <c r="O75" s="195">
        <f t="shared" si="9"/>
        <v>3139615</v>
      </c>
      <c r="P75" s="195">
        <f t="shared" si="9"/>
        <v>20378710</v>
      </c>
      <c r="Q75" s="195">
        <f t="shared" si="9"/>
        <v>1671932</v>
      </c>
      <c r="R75" s="195">
        <f t="shared" si="9"/>
        <v>4860951</v>
      </c>
      <c r="S75" s="195">
        <f t="shared" si="9"/>
        <v>19232644</v>
      </c>
      <c r="T75" s="195">
        <f t="shared" si="9"/>
        <v>0</v>
      </c>
      <c r="U75" s="195">
        <f t="shared" si="9"/>
        <v>14154859</v>
      </c>
      <c r="V75" s="195">
        <f t="shared" si="9"/>
        <v>635848</v>
      </c>
      <c r="W75" s="195">
        <f t="shared" si="9"/>
        <v>6445256</v>
      </c>
      <c r="X75" s="195">
        <f t="shared" si="9"/>
        <v>10757195</v>
      </c>
      <c r="Y75" s="195">
        <f t="shared" si="9"/>
        <v>12183294</v>
      </c>
      <c r="Z75" s="195">
        <f t="shared" si="9"/>
        <v>0</v>
      </c>
      <c r="AA75" s="195">
        <f t="shared" si="9"/>
        <v>3297577</v>
      </c>
      <c r="AB75" s="195">
        <f t="shared" si="9"/>
        <v>17747791</v>
      </c>
      <c r="AC75" s="195">
        <f t="shared" si="9"/>
        <v>3754701</v>
      </c>
      <c r="AD75" s="195">
        <f t="shared" si="9"/>
        <v>0</v>
      </c>
      <c r="AE75" s="195">
        <f t="shared" si="9"/>
        <v>5888525</v>
      </c>
      <c r="AF75" s="195">
        <f t="shared" si="9"/>
        <v>0</v>
      </c>
      <c r="AG75" s="195">
        <f t="shared" si="9"/>
        <v>15837960</v>
      </c>
      <c r="AH75" s="195">
        <f t="shared" si="9"/>
        <v>0</v>
      </c>
      <c r="AI75" s="195">
        <f t="shared" si="9"/>
        <v>0</v>
      </c>
      <c r="AJ75" s="195">
        <f t="shared" si="9"/>
        <v>136568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329416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151339499</v>
      </c>
      <c r="CF75" s="251"/>
    </row>
    <row r="76" spans="1:84" ht="12.65" customHeight="1" x14ac:dyDescent="0.3">
      <c r="A76" s="171" t="s">
        <v>248</v>
      </c>
      <c r="B76" s="175"/>
      <c r="C76" s="300">
        <v>4094</v>
      </c>
      <c r="D76" s="300"/>
      <c r="E76" s="185">
        <v>6862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>
        <v>8195</v>
      </c>
      <c r="P76" s="185">
        <f>11758+4068</f>
        <v>15826</v>
      </c>
      <c r="Q76" s="185"/>
      <c r="R76" s="185"/>
      <c r="S76" s="185">
        <v>1364</v>
      </c>
      <c r="T76" s="185"/>
      <c r="U76" s="185">
        <v>2053</v>
      </c>
      <c r="V76" s="185">
        <v>390</v>
      </c>
      <c r="W76" s="185">
        <v>634</v>
      </c>
      <c r="X76" s="185">
        <v>522</v>
      </c>
      <c r="Y76" s="185">
        <f>4534+400</f>
        <v>4934</v>
      </c>
      <c r="Z76" s="185"/>
      <c r="AA76" s="185">
        <f>305+39</f>
        <v>344</v>
      </c>
      <c r="AB76" s="185">
        <v>980</v>
      </c>
      <c r="AC76" s="185">
        <f>1301</f>
        <v>1301</v>
      </c>
      <c r="AD76" s="185"/>
      <c r="AE76" s="185">
        <f>13708+300</f>
        <v>14008</v>
      </c>
      <c r="AF76" s="185"/>
      <c r="AG76" s="185">
        <v>5981</v>
      </c>
      <c r="AH76" s="185"/>
      <c r="AI76" s="185"/>
      <c r="AJ76" s="185"/>
      <c r="AK76" s="185"/>
      <c r="AL76" s="185"/>
      <c r="AM76" s="185"/>
      <c r="AN76" s="185"/>
      <c r="AO76" s="185"/>
      <c r="AP76" s="185">
        <f>5260-2630</f>
        <v>2630</v>
      </c>
      <c r="AQ76" s="185"/>
      <c r="AR76" s="185"/>
      <c r="AS76" s="185"/>
      <c r="AT76" s="185"/>
      <c r="AU76" s="185"/>
      <c r="AV76" s="185">
        <f>326+150</f>
        <v>476</v>
      </c>
      <c r="AW76" s="185"/>
      <c r="AX76" s="185"/>
      <c r="AY76" s="185">
        <f>400+4156</f>
        <v>4556</v>
      </c>
      <c r="AZ76" s="185"/>
      <c r="BA76" s="185">
        <v>1290</v>
      </c>
      <c r="BB76" s="185">
        <v>422</v>
      </c>
      <c r="BC76" s="185"/>
      <c r="BD76" s="185">
        <f>194+2659</f>
        <v>2853</v>
      </c>
      <c r="BE76" s="185">
        <f>5318+294+973+4313</f>
        <v>10898</v>
      </c>
      <c r="BF76" s="185">
        <f>221+4225</f>
        <v>4446</v>
      </c>
      <c r="BG76" s="185"/>
      <c r="BH76" s="185">
        <f>94+79+239+639</f>
        <v>1051</v>
      </c>
      <c r="BI76" s="300"/>
      <c r="BJ76" s="185"/>
      <c r="BK76" s="185"/>
      <c r="BL76" s="185">
        <f>167+865</f>
        <v>1032</v>
      </c>
      <c r="BM76" s="185"/>
      <c r="BN76" s="185">
        <f>546+1590</f>
        <v>2136</v>
      </c>
      <c r="BO76" s="185"/>
      <c r="BP76" s="185"/>
      <c r="BQ76" s="185"/>
      <c r="BR76" s="185"/>
      <c r="BS76" s="185"/>
      <c r="BT76" s="185"/>
      <c r="BU76" s="185"/>
      <c r="BV76" s="185">
        <v>654</v>
      </c>
      <c r="BW76" s="185">
        <f>113+122</f>
        <v>235</v>
      </c>
      <c r="BX76" s="185">
        <v>150</v>
      </c>
      <c r="BY76" s="185">
        <v>135</v>
      </c>
      <c r="BZ76" s="185"/>
      <c r="CA76" s="185"/>
      <c r="CB76" s="185"/>
      <c r="CC76" s="185">
        <f>127457-100452</f>
        <v>27005</v>
      </c>
      <c r="CD76" s="248" t="s">
        <v>221</v>
      </c>
      <c r="CE76" s="195">
        <f t="shared" si="8"/>
        <v>127457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f>1121+3927</f>
        <v>5048</v>
      </c>
      <c r="D77" s="184"/>
      <c r="E77" s="184">
        <f>1711+7089</f>
        <v>8800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977+3487</f>
        <v>4464</v>
      </c>
      <c r="P77" s="184">
        <f>1242+1179</f>
        <v>2421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1319+408</f>
        <v>1727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22460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815</v>
      </c>
      <c r="D78" s="184"/>
      <c r="E78" s="184">
        <f>3260</f>
        <v>3260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2445</v>
      </c>
      <c r="P78" s="184">
        <v>1902</v>
      </c>
      <c r="Q78" s="184"/>
      <c r="R78" s="184"/>
      <c r="S78" s="184"/>
      <c r="T78" s="184"/>
      <c r="U78" s="184">
        <v>815</v>
      </c>
      <c r="V78" s="184">
        <v>70</v>
      </c>
      <c r="W78" s="184">
        <v>114</v>
      </c>
      <c r="X78" s="184">
        <v>118</v>
      </c>
      <c r="Y78" s="184">
        <f>1358</f>
        <v>1358</v>
      </c>
      <c r="Z78" s="184"/>
      <c r="AA78" s="184">
        <v>69</v>
      </c>
      <c r="AB78" s="184">
        <v>177</v>
      </c>
      <c r="AC78" s="184">
        <v>279</v>
      </c>
      <c r="AD78" s="184"/>
      <c r="AE78" s="184">
        <v>2445</v>
      </c>
      <c r="AF78" s="184"/>
      <c r="AG78" s="184">
        <v>2445</v>
      </c>
      <c r="AH78" s="184"/>
      <c r="AI78" s="184"/>
      <c r="AJ78" s="184">
        <v>226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292</v>
      </c>
      <c r="BB78" s="184">
        <v>34</v>
      </c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272</v>
      </c>
      <c r="BI78" s="184"/>
      <c r="BJ78" s="248" t="s">
        <v>221</v>
      </c>
      <c r="BK78" s="184"/>
      <c r="BL78" s="184">
        <v>195</v>
      </c>
      <c r="BM78" s="184">
        <v>62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305</v>
      </c>
      <c r="BW78" s="184">
        <v>34</v>
      </c>
      <c r="BX78" s="184">
        <v>34</v>
      </c>
      <c r="BY78" s="184">
        <v>34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17800</v>
      </c>
      <c r="CF78" s="195"/>
    </row>
    <row r="79" spans="1:84" ht="12.65" customHeight="1" x14ac:dyDescent="0.3">
      <c r="A79" s="171" t="s">
        <v>251</v>
      </c>
      <c r="B79" s="175"/>
      <c r="C79" s="225">
        <v>18931</v>
      </c>
      <c r="D79" s="225"/>
      <c r="E79" s="184">
        <v>56794</v>
      </c>
      <c r="F79" s="184"/>
      <c r="G79" s="184"/>
      <c r="H79" s="184"/>
      <c r="I79" s="184"/>
      <c r="J79" s="184">
        <v>22087</v>
      </c>
      <c r="K79" s="184"/>
      <c r="L79" s="184"/>
      <c r="M79" s="184"/>
      <c r="N79" s="184"/>
      <c r="O79" s="184">
        <v>44173</v>
      </c>
      <c r="P79" s="184">
        <v>56794</v>
      </c>
      <c r="Q79" s="184"/>
      <c r="R79" s="184"/>
      <c r="S79" s="184"/>
      <c r="T79" s="184"/>
      <c r="U79" s="184">
        <v>9466</v>
      </c>
      <c r="V79" s="184"/>
      <c r="W79" s="184"/>
      <c r="X79" s="184"/>
      <c r="Y79" s="184">
        <v>12621</v>
      </c>
      <c r="Z79" s="184"/>
      <c r="AA79" s="184"/>
      <c r="AB79" s="184"/>
      <c r="AC79" s="184">
        <v>15776</v>
      </c>
      <c r="AD79" s="184"/>
      <c r="AE79" s="184">
        <v>70131</v>
      </c>
      <c r="AF79" s="184"/>
      <c r="AG79" s="184">
        <v>56794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363567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9.5399999999999991</v>
      </c>
      <c r="D80" s="187"/>
      <c r="E80" s="187">
        <v>13.96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14.73</v>
      </c>
      <c r="P80" s="187">
        <v>26.68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14.17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79.08</v>
      </c>
      <c r="CF80" s="254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1" t="s">
        <v>1268</v>
      </c>
      <c r="D82" s="255"/>
      <c r="E82" s="175"/>
    </row>
    <row r="83" spans="1:5" ht="12.65" customHeight="1" x14ac:dyDescent="0.3">
      <c r="A83" s="173" t="s">
        <v>255</v>
      </c>
      <c r="B83" s="172" t="s">
        <v>256</v>
      </c>
      <c r="C83" s="226" t="s">
        <v>1269</v>
      </c>
      <c r="D83" s="255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1270</v>
      </c>
      <c r="D84" s="205"/>
      <c r="E84" s="204"/>
    </row>
    <row r="85" spans="1:5" ht="12.65" customHeight="1" x14ac:dyDescent="0.3">
      <c r="A85" s="173" t="s">
        <v>1250</v>
      </c>
      <c r="B85" s="172"/>
      <c r="C85" s="270" t="s">
        <v>1271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70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69" t="s">
        <v>1277</v>
      </c>
      <c r="D92" s="255"/>
      <c r="E92" s="175"/>
    </row>
    <row r="93" spans="1:5" ht="12.65" customHeight="1" x14ac:dyDescent="0.3">
      <c r="A93" s="173" t="s">
        <v>264</v>
      </c>
      <c r="B93" s="172" t="s">
        <v>256</v>
      </c>
      <c r="C93" s="269" t="s">
        <v>1278</v>
      </c>
      <c r="D93" s="255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6" t="s">
        <v>266</v>
      </c>
      <c r="B96" s="256"/>
      <c r="C96" s="256"/>
      <c r="D96" s="256"/>
      <c r="E96" s="256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6" t="s">
        <v>269</v>
      </c>
      <c r="B100" s="256"/>
      <c r="C100" s="256"/>
      <c r="D100" s="256"/>
      <c r="E100" s="256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6" t="s">
        <v>271</v>
      </c>
      <c r="B103" s="256"/>
      <c r="C103" s="256"/>
      <c r="D103" s="256"/>
      <c r="E103" s="256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f>1482-361-8</f>
        <v>1113</v>
      </c>
      <c r="D111" s="174">
        <f>4207-64-668</f>
        <v>3475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8</v>
      </c>
      <c r="D112" s="174">
        <v>64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361</v>
      </c>
      <c r="D114" s="174">
        <v>668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13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8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>
        <v>2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84602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429</v>
      </c>
      <c r="C138" s="189">
        <v>69</v>
      </c>
      <c r="D138" s="174">
        <f>1113-498</f>
        <v>615</v>
      </c>
      <c r="E138" s="175">
        <f>SUM(B138:D138)</f>
        <v>1113</v>
      </c>
    </row>
    <row r="139" spans="1:6" ht="12.65" customHeight="1" x14ac:dyDescent="0.3">
      <c r="A139" s="173" t="s">
        <v>215</v>
      </c>
      <c r="B139" s="174">
        <v>1464</v>
      </c>
      <c r="C139" s="189">
        <v>250</v>
      </c>
      <c r="D139" s="174">
        <f>3475-1714</f>
        <v>1761</v>
      </c>
      <c r="E139" s="175">
        <f>SUM(B139:D139)</f>
        <v>3475</v>
      </c>
    </row>
    <row r="140" spans="1:6" ht="12.65" customHeight="1" x14ac:dyDescent="0.3">
      <c r="A140" s="173" t="s">
        <v>298</v>
      </c>
      <c r="B140" s="174">
        <v>24720</v>
      </c>
      <c r="C140" s="174">
        <v>11081</v>
      </c>
      <c r="D140" s="174">
        <f>85242-35801</f>
        <v>49441</v>
      </c>
      <c r="E140" s="175">
        <f>SUM(B140:D140)</f>
        <v>85242</v>
      </c>
    </row>
    <row r="141" spans="1:6" ht="12.65" customHeight="1" x14ac:dyDescent="0.3">
      <c r="A141" s="173" t="s">
        <v>245</v>
      </c>
      <c r="B141" s="174">
        <f>1755534+10954451-84602</f>
        <v>12625383</v>
      </c>
      <c r="C141" s="189">
        <f>954643+254899+2534994+624279</f>
        <v>4368815</v>
      </c>
      <c r="D141" s="174">
        <f>28326030-17078800</f>
        <v>11247230</v>
      </c>
      <c r="E141" s="175">
        <f>SUM(B141:D141)</f>
        <v>28241428</v>
      </c>
      <c r="F141" s="199"/>
    </row>
    <row r="142" spans="1:6" ht="12.65" customHeight="1" x14ac:dyDescent="0.3">
      <c r="A142" s="173" t="s">
        <v>246</v>
      </c>
      <c r="B142" s="174">
        <f>4719551+36065566</f>
        <v>40785117</v>
      </c>
      <c r="C142" s="189">
        <f>2077007+473176+9552959+3584502</f>
        <v>15687644</v>
      </c>
      <c r="D142" s="174">
        <f>123013469-56472761</f>
        <v>66540708</v>
      </c>
      <c r="E142" s="175">
        <f>SUM(B142:D142)</f>
        <v>123013469</v>
      </c>
      <c r="F142" s="199"/>
    </row>
    <row r="143" spans="1:6" ht="12.65" customHeight="1" x14ac:dyDescent="0.3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8</v>
      </c>
      <c r="C144" s="189">
        <v>0</v>
      </c>
      <c r="D144" s="174">
        <v>0</v>
      </c>
      <c r="E144" s="175">
        <f>SUM(B144:D144)</f>
        <v>8</v>
      </c>
    </row>
    <row r="145" spans="1:5" ht="12.65" customHeight="1" x14ac:dyDescent="0.3">
      <c r="A145" s="173" t="s">
        <v>215</v>
      </c>
      <c r="B145" s="174">
        <v>64</v>
      </c>
      <c r="C145" s="189">
        <v>0</v>
      </c>
      <c r="D145" s="174">
        <v>0</v>
      </c>
      <c r="E145" s="175">
        <f>SUM(B145:D145)</f>
        <v>64</v>
      </c>
    </row>
    <row r="146" spans="1:5" ht="12.65" customHeight="1" x14ac:dyDescent="0.3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84602</v>
      </c>
      <c r="C147" s="189">
        <v>0</v>
      </c>
      <c r="D147" s="174">
        <v>0</v>
      </c>
      <c r="E147" s="175">
        <f>SUM(B147:D147)</f>
        <v>84602</v>
      </c>
    </row>
    <row r="148" spans="1:5" ht="12.65" customHeight="1" x14ac:dyDescent="0.3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7026686</v>
      </c>
      <c r="C157" s="174">
        <f>1353879+2979895+1936307</f>
        <v>6270081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6" t="s">
        <v>306</v>
      </c>
      <c r="B164" s="256"/>
      <c r="C164" s="256"/>
      <c r="D164" s="256"/>
      <c r="E164" s="256"/>
    </row>
    <row r="165" spans="1:5" ht="11.5" customHeight="1" x14ac:dyDescent="0.3">
      <c r="A165" s="173" t="s">
        <v>307</v>
      </c>
      <c r="B165" s="172" t="s">
        <v>256</v>
      </c>
      <c r="C165" s="189">
        <v>2348517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34980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159615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f>3682195+21376+21376+84750+223307</f>
        <v>4033004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11184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f>1008719</f>
        <v>1008719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f>8624054-7596018</f>
        <v>1028036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8624055</v>
      </c>
      <c r="E173" s="175"/>
    </row>
    <row r="174" spans="1:5" ht="11.5" customHeight="1" x14ac:dyDescent="0.3">
      <c r="A174" s="256" t="s">
        <v>314</v>
      </c>
      <c r="B174" s="256"/>
      <c r="C174" s="256"/>
      <c r="D174" s="256"/>
      <c r="E174" s="256"/>
    </row>
    <row r="175" spans="1:5" ht="11.5" customHeight="1" x14ac:dyDescent="0.3">
      <c r="A175" s="173" t="s">
        <v>315</v>
      </c>
      <c r="B175" s="172" t="s">
        <v>256</v>
      </c>
      <c r="C175" s="189">
        <v>201454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499890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701344</v>
      </c>
      <c r="E177" s="175"/>
    </row>
    <row r="178" spans="1:5" ht="11.5" customHeight="1" x14ac:dyDescent="0.3">
      <c r="A178" s="256" t="s">
        <v>317</v>
      </c>
      <c r="B178" s="256"/>
      <c r="C178" s="256"/>
      <c r="D178" s="256"/>
      <c r="E178" s="256"/>
    </row>
    <row r="179" spans="1:5" ht="11.5" customHeight="1" x14ac:dyDescent="0.3">
      <c r="A179" s="173" t="s">
        <v>318</v>
      </c>
      <c r="B179" s="172" t="s">
        <v>256</v>
      </c>
      <c r="C179" s="189">
        <v>126727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156513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283240</v>
      </c>
      <c r="E181" s="175"/>
    </row>
    <row r="182" spans="1:5" ht="11.5" customHeight="1" x14ac:dyDescent="0.3">
      <c r="A182" s="256" t="s">
        <v>320</v>
      </c>
      <c r="B182" s="256"/>
      <c r="C182" s="256"/>
      <c r="D182" s="256"/>
      <c r="E182" s="256"/>
    </row>
    <row r="183" spans="1:5" ht="11.5" customHeight="1" x14ac:dyDescent="0.3">
      <c r="A183" s="173" t="s">
        <v>321</v>
      </c>
      <c r="B183" s="172" t="s">
        <v>256</v>
      </c>
      <c r="C183" s="189">
        <v>2268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f>787226-2268</f>
        <v>784958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787226</v>
      </c>
      <c r="E186" s="175"/>
    </row>
    <row r="187" spans="1:5" ht="11.5" customHeight="1" x14ac:dyDescent="0.3">
      <c r="A187" s="256" t="s">
        <v>323</v>
      </c>
      <c r="B187" s="256"/>
      <c r="C187" s="256"/>
      <c r="D187" s="256"/>
      <c r="E187" s="256"/>
    </row>
    <row r="188" spans="1:5" ht="11.5" customHeight="1" x14ac:dyDescent="0.3">
      <c r="A188" s="173" t="s">
        <v>324</v>
      </c>
      <c r="B188" s="172" t="s">
        <v>256</v>
      </c>
      <c r="C188" s="189">
        <f>492263-667</f>
        <v>491596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667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492263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5" customHeight="1" x14ac:dyDescent="0.3">
      <c r="A196" s="173" t="s">
        <v>333</v>
      </c>
      <c r="B196" s="174">
        <v>3693473</v>
      </c>
      <c r="C196" s="189">
        <v>111850</v>
      </c>
      <c r="D196" s="174">
        <v>32535</v>
      </c>
      <c r="E196" s="175">
        <f t="shared" si="10"/>
        <v>3772788</v>
      </c>
    </row>
    <row r="197" spans="1:8" ht="12.65" customHeight="1" x14ac:dyDescent="0.3">
      <c r="A197" s="173" t="s">
        <v>334</v>
      </c>
      <c r="B197" s="174">
        <v>18503275.370000001</v>
      </c>
      <c r="C197" s="189"/>
      <c r="D197" s="174">
        <v>82983</v>
      </c>
      <c r="E197" s="175">
        <f t="shared" si="10"/>
        <v>18420292.370000001</v>
      </c>
    </row>
    <row r="198" spans="1:8" ht="12.65" customHeight="1" x14ac:dyDescent="0.3">
      <c r="A198" s="173" t="s">
        <v>335</v>
      </c>
      <c r="B198" s="174">
        <v>15793528.35</v>
      </c>
      <c r="C198" s="189">
        <v>29155</v>
      </c>
      <c r="D198" s="174">
        <v>46349</v>
      </c>
      <c r="E198" s="175">
        <f t="shared" si="10"/>
        <v>15776334.35</v>
      </c>
    </row>
    <row r="199" spans="1:8" ht="12.65" customHeight="1" x14ac:dyDescent="0.3">
      <c r="A199" s="173" t="s">
        <v>336</v>
      </c>
      <c r="B199" s="174">
        <v>1055890.2</v>
      </c>
      <c r="C199" s="189"/>
      <c r="D199" s="174">
        <v>2639</v>
      </c>
      <c r="E199" s="175">
        <f t="shared" si="10"/>
        <v>1053251.2</v>
      </c>
    </row>
    <row r="200" spans="1:8" ht="12.65" customHeight="1" x14ac:dyDescent="0.3">
      <c r="A200" s="173" t="s">
        <v>337</v>
      </c>
      <c r="B200" s="174">
        <v>15652434.579999998</v>
      </c>
      <c r="C200" s="189">
        <f>1898641+42876+54291</f>
        <v>1995808</v>
      </c>
      <c r="D200" s="174">
        <v>1100129</v>
      </c>
      <c r="E200" s="175">
        <f t="shared" si="10"/>
        <v>16548113.579999998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>
        <v>104566</v>
      </c>
      <c r="D202" s="174"/>
      <c r="E202" s="175">
        <f t="shared" si="10"/>
        <v>104566</v>
      </c>
    </row>
    <row r="203" spans="1:8" ht="12.65" customHeight="1" x14ac:dyDescent="0.3">
      <c r="A203" s="173" t="s">
        <v>340</v>
      </c>
      <c r="B203" s="174">
        <v>71148</v>
      </c>
      <c r="C203" s="189">
        <f>1938056+5597</f>
        <v>1943653</v>
      </c>
      <c r="D203" s="174">
        <v>680205</v>
      </c>
      <c r="E203" s="175">
        <f t="shared" si="10"/>
        <v>1334596</v>
      </c>
    </row>
    <row r="204" spans="1:8" ht="12.65" customHeight="1" x14ac:dyDescent="0.3">
      <c r="A204" s="173" t="s">
        <v>203</v>
      </c>
      <c r="B204" s="175">
        <f>SUM(B195:B203)</f>
        <v>56583054.5</v>
      </c>
      <c r="C204" s="191">
        <f>SUM(C195:C203)</f>
        <v>4185032</v>
      </c>
      <c r="D204" s="175">
        <f>SUM(D195:D203)</f>
        <v>1944840</v>
      </c>
      <c r="E204" s="175">
        <f>SUM(E195:E203)</f>
        <v>58823246.5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">
      <c r="A209" s="173" t="s">
        <v>333</v>
      </c>
      <c r="B209" s="174">
        <v>1915178.23</v>
      </c>
      <c r="C209" s="189">
        <v>106159</v>
      </c>
      <c r="D209" s="174">
        <v>32535</v>
      </c>
      <c r="E209" s="175">
        <f t="shared" ref="E209:E216" si="11">SUM(B209:C209)-D209</f>
        <v>1988802.23</v>
      </c>
      <c r="H209" s="258"/>
    </row>
    <row r="210" spans="1:8" ht="12.65" customHeight="1" x14ac:dyDescent="0.3">
      <c r="A210" s="173" t="s">
        <v>334</v>
      </c>
      <c r="B210" s="174">
        <v>4926429.040000001</v>
      </c>
      <c r="C210" s="189">
        <f>818428-70560</f>
        <v>747868</v>
      </c>
      <c r="D210" s="174">
        <f>82983</f>
        <v>82983</v>
      </c>
      <c r="E210" s="175">
        <f t="shared" si="11"/>
        <v>5591314.040000001</v>
      </c>
      <c r="H210" s="258"/>
    </row>
    <row r="211" spans="1:8" ht="12.65" customHeight="1" x14ac:dyDescent="0.3">
      <c r="A211" s="173" t="s">
        <v>335</v>
      </c>
      <c r="B211" s="174">
        <v>12349054.51</v>
      </c>
      <c r="C211" s="189">
        <v>498135</v>
      </c>
      <c r="D211" s="174">
        <v>46349</v>
      </c>
      <c r="E211" s="175">
        <f t="shared" si="11"/>
        <v>12800840.51</v>
      </c>
      <c r="H211" s="258"/>
    </row>
    <row r="212" spans="1:8" ht="12.65" customHeight="1" x14ac:dyDescent="0.3">
      <c r="A212" s="173" t="s">
        <v>336</v>
      </c>
      <c r="B212" s="174">
        <v>924343.74</v>
      </c>
      <c r="C212" s="189">
        <v>14303</v>
      </c>
      <c r="D212" s="174">
        <v>2639</v>
      </c>
      <c r="E212" s="175">
        <f t="shared" si="11"/>
        <v>936007.74</v>
      </c>
      <c r="H212" s="258"/>
    </row>
    <row r="213" spans="1:8" ht="12.65" customHeight="1" x14ac:dyDescent="0.3">
      <c r="A213" s="173" t="s">
        <v>337</v>
      </c>
      <c r="B213" s="174">
        <v>11705954.390000001</v>
      </c>
      <c r="C213" s="189">
        <f>917954+95774+245975-37</f>
        <v>1259666</v>
      </c>
      <c r="D213" s="174">
        <f>714825+46364+186042+141319-37</f>
        <v>1088513</v>
      </c>
      <c r="E213" s="175">
        <f t="shared" si="11"/>
        <v>11877107.390000001</v>
      </c>
      <c r="H213" s="258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8"/>
    </row>
    <row r="215" spans="1:8" ht="12.65" customHeight="1" x14ac:dyDescent="0.3">
      <c r="A215" s="173" t="s">
        <v>339</v>
      </c>
      <c r="B215" s="174">
        <v>0</v>
      </c>
      <c r="C215" s="189">
        <v>8341</v>
      </c>
      <c r="D215" s="174">
        <v>0</v>
      </c>
      <c r="E215" s="175">
        <f t="shared" si="11"/>
        <v>8341</v>
      </c>
      <c r="H215" s="258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8"/>
    </row>
    <row r="217" spans="1:8" ht="12.65" customHeight="1" x14ac:dyDescent="0.3">
      <c r="A217" s="173" t="s">
        <v>203</v>
      </c>
      <c r="B217" s="175">
        <f>SUM(B208:B216)</f>
        <v>31820959.91</v>
      </c>
      <c r="C217" s="191">
        <f>SUM(C208:C216)</f>
        <v>2634472</v>
      </c>
      <c r="D217" s="175">
        <f>SUM(D208:D216)</f>
        <v>1253019</v>
      </c>
      <c r="E217" s="175">
        <f>SUM(E208:E216)</f>
        <v>33202412.91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0" t="s">
        <v>1254</v>
      </c>
      <c r="C220" s="340"/>
      <c r="D220" s="208"/>
      <c r="E220" s="208"/>
    </row>
    <row r="221" spans="1:8" ht="12.65" customHeight="1" x14ac:dyDescent="0.3">
      <c r="A221" s="271" t="s">
        <v>1254</v>
      </c>
      <c r="B221" s="208"/>
      <c r="C221" s="189">
        <v>740675</v>
      </c>
      <c r="D221" s="172">
        <f>C221</f>
        <v>740675</v>
      </c>
      <c r="E221" s="208"/>
    </row>
    <row r="222" spans="1:8" ht="12.65" customHeight="1" x14ac:dyDescent="0.3">
      <c r="A222" s="256" t="s">
        <v>343</v>
      </c>
      <c r="B222" s="256"/>
      <c r="C222" s="256"/>
      <c r="D222" s="256"/>
      <c r="E222" s="256"/>
    </row>
    <row r="223" spans="1:8" ht="12.65" customHeight="1" x14ac:dyDescent="0.3">
      <c r="A223" s="173" t="s">
        <v>344</v>
      </c>
      <c r="B223" s="172" t="s">
        <v>256</v>
      </c>
      <c r="C223" s="189">
        <v>28319452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10846897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724891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f>706446</f>
        <v>706446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f>73737308-42658944</f>
        <v>31078364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71676050</v>
      </c>
      <c r="E229" s="175"/>
    </row>
    <row r="230" spans="1:5" ht="12.65" customHeight="1" x14ac:dyDescent="0.3">
      <c r="A230" s="256" t="s">
        <v>351</v>
      </c>
      <c r="B230" s="256"/>
      <c r="C230" s="256"/>
      <c r="D230" s="256"/>
      <c r="E230" s="256"/>
    </row>
    <row r="231" spans="1:5" ht="12.65" customHeight="1" x14ac:dyDescent="0.3">
      <c r="A231" s="171" t="s">
        <v>352</v>
      </c>
      <c r="B231" s="172" t="s">
        <v>256</v>
      </c>
      <c r="C231" s="189">
        <v>1304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122877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f>589284+306</f>
        <v>589590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712467</v>
      </c>
      <c r="E236" s="175"/>
    </row>
    <row r="237" spans="1:5" ht="12.65" customHeight="1" x14ac:dyDescent="0.3">
      <c r="A237" s="256" t="s">
        <v>356</v>
      </c>
      <c r="B237" s="256"/>
      <c r="C237" s="256"/>
      <c r="D237" s="256"/>
      <c r="E237" s="256"/>
    </row>
    <row r="238" spans="1:5" ht="12.65" customHeight="1" x14ac:dyDescent="0.3">
      <c r="A238" s="173" t="s">
        <v>357</v>
      </c>
      <c r="B238" s="172" t="s">
        <v>256</v>
      </c>
      <c r="C238" s="189">
        <f>261987</f>
        <v>261987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346129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608116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73737308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6" t="s">
        <v>361</v>
      </c>
      <c r="B249" s="256"/>
      <c r="C249" s="256"/>
      <c r="D249" s="256"/>
      <c r="E249" s="256"/>
    </row>
    <row r="250" spans="1:5" ht="12.65" customHeight="1" x14ac:dyDescent="0.3">
      <c r="A250" s="173" t="s">
        <v>362</v>
      </c>
      <c r="B250" s="172" t="s">
        <v>256</v>
      </c>
      <c r="C250" s="189">
        <f>9143653</f>
        <v>9143653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19491602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f>2999078+7567153+1</f>
        <v>10566232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2127078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2323002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828294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23347397</v>
      </c>
      <c r="E260" s="175"/>
    </row>
    <row r="261" spans="1:5" ht="11.25" customHeight="1" x14ac:dyDescent="0.3">
      <c r="A261" s="256" t="s">
        <v>372</v>
      </c>
      <c r="B261" s="256"/>
      <c r="C261" s="256"/>
      <c r="D261" s="256"/>
      <c r="E261" s="256"/>
    </row>
    <row r="262" spans="1:5" ht="12.65" customHeight="1" x14ac:dyDescent="0.3">
      <c r="A262" s="173" t="s">
        <v>362</v>
      </c>
      <c r="B262" s="172" t="s">
        <v>256</v>
      </c>
      <c r="C262" s="189">
        <v>27624159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27624159</v>
      </c>
      <c r="E265" s="175"/>
    </row>
    <row r="266" spans="1:5" ht="11.25" customHeight="1" x14ac:dyDescent="0.3">
      <c r="A266" s="256" t="s">
        <v>375</v>
      </c>
      <c r="B266" s="256"/>
      <c r="C266" s="256"/>
      <c r="D266" s="256"/>
      <c r="E266" s="256"/>
    </row>
    <row r="267" spans="1:5" ht="12.65" customHeight="1" x14ac:dyDescent="0.3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3772788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18420292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15776334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1053251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16548114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104566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1334596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58823246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33202412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25620834</v>
      </c>
      <c r="E277" s="175"/>
    </row>
    <row r="278" spans="1:5" ht="12.65" customHeight="1" x14ac:dyDescent="0.3">
      <c r="A278" s="256" t="s">
        <v>382</v>
      </c>
      <c r="B278" s="256"/>
      <c r="C278" s="256"/>
      <c r="D278" s="256"/>
      <c r="E278" s="256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590370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8698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599068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6" t="s">
        <v>387</v>
      </c>
      <c r="B285" s="256"/>
      <c r="C285" s="256"/>
      <c r="D285" s="256"/>
      <c r="E285" s="256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77191458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6" t="s">
        <v>395</v>
      </c>
      <c r="B303" s="256"/>
      <c r="C303" s="256"/>
      <c r="D303" s="256"/>
      <c r="E303" s="256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2093741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3857285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1220000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258990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7430016</v>
      </c>
      <c r="E314" s="175"/>
    </row>
    <row r="315" spans="1:5" ht="12.65" customHeight="1" x14ac:dyDescent="0.3">
      <c r="A315" s="256" t="s">
        <v>406</v>
      </c>
      <c r="B315" s="256"/>
      <c r="C315" s="256"/>
      <c r="D315" s="256"/>
      <c r="E315" s="256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6" t="s">
        <v>411</v>
      </c>
      <c r="B320" s="256"/>
      <c r="C320" s="256"/>
      <c r="D320" s="256"/>
      <c r="E320" s="256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1856854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10781950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7008155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19646959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19646959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0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222">
        <v>50114483</v>
      </c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77191458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77191458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6" t="s">
        <v>427</v>
      </c>
      <c r="B358" s="256"/>
      <c r="C358" s="256"/>
      <c r="D358" s="256"/>
      <c r="E358" s="256"/>
    </row>
    <row r="359" spans="1:5" ht="12.65" customHeight="1" x14ac:dyDescent="0.3">
      <c r="A359" s="173" t="s">
        <v>428</v>
      </c>
      <c r="B359" s="172" t="s">
        <v>256</v>
      </c>
      <c r="C359" s="189">
        <v>28326030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123013468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151339498</v>
      </c>
      <c r="E361" s="175"/>
    </row>
    <row r="362" spans="1:5" ht="12.65" customHeight="1" x14ac:dyDescent="0.3">
      <c r="A362" s="256" t="s">
        <v>431</v>
      </c>
      <c r="B362" s="256"/>
      <c r="C362" s="256"/>
      <c r="D362" s="256"/>
      <c r="E362" s="256"/>
    </row>
    <row r="363" spans="1:5" ht="12.65" customHeight="1" x14ac:dyDescent="0.3">
      <c r="A363" s="173" t="s">
        <v>1254</v>
      </c>
      <c r="B363" s="256"/>
      <c r="C363" s="189">
        <v>740675</v>
      </c>
      <c r="D363" s="175"/>
      <c r="E363" s="256"/>
    </row>
    <row r="364" spans="1:5" ht="12.65" customHeight="1" x14ac:dyDescent="0.3">
      <c r="A364" s="173" t="s">
        <v>432</v>
      </c>
      <c r="B364" s="172" t="s">
        <v>256</v>
      </c>
      <c r="C364" s="189">
        <v>71676050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712467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346129+261987</f>
        <v>608116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73737308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77602190</v>
      </c>
      <c r="E368" s="175"/>
    </row>
    <row r="369" spans="1:5" ht="12.65" customHeight="1" x14ac:dyDescent="0.3">
      <c r="A369" s="256" t="s">
        <v>436</v>
      </c>
      <c r="B369" s="256"/>
      <c r="C369" s="256"/>
      <c r="D369" s="256"/>
      <c r="E369" s="256"/>
    </row>
    <row r="370" spans="1:5" ht="12.65" customHeight="1" x14ac:dyDescent="0.3">
      <c r="A370" s="173" t="s">
        <v>437</v>
      </c>
      <c r="B370" s="172" t="s">
        <v>256</v>
      </c>
      <c r="C370" s="189">
        <f>2989976</f>
        <v>2989976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1226000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4215976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81818166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6" t="s">
        <v>441</v>
      </c>
      <c r="B377" s="256"/>
      <c r="C377" s="256"/>
      <c r="D377" s="256"/>
      <c r="E377" s="256"/>
    </row>
    <row r="378" spans="1:5" ht="12.65" customHeight="1" x14ac:dyDescent="0.3">
      <c r="A378" s="173" t="s">
        <v>442</v>
      </c>
      <c r="B378" s="172" t="s">
        <v>256</v>
      </c>
      <c r="C378" s="189">
        <v>33345089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8624055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5764981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12049959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793670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4065224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2634471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701344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283240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787266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492263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1014854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70556416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11261750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f>-2968469-1226000</f>
        <v>-4194469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7067281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7067281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9"/>
    </row>
    <row r="412" spans="1:5" ht="12.65" customHeight="1" x14ac:dyDescent="0.3">
      <c r="A412" s="179" t="str">
        <f>C84&amp;"   "&amp;"H-"&amp;FIXED(C83,0,TRUE)&amp;"     FYE "&amp;C82</f>
        <v>Public Hospital District #1-A of Whitman County   H-0     FYE 12/31/2021</v>
      </c>
      <c r="B412" s="179"/>
      <c r="C412" s="179"/>
      <c r="D412" s="179"/>
      <c r="E412" s="259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1113</v>
      </c>
      <c r="C414" s="194">
        <f>E138</f>
        <v>1113</v>
      </c>
      <c r="D414" s="179"/>
    </row>
    <row r="415" spans="1:5" ht="12.65" customHeight="1" x14ac:dyDescent="0.3">
      <c r="A415" s="179" t="s">
        <v>464</v>
      </c>
      <c r="B415" s="179">
        <f>D111</f>
        <v>3475</v>
      </c>
      <c r="C415" s="179">
        <f>E139</f>
        <v>3475</v>
      </c>
      <c r="D415" s="194">
        <f>SUM(C59:H59)+N59</f>
        <v>3475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8</v>
      </c>
      <c r="C417" s="194">
        <f>E144</f>
        <v>8</v>
      </c>
      <c r="D417" s="179"/>
    </row>
    <row r="418" spans="1:7" ht="12.65" customHeight="1" x14ac:dyDescent="0.3">
      <c r="A418" s="179" t="s">
        <v>466</v>
      </c>
      <c r="B418" s="179">
        <f>D112</f>
        <v>64</v>
      </c>
      <c r="C418" s="179">
        <f>E145</f>
        <v>64</v>
      </c>
      <c r="D418" s="179">
        <f>K59+L59</f>
        <v>64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361</v>
      </c>
    </row>
    <row r="424" spans="1:7" ht="12.65" customHeight="1" x14ac:dyDescent="0.3">
      <c r="A424" s="179" t="s">
        <v>1243</v>
      </c>
      <c r="B424" s="179">
        <f>D114</f>
        <v>668</v>
      </c>
      <c r="D424" s="179">
        <f>J59</f>
        <v>668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33345089</v>
      </c>
      <c r="C427" s="179">
        <f t="shared" ref="C427:C434" si="13">CE61</f>
        <v>33345089</v>
      </c>
      <c r="D427" s="179"/>
    </row>
    <row r="428" spans="1:7" ht="12.65" customHeight="1" x14ac:dyDescent="0.3">
      <c r="A428" s="179" t="s">
        <v>3</v>
      </c>
      <c r="B428" s="179">
        <f t="shared" si="12"/>
        <v>8624055</v>
      </c>
      <c r="C428" s="179">
        <f t="shared" si="13"/>
        <v>8624054</v>
      </c>
      <c r="D428" s="179">
        <f>D173</f>
        <v>8624055</v>
      </c>
    </row>
    <row r="429" spans="1:7" ht="12.65" customHeight="1" x14ac:dyDescent="0.3">
      <c r="A429" s="179" t="s">
        <v>236</v>
      </c>
      <c r="B429" s="179">
        <f t="shared" si="12"/>
        <v>5764981</v>
      </c>
      <c r="C429" s="179">
        <f t="shared" si="13"/>
        <v>5764981</v>
      </c>
      <c r="D429" s="179"/>
    </row>
    <row r="430" spans="1:7" ht="12.65" customHeight="1" x14ac:dyDescent="0.3">
      <c r="A430" s="179" t="s">
        <v>237</v>
      </c>
      <c r="B430" s="179">
        <f t="shared" si="12"/>
        <v>12049959</v>
      </c>
      <c r="C430" s="179">
        <f t="shared" si="13"/>
        <v>12049959</v>
      </c>
      <c r="D430" s="179"/>
    </row>
    <row r="431" spans="1:7" ht="12.65" customHeight="1" x14ac:dyDescent="0.3">
      <c r="A431" s="179" t="s">
        <v>444</v>
      </c>
      <c r="B431" s="179">
        <f t="shared" si="12"/>
        <v>793670</v>
      </c>
      <c r="C431" s="179">
        <f t="shared" si="13"/>
        <v>793670</v>
      </c>
      <c r="D431" s="179"/>
    </row>
    <row r="432" spans="1:7" ht="12.65" customHeight="1" x14ac:dyDescent="0.3">
      <c r="A432" s="179" t="s">
        <v>445</v>
      </c>
      <c r="B432" s="179">
        <f t="shared" si="12"/>
        <v>4065224</v>
      </c>
      <c r="C432" s="179">
        <f t="shared" si="13"/>
        <v>4065224</v>
      </c>
      <c r="D432" s="179"/>
    </row>
    <row r="433" spans="1:7" ht="12.65" customHeight="1" x14ac:dyDescent="0.3">
      <c r="A433" s="179" t="s">
        <v>6</v>
      </c>
      <c r="B433" s="179">
        <f t="shared" si="12"/>
        <v>2634471</v>
      </c>
      <c r="C433" s="179">
        <f t="shared" si="13"/>
        <v>2634469</v>
      </c>
      <c r="D433" s="179">
        <f>C217</f>
        <v>2634472</v>
      </c>
    </row>
    <row r="434" spans="1:7" ht="12.65" customHeight="1" x14ac:dyDescent="0.3">
      <c r="A434" s="179" t="s">
        <v>474</v>
      </c>
      <c r="B434" s="179">
        <f t="shared" si="12"/>
        <v>701344</v>
      </c>
      <c r="C434" s="179">
        <f t="shared" si="13"/>
        <v>701344</v>
      </c>
      <c r="D434" s="179">
        <f>D177</f>
        <v>701344</v>
      </c>
    </row>
    <row r="435" spans="1:7" ht="12.65" customHeight="1" x14ac:dyDescent="0.3">
      <c r="A435" s="179" t="s">
        <v>447</v>
      </c>
      <c r="B435" s="179">
        <f t="shared" si="12"/>
        <v>283240</v>
      </c>
      <c r="C435" s="179"/>
      <c r="D435" s="179">
        <f>D181</f>
        <v>283240</v>
      </c>
    </row>
    <row r="436" spans="1:7" ht="12.65" customHeight="1" x14ac:dyDescent="0.3">
      <c r="A436" s="179" t="s">
        <v>475</v>
      </c>
      <c r="B436" s="179">
        <f t="shared" si="12"/>
        <v>787266</v>
      </c>
      <c r="C436" s="179"/>
      <c r="D436" s="179">
        <f>D186</f>
        <v>787226</v>
      </c>
    </row>
    <row r="437" spans="1:7" ht="12.65" customHeight="1" x14ac:dyDescent="0.3">
      <c r="A437" s="194" t="s">
        <v>449</v>
      </c>
      <c r="B437" s="194">
        <f t="shared" si="12"/>
        <v>492263</v>
      </c>
      <c r="C437" s="194"/>
      <c r="D437" s="194">
        <f>D190</f>
        <v>492263</v>
      </c>
    </row>
    <row r="438" spans="1:7" ht="12.65" customHeight="1" x14ac:dyDescent="0.3">
      <c r="A438" s="194" t="s">
        <v>476</v>
      </c>
      <c r="B438" s="194">
        <f>C386+C387+C388</f>
        <v>1562769</v>
      </c>
      <c r="C438" s="194">
        <f>CD69</f>
        <v>1562769</v>
      </c>
      <c r="D438" s="194">
        <f>D181+D186+D190</f>
        <v>1562729</v>
      </c>
    </row>
    <row r="439" spans="1:7" ht="12.65" customHeight="1" x14ac:dyDescent="0.3">
      <c r="A439" s="179" t="s">
        <v>451</v>
      </c>
      <c r="B439" s="194">
        <f>C389</f>
        <v>1014854</v>
      </c>
      <c r="C439" s="194">
        <f>SUM(C69:CC69)</f>
        <v>1014854</v>
      </c>
      <c r="D439" s="179"/>
    </row>
    <row r="440" spans="1:7" ht="12.65" customHeight="1" x14ac:dyDescent="0.3">
      <c r="A440" s="179" t="s">
        <v>477</v>
      </c>
      <c r="B440" s="194">
        <f>B438+B439</f>
        <v>2577623</v>
      </c>
      <c r="C440" s="194">
        <f>CE69</f>
        <v>2577623</v>
      </c>
      <c r="D440" s="179"/>
    </row>
    <row r="441" spans="1:7" ht="12.65" customHeight="1" x14ac:dyDescent="0.3">
      <c r="A441" s="179" t="s">
        <v>478</v>
      </c>
      <c r="B441" s="179">
        <f>D390</f>
        <v>70556416</v>
      </c>
      <c r="C441" s="179">
        <f>SUM(C427:C437)+C440</f>
        <v>70556413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740675</v>
      </c>
      <c r="C444" s="179">
        <f>C363</f>
        <v>740675</v>
      </c>
      <c r="D444" s="179"/>
    </row>
    <row r="445" spans="1:7" ht="12.65" customHeight="1" x14ac:dyDescent="0.3">
      <c r="A445" s="179" t="s">
        <v>343</v>
      </c>
      <c r="B445" s="179">
        <f>D229</f>
        <v>71676050</v>
      </c>
      <c r="C445" s="179">
        <f>C364</f>
        <v>71676050</v>
      </c>
      <c r="D445" s="179"/>
    </row>
    <row r="446" spans="1:7" ht="12.65" customHeight="1" x14ac:dyDescent="0.3">
      <c r="A446" s="179" t="s">
        <v>351</v>
      </c>
      <c r="B446" s="179">
        <f>D236</f>
        <v>712467</v>
      </c>
      <c r="C446" s="179">
        <f>C365</f>
        <v>712467</v>
      </c>
      <c r="D446" s="179"/>
    </row>
    <row r="447" spans="1:7" ht="12.65" customHeight="1" x14ac:dyDescent="0.3">
      <c r="A447" s="179" t="s">
        <v>356</v>
      </c>
      <c r="B447" s="179">
        <f>D240</f>
        <v>608116</v>
      </c>
      <c r="C447" s="179">
        <f>C366</f>
        <v>608116</v>
      </c>
      <c r="D447" s="179"/>
    </row>
    <row r="448" spans="1:7" ht="12.65" customHeight="1" x14ac:dyDescent="0.3">
      <c r="A448" s="179" t="s">
        <v>358</v>
      </c>
      <c r="B448" s="179">
        <f>D242</f>
        <v>73737308</v>
      </c>
      <c r="C448" s="179">
        <f>D367</f>
        <v>73737308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1304</v>
      </c>
    </row>
    <row r="454" spans="1:7" ht="12.65" customHeight="1" x14ac:dyDescent="0.3">
      <c r="A454" s="179" t="s">
        <v>168</v>
      </c>
      <c r="B454" s="179">
        <f>C233</f>
        <v>122877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589590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2989976</v>
      </c>
      <c r="C458" s="194">
        <f>CE70</f>
        <v>2989976</v>
      </c>
      <c r="D458" s="194"/>
    </row>
    <row r="459" spans="1:7" ht="12.65" customHeight="1" x14ac:dyDescent="0.3">
      <c r="A459" s="179" t="s">
        <v>244</v>
      </c>
      <c r="B459" s="194">
        <f>C371</f>
        <v>1226000</v>
      </c>
      <c r="C459" s="194">
        <f>CE72</f>
        <v>1226000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28326030</v>
      </c>
      <c r="C463" s="194">
        <f>CE73</f>
        <v>28326030</v>
      </c>
      <c r="D463" s="194">
        <f>E141+E147+E153</f>
        <v>28326030</v>
      </c>
    </row>
    <row r="464" spans="1:7" ht="12.65" customHeight="1" x14ac:dyDescent="0.3">
      <c r="A464" s="179" t="s">
        <v>246</v>
      </c>
      <c r="B464" s="194">
        <f>C360</f>
        <v>123013468</v>
      </c>
      <c r="C464" s="194">
        <f>CE74</f>
        <v>123013469</v>
      </c>
      <c r="D464" s="194">
        <f>E142+E148+E154</f>
        <v>123013469</v>
      </c>
    </row>
    <row r="465" spans="1:7" ht="12.65" customHeight="1" x14ac:dyDescent="0.3">
      <c r="A465" s="179" t="s">
        <v>247</v>
      </c>
      <c r="B465" s="194">
        <f>D361</f>
        <v>151339498</v>
      </c>
      <c r="C465" s="194">
        <f>CE75</f>
        <v>151339499</v>
      </c>
      <c r="D465" s="194">
        <f>D463+D464</f>
        <v>151339499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5" customHeight="1" x14ac:dyDescent="0.3">
      <c r="A469" s="179" t="s">
        <v>333</v>
      </c>
      <c r="B469" s="179">
        <f t="shared" si="14"/>
        <v>3772788</v>
      </c>
      <c r="C469" s="179">
        <f>E196</f>
        <v>3772788</v>
      </c>
      <c r="D469" s="179"/>
    </row>
    <row r="470" spans="1:7" ht="12.65" customHeight="1" x14ac:dyDescent="0.3">
      <c r="A470" s="179" t="s">
        <v>334</v>
      </c>
      <c r="B470" s="179">
        <f t="shared" si="14"/>
        <v>18420292</v>
      </c>
      <c r="C470" s="179">
        <f>E197</f>
        <v>18420292.370000001</v>
      </c>
      <c r="D470" s="179"/>
    </row>
    <row r="471" spans="1:7" ht="12.65" customHeight="1" x14ac:dyDescent="0.3">
      <c r="A471" s="179" t="s">
        <v>494</v>
      </c>
      <c r="B471" s="179">
        <f t="shared" si="14"/>
        <v>15776334</v>
      </c>
      <c r="C471" s="179">
        <f>E198</f>
        <v>15776334.35</v>
      </c>
      <c r="D471" s="179"/>
    </row>
    <row r="472" spans="1:7" ht="12.65" customHeight="1" x14ac:dyDescent="0.3">
      <c r="A472" s="179" t="s">
        <v>377</v>
      </c>
      <c r="B472" s="179">
        <f t="shared" si="14"/>
        <v>1053251</v>
      </c>
      <c r="C472" s="179">
        <f>E199</f>
        <v>1053251.2</v>
      </c>
      <c r="D472" s="179"/>
    </row>
    <row r="473" spans="1:7" ht="12.65" customHeight="1" x14ac:dyDescent="0.3">
      <c r="A473" s="179" t="s">
        <v>495</v>
      </c>
      <c r="B473" s="179">
        <f t="shared" si="14"/>
        <v>16548114</v>
      </c>
      <c r="C473" s="179">
        <f>SUM(E200:E201)</f>
        <v>16548113.579999998</v>
      </c>
      <c r="D473" s="179"/>
    </row>
    <row r="474" spans="1:7" ht="12.65" customHeight="1" x14ac:dyDescent="0.3">
      <c r="A474" s="179" t="s">
        <v>339</v>
      </c>
      <c r="B474" s="179">
        <f t="shared" si="14"/>
        <v>104566</v>
      </c>
      <c r="C474" s="179">
        <f>E202</f>
        <v>104566</v>
      </c>
      <c r="D474" s="179"/>
    </row>
    <row r="475" spans="1:7" ht="12.65" customHeight="1" x14ac:dyDescent="0.3">
      <c r="A475" s="179" t="s">
        <v>340</v>
      </c>
      <c r="B475" s="179">
        <f t="shared" si="14"/>
        <v>1334596</v>
      </c>
      <c r="C475" s="179">
        <f>E203</f>
        <v>1334596</v>
      </c>
      <c r="D475" s="179"/>
    </row>
    <row r="476" spans="1:7" ht="12.65" customHeight="1" x14ac:dyDescent="0.3">
      <c r="A476" s="179" t="s">
        <v>203</v>
      </c>
      <c r="B476" s="179">
        <f>D275</f>
        <v>58823246</v>
      </c>
      <c r="C476" s="179">
        <f>E204</f>
        <v>58823246.5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33202412</v>
      </c>
      <c r="C478" s="179">
        <f>E217</f>
        <v>33202412.91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77191458</v>
      </c>
    </row>
    <row r="482" spans="1:12" ht="12.65" customHeight="1" x14ac:dyDescent="0.3">
      <c r="A482" s="180" t="s">
        <v>499</v>
      </c>
      <c r="C482" s="180">
        <f>D339</f>
        <v>77191458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172</v>
      </c>
      <c r="B493" s="260" t="str">
        <f>RIGHT('Prior Year'!C82,4)</f>
        <v>2020</v>
      </c>
      <c r="C493" s="260" t="str">
        <f>RIGHT(C82,4)</f>
        <v>2021</v>
      </c>
      <c r="D493" s="260" t="str">
        <f>RIGHT('Prior Year'!C82,4)</f>
        <v>2020</v>
      </c>
      <c r="E493" s="260" t="str">
        <f>RIGHT(C82,4)</f>
        <v>2021</v>
      </c>
      <c r="F493" s="260" t="str">
        <f>RIGHT('Prior Year'!C82,4)</f>
        <v>2020</v>
      </c>
      <c r="G493" s="260" t="str">
        <f>RIGHT(C82,4)</f>
        <v>2021</v>
      </c>
      <c r="H493" s="260"/>
      <c r="K493" s="260"/>
      <c r="L493" s="260"/>
    </row>
    <row r="494" spans="1:12" ht="12.65" customHeight="1" x14ac:dyDescent="0.3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">
      <c r="A496" s="180" t="s">
        <v>512</v>
      </c>
      <c r="B496" s="239">
        <f>'Prior Year'!C71</f>
        <v>1647811</v>
      </c>
      <c r="C496" s="239">
        <f>C71</f>
        <v>1888316</v>
      </c>
      <c r="D496" s="239">
        <f>'Prior Year'!C59</f>
        <v>683</v>
      </c>
      <c r="E496" s="180">
        <f>C59</f>
        <v>740</v>
      </c>
      <c r="F496" s="262">
        <f t="shared" ref="F496:G511" si="15">IF(B496=0,"",IF(D496=0,"",B496/D496))</f>
        <v>2412.6076134699852</v>
      </c>
      <c r="G496" s="263">
        <f t="shared" si="15"/>
        <v>2551.7783783783784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">
      <c r="A498" s="180" t="s">
        <v>514</v>
      </c>
      <c r="B498" s="239">
        <f>'Prior Year'!E71</f>
        <v>4340584</v>
      </c>
      <c r="C498" s="239">
        <f>E71</f>
        <v>4231635</v>
      </c>
      <c r="D498" s="239">
        <f>'Prior Year'!E59</f>
        <v>2391</v>
      </c>
      <c r="E498" s="180">
        <f>E59</f>
        <v>2735</v>
      </c>
      <c r="F498" s="262">
        <f t="shared" si="15"/>
        <v>1815.3843580092012</v>
      </c>
      <c r="G498" s="262">
        <f t="shared" si="15"/>
        <v>1547.215722120658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652</v>
      </c>
      <c r="E503" s="180">
        <f>J59</f>
        <v>668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5" customHeight="1" x14ac:dyDescent="0.3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165</v>
      </c>
      <c r="E505" s="180">
        <f>L59</f>
        <v>64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">
      <c r="A508" s="180" t="s">
        <v>524</v>
      </c>
      <c r="B508" s="239">
        <f>'Prior Year'!O71</f>
        <v>2732607</v>
      </c>
      <c r="C508" s="239">
        <f>O71</f>
        <v>2865833</v>
      </c>
      <c r="D508" s="239">
        <f>'Prior Year'!O59</f>
        <v>354</v>
      </c>
      <c r="E508" s="180">
        <f>O59</f>
        <v>0</v>
      </c>
      <c r="F508" s="262">
        <f t="shared" si="15"/>
        <v>7719.2288135593217</v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5" customHeight="1" x14ac:dyDescent="0.3">
      <c r="A509" s="180" t="s">
        <v>525</v>
      </c>
      <c r="B509" s="239">
        <f>'Prior Year'!P71</f>
        <v>7161253</v>
      </c>
      <c r="C509" s="239">
        <f>P71</f>
        <v>7719541</v>
      </c>
      <c r="D509" s="239">
        <f>'Prior Year'!P59</f>
        <v>216756</v>
      </c>
      <c r="E509" s="180">
        <f>P59</f>
        <v>240792</v>
      </c>
      <c r="F509" s="262">
        <f t="shared" si="15"/>
        <v>33.038314971673216</v>
      </c>
      <c r="G509" s="262">
        <f t="shared" si="15"/>
        <v>32.058959599986707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">
      <c r="A510" s="180" t="s">
        <v>526</v>
      </c>
      <c r="B510" s="239">
        <f>'Prior Year'!Q71</f>
        <v>24850</v>
      </c>
      <c r="C510" s="239">
        <f>Q71</f>
        <v>29001</v>
      </c>
      <c r="D510" s="239">
        <f>'Prior Year'!Q59</f>
        <v>99278</v>
      </c>
      <c r="E510" s="180">
        <f>Q59</f>
        <v>102401</v>
      </c>
      <c r="F510" s="262">
        <f t="shared" si="15"/>
        <v>0.25030721811478879</v>
      </c>
      <c r="G510" s="262">
        <f t="shared" si="15"/>
        <v>0.28321012490112402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">
      <c r="A511" s="180" t="s">
        <v>527</v>
      </c>
      <c r="B511" s="239">
        <f>'Prior Year'!R71</f>
        <v>621996</v>
      </c>
      <c r="C511" s="239">
        <f>R71</f>
        <v>571201</v>
      </c>
      <c r="D511" s="239">
        <f>'Prior Year'!R59</f>
        <v>166440</v>
      </c>
      <c r="E511" s="180">
        <f>R59</f>
        <v>184500</v>
      </c>
      <c r="F511" s="262">
        <f t="shared" si="15"/>
        <v>3.7370583994232156</v>
      </c>
      <c r="G511" s="262">
        <f t="shared" si="15"/>
        <v>3.0959403794037939</v>
      </c>
      <c r="H511" s="264" t="str">
        <f t="shared" si="16"/>
        <v/>
      </c>
      <c r="I511" s="266"/>
      <c r="K511" s="260"/>
      <c r="L511" s="260"/>
    </row>
    <row r="512" spans="1:12" ht="12.65" customHeight="1" x14ac:dyDescent="0.3">
      <c r="A512" s="180" t="s">
        <v>528</v>
      </c>
      <c r="B512" s="239">
        <f>'Prior Year'!S71</f>
        <v>4558505</v>
      </c>
      <c r="C512" s="239">
        <f>S71</f>
        <v>5081311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">
      <c r="A513" s="180" t="s">
        <v>1245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">
      <c r="A514" s="180" t="s">
        <v>530</v>
      </c>
      <c r="B514" s="239">
        <f>'Prior Year'!U71</f>
        <v>2631338</v>
      </c>
      <c r="C514" s="239">
        <f>U71</f>
        <v>3239174</v>
      </c>
      <c r="D514" s="239">
        <f>'Prior Year'!U59</f>
        <v>110012</v>
      </c>
      <c r="E514" s="180">
        <f>U59</f>
        <v>129346</v>
      </c>
      <c r="F514" s="262">
        <f t="shared" si="17"/>
        <v>23.918645238701231</v>
      </c>
      <c r="G514" s="262">
        <f t="shared" si="17"/>
        <v>25.042707157546428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">
      <c r="A515" s="180" t="s">
        <v>531</v>
      </c>
      <c r="B515" s="239">
        <f>'Prior Year'!V71</f>
        <v>7151</v>
      </c>
      <c r="C515" s="239">
        <f>V71</f>
        <v>8061</v>
      </c>
      <c r="D515" s="239">
        <f>'Prior Year'!V59</f>
        <v>3412</v>
      </c>
      <c r="E515" s="180">
        <f>V59</f>
        <v>3998</v>
      </c>
      <c r="F515" s="262">
        <f t="shared" si="17"/>
        <v>2.0958382180539274</v>
      </c>
      <c r="G515" s="262">
        <f t="shared" si="17"/>
        <v>2.0162581290645321</v>
      </c>
      <c r="H515" s="264" t="str">
        <f t="shared" si="16"/>
        <v/>
      </c>
      <c r="I515" s="266"/>
      <c r="K515" s="260"/>
      <c r="L515" s="260"/>
    </row>
    <row r="516" spans="1:12" ht="12.65" customHeight="1" x14ac:dyDescent="0.3">
      <c r="A516" s="180" t="s">
        <v>532</v>
      </c>
      <c r="B516" s="239">
        <f>'Prior Year'!W71</f>
        <v>567098</v>
      </c>
      <c r="C516" s="239">
        <f>W71</f>
        <v>671835</v>
      </c>
      <c r="D516" s="239">
        <f>'Prior Year'!W59</f>
        <v>2536</v>
      </c>
      <c r="E516" s="180">
        <f>W59</f>
        <v>2590</v>
      </c>
      <c r="F516" s="262">
        <f t="shared" si="17"/>
        <v>223.61908517350159</v>
      </c>
      <c r="G516" s="262">
        <f t="shared" si="17"/>
        <v>259.39575289575288</v>
      </c>
      <c r="H516" s="264" t="str">
        <f t="shared" si="16"/>
        <v/>
      </c>
      <c r="I516" s="266"/>
      <c r="K516" s="260"/>
      <c r="L516" s="260"/>
    </row>
    <row r="517" spans="1:12" ht="12.65" customHeight="1" x14ac:dyDescent="0.3">
      <c r="A517" s="180" t="s">
        <v>533</v>
      </c>
      <c r="B517" s="239">
        <f>'Prior Year'!X71</f>
        <v>268899</v>
      </c>
      <c r="C517" s="239">
        <f>X71</f>
        <v>293664</v>
      </c>
      <c r="D517" s="239">
        <f>'Prior Year'!X59</f>
        <v>4578</v>
      </c>
      <c r="E517" s="180">
        <f>X59</f>
        <v>5648</v>
      </c>
      <c r="F517" s="262">
        <f t="shared" si="17"/>
        <v>58.737221494102229</v>
      </c>
      <c r="G517" s="262">
        <f t="shared" si="17"/>
        <v>51.994334277620396</v>
      </c>
      <c r="H517" s="264" t="str">
        <f t="shared" si="16"/>
        <v/>
      </c>
      <c r="I517" s="266"/>
      <c r="K517" s="260"/>
      <c r="L517" s="260"/>
    </row>
    <row r="518" spans="1:12" ht="12.65" customHeight="1" x14ac:dyDescent="0.3">
      <c r="A518" s="180" t="s">
        <v>534</v>
      </c>
      <c r="B518" s="239">
        <f>'Prior Year'!Y71</f>
        <v>2946082</v>
      </c>
      <c r="C518" s="239">
        <f>Y71</f>
        <v>3141821</v>
      </c>
      <c r="D518" s="239">
        <f>'Prior Year'!Y59</f>
        <v>22572</v>
      </c>
      <c r="E518" s="180">
        <f>Y59</f>
        <v>25055</v>
      </c>
      <c r="F518" s="262">
        <f t="shared" si="17"/>
        <v>130.51931596668439</v>
      </c>
      <c r="G518" s="262">
        <f t="shared" si="17"/>
        <v>125.3969666733187</v>
      </c>
      <c r="H518" s="264" t="str">
        <f t="shared" si="16"/>
        <v/>
      </c>
      <c r="I518" s="266"/>
      <c r="K518" s="260"/>
      <c r="L518" s="260"/>
    </row>
    <row r="519" spans="1:12" ht="12.65" customHeight="1" x14ac:dyDescent="0.3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">
      <c r="A520" s="180" t="s">
        <v>536</v>
      </c>
      <c r="B520" s="239">
        <f>'Prior Year'!AA71</f>
        <v>883989</v>
      </c>
      <c r="C520" s="239">
        <f>AA71</f>
        <v>913801</v>
      </c>
      <c r="D520" s="239">
        <f>'Prior Year'!AA59</f>
        <v>863</v>
      </c>
      <c r="E520" s="180">
        <f>AA59</f>
        <v>1146</v>
      </c>
      <c r="F520" s="262">
        <f t="shared" si="17"/>
        <v>1024.3209733487834</v>
      </c>
      <c r="G520" s="262">
        <f t="shared" si="17"/>
        <v>797.38307155322866</v>
      </c>
      <c r="H520" s="264" t="str">
        <f t="shared" si="16"/>
        <v/>
      </c>
      <c r="I520" s="266"/>
      <c r="K520" s="260"/>
      <c r="L520" s="260"/>
    </row>
    <row r="521" spans="1:12" ht="12.65" customHeight="1" x14ac:dyDescent="0.3">
      <c r="A521" s="180" t="s">
        <v>537</v>
      </c>
      <c r="B521" s="239">
        <f>'Prior Year'!AB71</f>
        <v>4477623</v>
      </c>
      <c r="C521" s="239">
        <f>AB71</f>
        <v>4269949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">
      <c r="A522" s="180" t="s">
        <v>538</v>
      </c>
      <c r="B522" s="239">
        <f>'Prior Year'!AC71</f>
        <v>1129274</v>
      </c>
      <c r="C522" s="239">
        <f>AC71</f>
        <v>1249907</v>
      </c>
      <c r="D522" s="239">
        <f>'Prior Year'!AC59</f>
        <v>13786</v>
      </c>
      <c r="E522" s="180">
        <f>AC59</f>
        <v>12709</v>
      </c>
      <c r="F522" s="262">
        <f t="shared" si="17"/>
        <v>81.914550993761793</v>
      </c>
      <c r="G522" s="262">
        <f t="shared" si="17"/>
        <v>98.348178456212139</v>
      </c>
      <c r="H522" s="264" t="str">
        <f t="shared" si="16"/>
        <v/>
      </c>
      <c r="I522" s="266"/>
      <c r="K522" s="260"/>
      <c r="L522" s="260"/>
    </row>
    <row r="523" spans="1:12" ht="12.65" customHeight="1" x14ac:dyDescent="0.3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">
      <c r="A524" s="180" t="s">
        <v>540</v>
      </c>
      <c r="B524" s="239">
        <f>'Prior Year'!AE71</f>
        <v>4169056</v>
      </c>
      <c r="C524" s="239">
        <f>AE71</f>
        <v>4637963</v>
      </c>
      <c r="D524" s="239">
        <f>'Prior Year'!AE59</f>
        <v>28430</v>
      </c>
      <c r="E524" s="180">
        <f>AE59</f>
        <v>36568</v>
      </c>
      <c r="F524" s="262">
        <f t="shared" si="17"/>
        <v>146.64284206823777</v>
      </c>
      <c r="G524" s="262">
        <f t="shared" si="17"/>
        <v>126.83119120542551</v>
      </c>
      <c r="H524" s="264" t="str">
        <f t="shared" si="16"/>
        <v/>
      </c>
      <c r="I524" s="266"/>
      <c r="K524" s="260"/>
      <c r="L524" s="260"/>
    </row>
    <row r="525" spans="1:12" ht="12.65" customHeight="1" x14ac:dyDescent="0.3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">
      <c r="A526" s="180" t="s">
        <v>542</v>
      </c>
      <c r="B526" s="239">
        <f>'Prior Year'!AG71</f>
        <v>6204542</v>
      </c>
      <c r="C526" s="239">
        <f>AG71</f>
        <v>6869543</v>
      </c>
      <c r="D526" s="239">
        <f>'Prior Year'!AG59</f>
        <v>11108</v>
      </c>
      <c r="E526" s="180">
        <f>AG59</f>
        <v>12676</v>
      </c>
      <c r="F526" s="262">
        <f t="shared" si="17"/>
        <v>558.56517824990999</v>
      </c>
      <c r="G526" s="262">
        <f t="shared" si="17"/>
        <v>541.93302303565792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">
      <c r="A529" s="180" t="s">
        <v>545</v>
      </c>
      <c r="B529" s="239">
        <f>'Prior Year'!AJ71</f>
        <v>102459</v>
      </c>
      <c r="C529" s="239">
        <f>AJ71</f>
        <v>93816</v>
      </c>
      <c r="D529" s="239">
        <f>'Prior Year'!AJ59</f>
        <v>354</v>
      </c>
      <c r="E529" s="180">
        <f>AJ59</f>
        <v>405</v>
      </c>
      <c r="F529" s="262">
        <f t="shared" si="18"/>
        <v>289.43220338983053</v>
      </c>
      <c r="G529" s="262">
        <f t="shared" si="18"/>
        <v>231.64444444444445</v>
      </c>
      <c r="H529" s="264" t="str">
        <f t="shared" si="16"/>
        <v/>
      </c>
      <c r="I529" s="266"/>
      <c r="K529" s="260"/>
      <c r="L529" s="260"/>
    </row>
    <row r="530" spans="1:12" ht="12.65" customHeight="1" x14ac:dyDescent="0.3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5" customHeight="1" x14ac:dyDescent="0.3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">
      <c r="A533" s="180" t="s">
        <v>1246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">
      <c r="A535" s="180" t="s">
        <v>550</v>
      </c>
      <c r="B535" s="239">
        <f>'Prior Year'!AP71</f>
        <v>947831</v>
      </c>
      <c r="C535" s="239">
        <f>AP71</f>
        <v>1156619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5" customHeight="1" x14ac:dyDescent="0.3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">
      <c r="A541" s="180" t="s">
        <v>556</v>
      </c>
      <c r="B541" s="239">
        <f>'Prior Year'!AV71</f>
        <v>-125021</v>
      </c>
      <c r="C541" s="239">
        <f>AV71</f>
        <v>24612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">
      <c r="A542" s="180" t="s">
        <v>1247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">
      <c r="A544" s="180" t="s">
        <v>558</v>
      </c>
      <c r="B544" s="239">
        <f>'Prior Year'!AY71</f>
        <v>1605471</v>
      </c>
      <c r="C544" s="239">
        <f>AY71</f>
        <v>1557062</v>
      </c>
      <c r="D544" s="239">
        <f>'Prior Year'!AY59</f>
        <v>20824.39</v>
      </c>
      <c r="E544" s="180">
        <f>AY59</f>
        <v>22460</v>
      </c>
      <c r="F544" s="262">
        <f t="shared" ref="F544:G550" si="19">IF(B544=0,"",IF(D544=0,"",B544/D544))</f>
        <v>77.095703643660158</v>
      </c>
      <c r="G544" s="262">
        <f t="shared" si="19"/>
        <v>69.326001780943898</v>
      </c>
      <c r="H544" s="264" t="str">
        <f t="shared" si="16"/>
        <v/>
      </c>
      <c r="I544" s="266"/>
      <c r="K544" s="260"/>
      <c r="L544" s="260"/>
    </row>
    <row r="545" spans="1:13" ht="12.65" customHeight="1" x14ac:dyDescent="0.3">
      <c r="A545" s="180" t="s">
        <v>559</v>
      </c>
      <c r="B545" s="239">
        <f>'Prior Year'!AZ71</f>
        <v>-361912</v>
      </c>
      <c r="C545" s="239">
        <f>AZ71</f>
        <v>-317597</v>
      </c>
      <c r="D545" s="239">
        <f>'Prior Year'!AZ59</f>
        <v>55991.189999999995</v>
      </c>
      <c r="E545" s="180">
        <f>AZ59</f>
        <v>50279</v>
      </c>
      <c r="F545" s="262">
        <f t="shared" si="19"/>
        <v>-6.4637311691357162</v>
      </c>
      <c r="G545" s="262">
        <f t="shared" si="19"/>
        <v>-6.3166928538753755</v>
      </c>
      <c r="H545" s="264" t="str">
        <f t="shared" si="16"/>
        <v/>
      </c>
      <c r="I545" s="266"/>
      <c r="K545" s="260"/>
      <c r="L545" s="260"/>
    </row>
    <row r="546" spans="1:13" ht="12.65" customHeight="1" x14ac:dyDescent="0.3">
      <c r="A546" s="180" t="s">
        <v>560</v>
      </c>
      <c r="B546" s="239">
        <f>'Prior Year'!BA71</f>
        <v>258709</v>
      </c>
      <c r="C546" s="239">
        <f>BA71</f>
        <v>282492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">
      <c r="A547" s="180" t="s">
        <v>561</v>
      </c>
      <c r="B547" s="239">
        <f>'Prior Year'!BB71</f>
        <v>638418</v>
      </c>
      <c r="C547" s="239">
        <f>BB71</f>
        <v>631251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">
      <c r="A549" s="180" t="s">
        <v>563</v>
      </c>
      <c r="B549" s="239">
        <f>'Prior Year'!BD71</f>
        <v>616850</v>
      </c>
      <c r="C549" s="239">
        <f>BD71</f>
        <v>618543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">
      <c r="A550" s="180" t="s">
        <v>564</v>
      </c>
      <c r="B550" s="239">
        <f>'Prior Year'!BE71</f>
        <v>1630252</v>
      </c>
      <c r="C550" s="239">
        <f>BE71</f>
        <v>1684684</v>
      </c>
      <c r="D550" s="239">
        <f>'Prior Year'!BE59</f>
        <v>120387</v>
      </c>
      <c r="E550" s="180">
        <f>BE59</f>
        <v>127457</v>
      </c>
      <c r="F550" s="262">
        <f t="shared" si="19"/>
        <v>13.541761153612931</v>
      </c>
      <c r="G550" s="262">
        <f t="shared" si="19"/>
        <v>13.217665565641745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">
      <c r="A551" s="180" t="s">
        <v>565</v>
      </c>
      <c r="B551" s="239">
        <f>'Prior Year'!BF71</f>
        <v>808165</v>
      </c>
      <c r="C551" s="239">
        <f>BF71</f>
        <v>922574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">
      <c r="A553" s="180" t="s">
        <v>567</v>
      </c>
      <c r="B553" s="239">
        <f>'Prior Year'!BH71</f>
        <v>1892249</v>
      </c>
      <c r="C553" s="239">
        <f>BH71</f>
        <v>2052181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">
      <c r="A554" s="180" t="s">
        <v>568</v>
      </c>
      <c r="B554" s="239">
        <f>'Prior Year'!BI71</f>
        <v>830674</v>
      </c>
      <c r="C554" s="239">
        <f>BI71</f>
        <v>839837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">
      <c r="A556" s="180" t="s">
        <v>570</v>
      </c>
      <c r="B556" s="239">
        <f>'Prior Year'!BK71</f>
        <v>1467707</v>
      </c>
      <c r="C556" s="239">
        <f>BK71</f>
        <v>1507272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">
      <c r="A557" s="180" t="s">
        <v>571</v>
      </c>
      <c r="B557" s="239">
        <f>'Prior Year'!BL71</f>
        <v>594211</v>
      </c>
      <c r="C557" s="239">
        <f>BL71</f>
        <v>668454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">
      <c r="A558" s="180" t="s">
        <v>572</v>
      </c>
      <c r="B558" s="239">
        <f>'Prior Year'!BM71</f>
        <v>547807</v>
      </c>
      <c r="C558" s="239">
        <f>BM71</f>
        <v>-1145580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">
      <c r="A559" s="180" t="s">
        <v>573</v>
      </c>
      <c r="B559" s="239">
        <f>'Prior Year'!BN71</f>
        <v>1304031</v>
      </c>
      <c r="C559" s="239">
        <f>BN71</f>
        <v>1281668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">
      <c r="A560" s="180" t="s">
        <v>574</v>
      </c>
      <c r="B560" s="239">
        <f>'Prior Year'!BO71</f>
        <v>101262</v>
      </c>
      <c r="C560" s="239">
        <f>BO71</f>
        <v>117836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">
      <c r="A561" s="180" t="s">
        <v>575</v>
      </c>
      <c r="B561" s="239">
        <f>'Prior Year'!BP71</f>
        <v>784773</v>
      </c>
      <c r="C561" s="239">
        <f>BP71</f>
        <v>836560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">
      <c r="A563" s="180" t="s">
        <v>577</v>
      </c>
      <c r="B563" s="239">
        <f>'Prior Year'!BR71</f>
        <v>852230</v>
      </c>
      <c r="C563" s="239">
        <f>BR71</f>
        <v>908204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">
      <c r="A564" s="180" t="s">
        <v>1248</v>
      </c>
      <c r="B564" s="239">
        <f>'Prior Year'!BS71</f>
        <v>0</v>
      </c>
      <c r="C564" s="239">
        <f>BS71</f>
        <v>84598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">
      <c r="A567" s="180" t="s">
        <v>580</v>
      </c>
      <c r="B567" s="239">
        <f>'Prior Year'!BV71</f>
        <v>584201</v>
      </c>
      <c r="C567" s="239">
        <f>BV71</f>
        <v>642319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">
      <c r="A568" s="180" t="s">
        <v>581</v>
      </c>
      <c r="B568" s="239">
        <f>'Prior Year'!BW71</f>
        <v>1731762</v>
      </c>
      <c r="C568" s="239">
        <f>BW71</f>
        <v>1960326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">
      <c r="A569" s="180" t="s">
        <v>582</v>
      </c>
      <c r="B569" s="239">
        <f>'Prior Year'!BX71</f>
        <v>391420</v>
      </c>
      <c r="C569" s="239">
        <f>BX71</f>
        <v>348572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">
      <c r="A570" s="180" t="s">
        <v>583</v>
      </c>
      <c r="B570" s="239">
        <f>'Prior Year'!BY71</f>
        <v>1049000</v>
      </c>
      <c r="C570" s="239">
        <f>BY71</f>
        <v>1117885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">
      <c r="A574" s="180" t="s">
        <v>587</v>
      </c>
      <c r="B574" s="239">
        <f>'Prior Year'!CC71</f>
        <v>584432</v>
      </c>
      <c r="C574" s="239">
        <f>CC71</f>
        <v>558180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">
      <c r="A575" s="180" t="s">
        <v>588</v>
      </c>
      <c r="B575" s="239">
        <f>'Prior Year'!CD71</f>
        <v>-5641280</v>
      </c>
      <c r="C575" s="239">
        <f>CD71</f>
        <v>1451513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">
      <c r="M576" s="264"/>
    </row>
    <row r="577" spans="13:13" ht="12.65" customHeight="1" x14ac:dyDescent="0.3">
      <c r="M577" s="264"/>
    </row>
    <row r="578" spans="13:13" ht="12.65" customHeight="1" x14ac:dyDescent="0.3">
      <c r="M578" s="264"/>
    </row>
    <row r="612" spans="1:14" ht="12.65" customHeight="1" x14ac:dyDescent="0.3">
      <c r="A612" s="196"/>
      <c r="C612" s="181" t="s">
        <v>589</v>
      </c>
      <c r="D612" s="180">
        <f>CE76-(BE76+CD76)</f>
        <v>116559</v>
      </c>
      <c r="E612" s="180">
        <f>SUM(C624:D647)+SUM(C668:D713)</f>
        <v>64105946.116850697</v>
      </c>
      <c r="F612" s="180">
        <f>CE64-(AX64+BD64+BE64+BG64+BJ64+BN64+BP64+BQ64+CB64+CC64+CD64)</f>
        <v>12010499</v>
      </c>
      <c r="G612" s="180">
        <f>CE77-(AX77+AY77+BD77+BE77+BG77+BJ77+BN77+BP77+BQ77+CB77+CC77+CD77)</f>
        <v>22460</v>
      </c>
      <c r="H612" s="197">
        <f>CE60-(AX60+AY60+AZ60+BD60+BE60+BG60+BJ60+BN60+BO60+BP60+BQ60+BR60+CB60+CC60+CD60)</f>
        <v>307.95000000000005</v>
      </c>
      <c r="I612" s="180">
        <f>CE78-(AX78+AY78+AZ78+BD78+BE78+BF78+BG78+BJ78+BN78+BO78+BP78+BQ78+BR78+CB78+CC78+CD78)</f>
        <v>17800</v>
      </c>
      <c r="J612" s="180">
        <f>CE79-(AX79+AY79+AZ79+BA79+BD79+BE79+BF79+BG79+BJ79+BN79+BO79+BP79+BQ79+BR79+CB79+CC79+CD79)</f>
        <v>363567</v>
      </c>
      <c r="K612" s="180">
        <f>CE75-(AW75+AX75+AY75+AZ75+BA75+BB75+BC75+BD75+BE75+BF75+BG75+BH75+BI75+BJ75+BK75+BL75+BM75+BN75+BO75+BP75+BQ75+BR75+BS75+BT75+BU75+BV75+BW75+BX75+CB75+CC75+CD75)</f>
        <v>151339499</v>
      </c>
      <c r="L612" s="197">
        <f>CE80-(AW80+AX80+AY80+AZ80+BA80+BB80+BC80+BD80+BE80+BF80+BG80+BH80+BI80+BJ80+BK80+BL80+BM80+BN80+BO80+BP80+BQ80+BR80+BS80+BT80+BU80+BV80+BW80+BX80+BY80+BZ80+CA80+CB80+CC80+CD80)</f>
        <v>79.08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1684684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1451513</v>
      </c>
      <c r="D615" s="265">
        <f>SUM(C614:C615)</f>
        <v>3136197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1281668</v>
      </c>
      <c r="D619" s="180">
        <f>(D615/D612)*BN76</f>
        <v>57472.325534707743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558180</v>
      </c>
      <c r="D620" s="180">
        <f>(D615/D612)*CC76</f>
        <v>726610.55761459866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836560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3460490.8831493063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618543</v>
      </c>
      <c r="D624" s="180">
        <f>(D615/D612)*BD76</f>
        <v>76764.299976835769</v>
      </c>
      <c r="E624" s="180">
        <f>(E623/E612)*SUM(C624:D624)</f>
        <v>37533.25109922274</v>
      </c>
      <c r="F624" s="180">
        <f>SUM(C624:E624)</f>
        <v>732840.55107605841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1557062</v>
      </c>
      <c r="D625" s="180">
        <f>(D615/D612)*AY76</f>
        <v>122586.10259182045</v>
      </c>
      <c r="E625" s="180">
        <f>(E623/E612)*SUM(C625:D625)</f>
        <v>90668.764724621913</v>
      </c>
      <c r="F625" s="180">
        <f>(F624/F612)*AY64</f>
        <v>25915.972708697678</v>
      </c>
      <c r="G625" s="180">
        <f>SUM(C625:F625)</f>
        <v>1796232.8400251402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908204</v>
      </c>
      <c r="D626" s="180">
        <f>(D615/D612)*BR76</f>
        <v>0</v>
      </c>
      <c r="E626" s="180">
        <f>(E623/E612)*SUM(C626:D626)</f>
        <v>49025.587366124491</v>
      </c>
      <c r="F626" s="180">
        <f>(F624/F612)*BR64</f>
        <v>427.78781327855285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117836</v>
      </c>
      <c r="D627" s="180">
        <f>(D615/D612)*BO76</f>
        <v>0</v>
      </c>
      <c r="E627" s="180">
        <f>(E623/E612)*SUM(C627:D627)</f>
        <v>6360.8827013255232</v>
      </c>
      <c r="F627" s="180">
        <f>(F624/F612)*BO64</f>
        <v>21.843964791573516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-317597</v>
      </c>
      <c r="D628" s="180">
        <f>(D615/D612)*AZ76</f>
        <v>0</v>
      </c>
      <c r="E628" s="180">
        <f>(E623/E612)*SUM(C628:D628)</f>
        <v>-17144.143243939732</v>
      </c>
      <c r="F628" s="180">
        <f>(F624/F612)*AZ64</f>
        <v>0</v>
      </c>
      <c r="G628" s="180">
        <f>(G625/G612)*AZ77</f>
        <v>0</v>
      </c>
      <c r="H628" s="180">
        <f>SUM(C626:G628)</f>
        <v>747134.95860158035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922574</v>
      </c>
      <c r="D629" s="180">
        <f>(D615/D612)*BF76</f>
        <v>119626.38545286078</v>
      </c>
      <c r="E629" s="180">
        <f>(E623/E612)*SUM(C629:D629)</f>
        <v>56258.820760564631</v>
      </c>
      <c r="F629" s="180">
        <f>(F624/F612)*BF64</f>
        <v>3545.5561623149547</v>
      </c>
      <c r="G629" s="180">
        <f>(G625/G612)*BF77</f>
        <v>0</v>
      </c>
      <c r="H629" s="180">
        <f>(H628/H612)*BF60</f>
        <v>31685.606622297899</v>
      </c>
      <c r="I629" s="180">
        <f>SUM(C629:H629)</f>
        <v>1133690.3689980381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282492</v>
      </c>
      <c r="D630" s="180">
        <f>(D615/D612)*BA76</f>
        <v>34709.410084163384</v>
      </c>
      <c r="E630" s="180">
        <f>(E623/E612)*SUM(C630:D630)</f>
        <v>17122.788979941768</v>
      </c>
      <c r="F630" s="180">
        <f>(F624/F612)*BA64</f>
        <v>0</v>
      </c>
      <c r="G630" s="180">
        <f>(G625/G612)*BA77</f>
        <v>0</v>
      </c>
      <c r="H630" s="180">
        <f>(H628/H612)*BA60</f>
        <v>2426.1567092111713</v>
      </c>
      <c r="I630" s="180">
        <f>(I629/I612)*BA78</f>
        <v>18597.6172891813</v>
      </c>
      <c r="J630" s="180">
        <f>SUM(C630:I630)</f>
        <v>355347.97306249756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631251</v>
      </c>
      <c r="D632" s="180">
        <f>(D615/D612)*BB76</f>
        <v>11354.551205827092</v>
      </c>
      <c r="E632" s="180">
        <f>(E623/E612)*SUM(C632:D632)</f>
        <v>34688.368023701565</v>
      </c>
      <c r="F632" s="180">
        <f>(F624/F612)*BB64</f>
        <v>152.11453694243792</v>
      </c>
      <c r="G632" s="180">
        <f>(G625/G612)*BB77</f>
        <v>0</v>
      </c>
      <c r="H632" s="180">
        <f>(H628/H612)*BB60</f>
        <v>14605.46338945125</v>
      </c>
      <c r="I632" s="180">
        <f>(I629/I612)*BB78</f>
        <v>2165.4759857265899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839837</v>
      </c>
      <c r="D634" s="180">
        <f>(D615/D612)*BI76</f>
        <v>0</v>
      </c>
      <c r="E634" s="180">
        <f>(E623/E612)*SUM(C634:D634)</f>
        <v>45335.081343843332</v>
      </c>
      <c r="F634" s="180">
        <f>(F624/F612)*BI64</f>
        <v>568.98036782520398</v>
      </c>
      <c r="G634" s="180">
        <f>(G625/G612)*BI77</f>
        <v>0</v>
      </c>
      <c r="H634" s="180">
        <f>(H628/H612)*BI60</f>
        <v>7569.6089327388545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1507272</v>
      </c>
      <c r="D635" s="180">
        <f>(D615/D612)*BK76</f>
        <v>0</v>
      </c>
      <c r="E635" s="180">
        <f>(E623/E612)*SUM(C635:D635)</f>
        <v>81363.763119864248</v>
      </c>
      <c r="F635" s="180">
        <f>(F624/F612)*BK64</f>
        <v>1318.3870034958909</v>
      </c>
      <c r="G635" s="180">
        <f>(G625/G612)*BK77</f>
        <v>0</v>
      </c>
      <c r="H635" s="180">
        <f>(H628/H612)*BK60</f>
        <v>26784.770069691331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2052181</v>
      </c>
      <c r="D636" s="180">
        <f>(D615/D612)*BH76</f>
        <v>28278.751936787379</v>
      </c>
      <c r="E636" s="180">
        <f>(E623/E612)*SUM(C636:D636)</f>
        <v>112304.90212582487</v>
      </c>
      <c r="F636" s="180">
        <f>(F624/F612)*BH64</f>
        <v>162.7314360310798</v>
      </c>
      <c r="G636" s="180">
        <f>(G625/G612)*BH77</f>
        <v>0</v>
      </c>
      <c r="H636" s="180">
        <f>(H628/H612)*BH60</f>
        <v>14047.447346332683</v>
      </c>
      <c r="I636" s="180">
        <f>(I629/I612)*BH78</f>
        <v>17323.807885812719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668454</v>
      </c>
      <c r="D637" s="180">
        <f>(D615/D612)*BL76</f>
        <v>27767.528067330706</v>
      </c>
      <c r="E637" s="180">
        <f>(E623/E612)*SUM(C637:D637)</f>
        <v>37582.601871871972</v>
      </c>
      <c r="F637" s="180">
        <f>(F624/F612)*BL64</f>
        <v>676.12562529448633</v>
      </c>
      <c r="G637" s="180">
        <f>(G625/G612)*BL77</f>
        <v>0</v>
      </c>
      <c r="H637" s="180">
        <f>(H628/H612)*BL60</f>
        <v>26906.077905151891</v>
      </c>
      <c r="I637" s="180">
        <f>(I629/I612)*BL78</f>
        <v>12419.641682843676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-1145580</v>
      </c>
      <c r="D638" s="180">
        <f>(D615/D612)*BM76</f>
        <v>0</v>
      </c>
      <c r="E638" s="180">
        <f>(E623/E612)*SUM(C638:D638)</f>
        <v>-61839.336068641947</v>
      </c>
      <c r="F638" s="180">
        <f>(F624/F612)*BM64</f>
        <v>394.65576612261867</v>
      </c>
      <c r="G638" s="180">
        <f>(G625/G612)*BM77</f>
        <v>0</v>
      </c>
      <c r="H638" s="180">
        <f>(H628/H612)*BM60</f>
        <v>10044.288776134248</v>
      </c>
      <c r="I638" s="180">
        <f>(I629/I612)*BM78</f>
        <v>3948.8091504426047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84598</v>
      </c>
      <c r="D639" s="180">
        <f>(D615/D612)*BS76</f>
        <v>0</v>
      </c>
      <c r="E639" s="180">
        <f>(E623/E612)*SUM(C639:D639)</f>
        <v>4566.6685458326538</v>
      </c>
      <c r="F639" s="180">
        <f>(F624/F612)*BS64</f>
        <v>45.457412764587346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642319</v>
      </c>
      <c r="D642" s="180">
        <f>(D615/D612)*BV76</f>
        <v>17596.863717087483</v>
      </c>
      <c r="E642" s="180">
        <f>(E623/E612)*SUM(C642:D642)</f>
        <v>35622.792710617403</v>
      </c>
      <c r="F642" s="180">
        <f>(F624/F612)*BV64</f>
        <v>330.58827162219359</v>
      </c>
      <c r="G642" s="180">
        <f>(G625/G612)*BV77</f>
        <v>0</v>
      </c>
      <c r="H642" s="180">
        <f>(H628/H612)*BV60</f>
        <v>9486.2727330156795</v>
      </c>
      <c r="I642" s="180">
        <f>(I629/I612)*BV78</f>
        <v>19425.593401370879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1960326</v>
      </c>
      <c r="D643" s="180">
        <f>(D615/D612)*BW76</f>
        <v>6323.0320695956552</v>
      </c>
      <c r="E643" s="180">
        <f>(E623/E612)*SUM(C643:D643)</f>
        <v>106161.30730566275</v>
      </c>
      <c r="F643" s="180">
        <f>(F624/F612)*BW64</f>
        <v>608.03103113974885</v>
      </c>
      <c r="G643" s="180">
        <f>(G625/G612)*BW77</f>
        <v>0</v>
      </c>
      <c r="H643" s="180">
        <f>(H628/H612)*BW60</f>
        <v>7448.3010972782959</v>
      </c>
      <c r="I643" s="180">
        <f>(I629/I612)*BW78</f>
        <v>2165.4759857265899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348572</v>
      </c>
      <c r="D644" s="180">
        <f>(D615/D612)*BX76</f>
        <v>4035.9779167631841</v>
      </c>
      <c r="E644" s="180">
        <f>(E623/E612)*SUM(C644:D644)</f>
        <v>19034.064183102877</v>
      </c>
      <c r="F644" s="180">
        <f>(F624/F612)*BX64</f>
        <v>33.620180447365939</v>
      </c>
      <c r="G644" s="180">
        <f>(G625/G612)*BX77</f>
        <v>0</v>
      </c>
      <c r="H644" s="180">
        <f>(H628/H612)*BX60</f>
        <v>4925.0981196986777</v>
      </c>
      <c r="I644" s="180">
        <f>(I629/I612)*BX78</f>
        <v>2165.4759857265899</v>
      </c>
      <c r="J644" s="180">
        <f>(J630/J612)*BX79</f>
        <v>0</v>
      </c>
      <c r="K644" s="180">
        <f>SUM(C631:J644)</f>
        <v>8285129.2181539005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1117885</v>
      </c>
      <c r="D645" s="180">
        <f>(D615/D612)*BY76</f>
        <v>3632.380125086866</v>
      </c>
      <c r="E645" s="180">
        <f>(E623/E612)*SUM(C645:D645)</f>
        <v>60540.41636234754</v>
      </c>
      <c r="F645" s="180">
        <f>(F624/F612)*BY64</f>
        <v>206.66343225994274</v>
      </c>
      <c r="G645" s="180">
        <f>(G625/G612)*BY77</f>
        <v>0</v>
      </c>
      <c r="H645" s="180">
        <f>(H628/H612)*BY60</f>
        <v>16012.634280793731</v>
      </c>
      <c r="I645" s="180">
        <f>(I629/I612)*BY78</f>
        <v>2165.4759857265899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1200442.5701862148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18608834</v>
      </c>
      <c r="L648" s="265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1888316</v>
      </c>
      <c r="D668" s="180">
        <f>(D615/D612)*C76</f>
        <v>110155.29060818984</v>
      </c>
      <c r="E668" s="180">
        <f>(E623/E612)*SUM(C668:D668)</f>
        <v>107879.09859062872</v>
      </c>
      <c r="F668" s="180">
        <f>(F624/F612)*C64</f>
        <v>5305.1546446037737</v>
      </c>
      <c r="G668" s="180">
        <f>(G625/G612)*C77</f>
        <v>403712.52789166995</v>
      </c>
      <c r="H668" s="180">
        <f>(H628/H612)*C60</f>
        <v>31370.206250100444</v>
      </c>
      <c r="I668" s="180">
        <f>(I629/I612)*C78</f>
        <v>51907.733187269725</v>
      </c>
      <c r="J668" s="180">
        <f>(J630/J612)*C79</f>
        <v>18503.033768318193</v>
      </c>
      <c r="K668" s="180">
        <f>(K644/K612)*C75</f>
        <v>152293.65012914411</v>
      </c>
      <c r="L668" s="180">
        <f>(L647/L612)*C80</f>
        <v>144818.18562944472</v>
      </c>
      <c r="M668" s="180">
        <f t="shared" ref="M668:M713" si="20">ROUND(SUM(D668:L668),0)</f>
        <v>1025945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4231635</v>
      </c>
      <c r="D670" s="180">
        <f>(D615/D612)*E76</f>
        <v>184632.53643219313</v>
      </c>
      <c r="E670" s="180">
        <f>(E623/E612)*SUM(C670:D670)</f>
        <v>238393.69782508761</v>
      </c>
      <c r="F670" s="180">
        <f>(F624/F612)*E64</f>
        <v>7144.5629200416925</v>
      </c>
      <c r="G670" s="180">
        <f>(G625/G612)*E77</f>
        <v>703777.78237850545</v>
      </c>
      <c r="H670" s="180">
        <f>(H628/H612)*E60</f>
        <v>56917.636398094081</v>
      </c>
      <c r="I670" s="180">
        <f>(I629/I612)*E78</f>
        <v>207630.9327490789</v>
      </c>
      <c r="J670" s="180">
        <f>(J630/J612)*E79</f>
        <v>55510.078698318292</v>
      </c>
      <c r="K670" s="180">
        <f>(K644/K612)*E75</f>
        <v>412491.63878185221</v>
      </c>
      <c r="L670" s="180">
        <f>(L647/L612)*E80</f>
        <v>211914.24228375772</v>
      </c>
      <c r="M670" s="180">
        <f t="shared" si="20"/>
        <v>2078413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21587.687224174315</v>
      </c>
      <c r="K675" s="180">
        <f>(K644/K612)*J75</f>
        <v>26576.662780183993</v>
      </c>
      <c r="L675" s="180">
        <f>(L647/L612)*J80</f>
        <v>0</v>
      </c>
      <c r="M675" s="180">
        <f t="shared" si="20"/>
        <v>48164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4631.563516106633</v>
      </c>
      <c r="L677" s="180">
        <f>(L647/L612)*L80</f>
        <v>0</v>
      </c>
      <c r="M677" s="180">
        <f t="shared" si="20"/>
        <v>4632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2865833</v>
      </c>
      <c r="D680" s="180">
        <f>(D615/D612)*O76</f>
        <v>220498.92685249529</v>
      </c>
      <c r="E680" s="180">
        <f>(E623/E612)*SUM(C680:D680)</f>
        <v>166602.69666370811</v>
      </c>
      <c r="F680" s="180">
        <f>(F624/F612)*O64</f>
        <v>7280.9961749968834</v>
      </c>
      <c r="G680" s="180">
        <f>(G625/G612)*O77</f>
        <v>357007.27506109641</v>
      </c>
      <c r="H680" s="180">
        <f>(H628/H612)*O60</f>
        <v>46994.655457420391</v>
      </c>
      <c r="I680" s="180">
        <f>(I629/I612)*O78</f>
        <v>155723.19956180916</v>
      </c>
      <c r="J680" s="180">
        <f>(J630/J612)*O79</f>
        <v>43174.397054984925</v>
      </c>
      <c r="K680" s="180">
        <f>(K644/K612)*O75</f>
        <v>171879.22612492763</v>
      </c>
      <c r="L680" s="180">
        <f>(L647/L612)*O80</f>
        <v>223602.92183665838</v>
      </c>
      <c r="M680" s="180">
        <f t="shared" si="20"/>
        <v>1392764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7719541</v>
      </c>
      <c r="D681" s="180">
        <f>(D615/D612)*P76</f>
        <v>425822.57673796103</v>
      </c>
      <c r="E681" s="180">
        <f>(E623/E612)*SUM(C681:D681)</f>
        <v>439693.321831015</v>
      </c>
      <c r="F681" s="180">
        <f>(F624/F612)*P64</f>
        <v>74587.743197363496</v>
      </c>
      <c r="G681" s="180">
        <f>(G625/G612)*P77</f>
        <v>193618.86490208659</v>
      </c>
      <c r="H681" s="180">
        <f>(H628/H612)*P60</f>
        <v>119002.98658680795</v>
      </c>
      <c r="I681" s="180">
        <f>(I629/I612)*P78</f>
        <v>121139.27426035216</v>
      </c>
      <c r="J681" s="180">
        <f>(J630/J612)*P79</f>
        <v>55510.078698318292</v>
      </c>
      <c r="K681" s="180">
        <f>(K644/K612)*P75</f>
        <v>1115638.9889283634</v>
      </c>
      <c r="L681" s="180">
        <f>(L647/L612)*P80</f>
        <v>405005.15645635064</v>
      </c>
      <c r="M681" s="180">
        <f t="shared" si="20"/>
        <v>2950019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29001</v>
      </c>
      <c r="D682" s="180">
        <f>(D615/D612)*Q76</f>
        <v>0</v>
      </c>
      <c r="E682" s="180">
        <f>(E623/E612)*SUM(C682:D682)</f>
        <v>1565.4974644517931</v>
      </c>
      <c r="F682" s="180">
        <f>(F624/F612)*Q64</f>
        <v>1749.5307331530373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91530.451438632605</v>
      </c>
      <c r="L682" s="180">
        <f>(L647/L612)*Q80</f>
        <v>0</v>
      </c>
      <c r="M682" s="180">
        <f t="shared" si="20"/>
        <v>94845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571201</v>
      </c>
      <c r="D683" s="180">
        <f>(D615/D612)*R76</f>
        <v>0</v>
      </c>
      <c r="E683" s="180">
        <f>(E623/E612)*SUM(C683:D683)</f>
        <v>30833.892527579348</v>
      </c>
      <c r="F683" s="180">
        <f>(F624/F612)*R64</f>
        <v>7756.8651174814695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266114.31532566668</v>
      </c>
      <c r="L683" s="180">
        <f>(L647/L612)*R80</f>
        <v>0</v>
      </c>
      <c r="M683" s="180">
        <f t="shared" si="20"/>
        <v>304705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5081311</v>
      </c>
      <c r="D684" s="180">
        <f>(D615/D612)*S76</f>
        <v>36700.492523099885</v>
      </c>
      <c r="E684" s="180">
        <f>(E623/E612)*SUM(C684:D684)</f>
        <v>276274.40483362816</v>
      </c>
      <c r="F684" s="180">
        <f>(F624/F612)*S64</f>
        <v>298750.93700512091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1052897.2396476106</v>
      </c>
      <c r="L684" s="180">
        <f>(L647/L612)*S80</f>
        <v>0</v>
      </c>
      <c r="M684" s="180">
        <f t="shared" si="20"/>
        <v>1664623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3239174</v>
      </c>
      <c r="D686" s="180">
        <f>(D615/D612)*U76</f>
        <v>55239.084420765445</v>
      </c>
      <c r="E686" s="180">
        <f>(E623/E612)*SUM(C686:D686)</f>
        <v>177835.08604936101</v>
      </c>
      <c r="F686" s="180">
        <f>(F624/F612)*U64</f>
        <v>54560.183399869173</v>
      </c>
      <c r="G686" s="180">
        <f>(G625/G612)*U77</f>
        <v>0</v>
      </c>
      <c r="H686" s="180">
        <f>(H628/H612)*U60</f>
        <v>35931.380863417449</v>
      </c>
      <c r="I686" s="180">
        <f>(I629/I612)*U78</f>
        <v>51907.733187269725</v>
      </c>
      <c r="J686" s="180">
        <f>(J630/J612)*U79</f>
        <v>9252.0055808409506</v>
      </c>
      <c r="K686" s="180">
        <f>(K644/K612)*U75</f>
        <v>774912.27772432822</v>
      </c>
      <c r="L686" s="180">
        <f>(L647/L612)*U80</f>
        <v>0</v>
      </c>
      <c r="M686" s="180">
        <f t="shared" si="20"/>
        <v>1159638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8061</v>
      </c>
      <c r="D687" s="180">
        <f>(D615/D612)*V76</f>
        <v>10493.54258358428</v>
      </c>
      <c r="E687" s="180">
        <f>(E623/E612)*SUM(C687:D687)</f>
        <v>1001.5892337734565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4458.3329117900375</v>
      </c>
      <c r="J687" s="180">
        <f>(J630/J612)*V79</f>
        <v>0</v>
      </c>
      <c r="K687" s="180">
        <f>(K644/K612)*V75</f>
        <v>34809.701881626563</v>
      </c>
      <c r="L687" s="180">
        <f>(L647/L612)*V80</f>
        <v>0</v>
      </c>
      <c r="M687" s="180">
        <f t="shared" si="20"/>
        <v>50763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671835</v>
      </c>
      <c r="D688" s="180">
        <f>(D615/D612)*W76</f>
        <v>17058.733328185725</v>
      </c>
      <c r="E688" s="180">
        <f>(E623/E612)*SUM(C688:D688)</f>
        <v>37187.04157794574</v>
      </c>
      <c r="F688" s="180">
        <f>(F624/F612)*W64</f>
        <v>536.27543729927265</v>
      </c>
      <c r="G688" s="180">
        <f>(G625/G612)*W77</f>
        <v>0</v>
      </c>
      <c r="H688" s="180">
        <f>(H628/H612)*W60</f>
        <v>8394.5022138706536</v>
      </c>
      <c r="I688" s="180">
        <f>(I629/I612)*W78</f>
        <v>7260.713599200918</v>
      </c>
      <c r="J688" s="180">
        <f>(J630/J612)*W79</f>
        <v>0</v>
      </c>
      <c r="K688" s="180">
        <f>(K644/K612)*W75</f>
        <v>352847.59865685651</v>
      </c>
      <c r="L688" s="180">
        <f>(L647/L612)*W80</f>
        <v>0</v>
      </c>
      <c r="M688" s="180">
        <f t="shared" si="20"/>
        <v>423285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293664</v>
      </c>
      <c r="D689" s="180">
        <f>(D615/D612)*X76</f>
        <v>14045.203150335881</v>
      </c>
      <c r="E689" s="180">
        <f>(E623/E612)*SUM(C689:D689)</f>
        <v>16610.391963047223</v>
      </c>
      <c r="F689" s="180">
        <f>(F624/F612)*X64</f>
        <v>1133.5065193660928</v>
      </c>
      <c r="G689" s="180">
        <f>(G625/G612)*X77</f>
        <v>0</v>
      </c>
      <c r="H689" s="180">
        <f>(H628/H612)*X60</f>
        <v>2232.0641724742777</v>
      </c>
      <c r="I689" s="180">
        <f>(I629/I612)*X78</f>
        <v>7515.4754798746344</v>
      </c>
      <c r="J689" s="180">
        <f>(J630/J612)*X79</f>
        <v>0</v>
      </c>
      <c r="K689" s="180">
        <f>(K644/K612)*X75</f>
        <v>588906.07666065451</v>
      </c>
      <c r="L689" s="180">
        <f>(L647/L612)*X80</f>
        <v>0</v>
      </c>
      <c r="M689" s="180">
        <f t="shared" si="20"/>
        <v>630443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3141821</v>
      </c>
      <c r="D690" s="180">
        <f>(D615/D612)*Y76</f>
        <v>132756.76694206367</v>
      </c>
      <c r="E690" s="180">
        <f>(E623/E612)*SUM(C690:D690)</f>
        <v>176764.35954960226</v>
      </c>
      <c r="F690" s="180">
        <f>(F624/F612)*Y64</f>
        <v>8405.8993451014903</v>
      </c>
      <c r="G690" s="180">
        <f>(G625/G612)*Y77</f>
        <v>0</v>
      </c>
      <c r="H690" s="180">
        <f>(H628/H612)*Y60</f>
        <v>52332.200217684964</v>
      </c>
      <c r="I690" s="180">
        <f>(I629/I612)*Y78</f>
        <v>86491.658488726724</v>
      </c>
      <c r="J690" s="180">
        <f>(J630/J612)*Y79</f>
        <v>12335.681643333364</v>
      </c>
      <c r="K690" s="180">
        <f>(K644/K612)*Y75</f>
        <v>666978.32198294182</v>
      </c>
      <c r="L690" s="180">
        <f>(L647/L612)*Y80</f>
        <v>0</v>
      </c>
      <c r="M690" s="180">
        <f t="shared" si="20"/>
        <v>1136065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913801</v>
      </c>
      <c r="D692" s="180">
        <f>(D615/D612)*AA76</f>
        <v>9255.8426891102354</v>
      </c>
      <c r="E692" s="180">
        <f>(E623/E612)*SUM(C692:D692)</f>
        <v>49827.355842028883</v>
      </c>
      <c r="F692" s="180">
        <f>(F624/F612)*AA64</f>
        <v>14821.374177728347</v>
      </c>
      <c r="G692" s="180">
        <f>(G625/G612)*AA77</f>
        <v>0</v>
      </c>
      <c r="H692" s="180">
        <f>(H628/H612)*AA60</f>
        <v>5119.1906564355713</v>
      </c>
      <c r="I692" s="180">
        <f>(I629/I612)*AA78</f>
        <v>4394.6424416216087</v>
      </c>
      <c r="J692" s="180">
        <f>(J630/J612)*AA79</f>
        <v>0</v>
      </c>
      <c r="K692" s="180">
        <f>(K644/K612)*AA75</f>
        <v>180526.90627588428</v>
      </c>
      <c r="L692" s="180">
        <f>(L647/L612)*AA80</f>
        <v>0</v>
      </c>
      <c r="M692" s="180">
        <f t="shared" si="20"/>
        <v>263945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4269949</v>
      </c>
      <c r="D693" s="180">
        <f>(D615/D612)*AB76</f>
        <v>26368.389056186137</v>
      </c>
      <c r="E693" s="180">
        <f>(E623/E612)*SUM(C693:D693)</f>
        <v>231918.69173640935</v>
      </c>
      <c r="F693" s="180">
        <f>(F624/F612)*AB64</f>
        <v>187059.63317607265</v>
      </c>
      <c r="G693" s="180">
        <f>(G625/G612)*AB77</f>
        <v>0</v>
      </c>
      <c r="H693" s="180">
        <f>(H628/H612)*AB60</f>
        <v>15406.095103490938</v>
      </c>
      <c r="I693" s="180">
        <f>(I629/I612)*AB78</f>
        <v>11273.213219811953</v>
      </c>
      <c r="J693" s="180">
        <f>(J630/J612)*AB79</f>
        <v>0</v>
      </c>
      <c r="K693" s="180">
        <f>(K644/K612)*AB75</f>
        <v>971608.48782635946</v>
      </c>
      <c r="L693" s="180">
        <f>(L647/L612)*AB80</f>
        <v>0</v>
      </c>
      <c r="M693" s="180">
        <f t="shared" si="20"/>
        <v>1443635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1249907</v>
      </c>
      <c r="D694" s="180">
        <f>(D615/D612)*AC76</f>
        <v>35005.381798059352</v>
      </c>
      <c r="E694" s="180">
        <f>(E623/E612)*SUM(C694:D694)</f>
        <v>69360.610866783085</v>
      </c>
      <c r="F694" s="180">
        <f>(F624/F612)*AC64</f>
        <v>2683.2687030006618</v>
      </c>
      <c r="G694" s="180">
        <f>(G625/G612)*AC77</f>
        <v>0</v>
      </c>
      <c r="H694" s="180">
        <f>(H628/H612)*AC60</f>
        <v>25911.353654375311</v>
      </c>
      <c r="I694" s="180">
        <f>(I629/I612)*AC78</f>
        <v>17769.641176991721</v>
      </c>
      <c r="J694" s="180">
        <f>(J630/J612)*AC79</f>
        <v>15419.35770582578</v>
      </c>
      <c r="K694" s="180">
        <f>(K644/K612)*AC75</f>
        <v>205552.30568413384</v>
      </c>
      <c r="L694" s="180">
        <f>(L647/L612)*AC80</f>
        <v>0</v>
      </c>
      <c r="M694" s="180">
        <f t="shared" si="20"/>
        <v>371702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4637963</v>
      </c>
      <c r="D696" s="180">
        <f>(D615/D612)*AE76</f>
        <v>376906.52438679122</v>
      </c>
      <c r="E696" s="180">
        <f>(E623/E612)*SUM(C696:D696)</f>
        <v>270706.71787124895</v>
      </c>
      <c r="F696" s="180">
        <f>(F624/F612)*AE64</f>
        <v>5277.3920636535895</v>
      </c>
      <c r="G696" s="180">
        <f>(G625/G612)*AE77</f>
        <v>0</v>
      </c>
      <c r="H696" s="180">
        <f>(H628/H612)*AE60</f>
        <v>98453.439259789346</v>
      </c>
      <c r="I696" s="180">
        <f>(I629/I612)*AE78</f>
        <v>155723.19956180916</v>
      </c>
      <c r="J696" s="180">
        <f>(J630/J612)*AE79</f>
        <v>68545.573990065153</v>
      </c>
      <c r="K696" s="180">
        <f>(K644/K612)*AE75</f>
        <v>322369.18221415346</v>
      </c>
      <c r="L696" s="180">
        <f>(L647/L612)*AE80</f>
        <v>0</v>
      </c>
      <c r="M696" s="180">
        <f t="shared" si="20"/>
        <v>1297982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6869543</v>
      </c>
      <c r="D698" s="180">
        <f>(D615/D612)*AG76</f>
        <v>160927.8928010707</v>
      </c>
      <c r="E698" s="180">
        <f>(E623/E612)*SUM(C698:D698)</f>
        <v>379510.5119334578</v>
      </c>
      <c r="F698" s="180">
        <f>(F624/F612)*AG64</f>
        <v>11464.725599197502</v>
      </c>
      <c r="G698" s="180">
        <f>(G625/G612)*AG77</f>
        <v>138116.38979178169</v>
      </c>
      <c r="H698" s="180">
        <f>(H628/H612)*AG60</f>
        <v>70528.375536768755</v>
      </c>
      <c r="I698" s="180">
        <f>(I629/I612)*AG78</f>
        <v>155723.19956180916</v>
      </c>
      <c r="J698" s="180">
        <f>(J630/J612)*AG79</f>
        <v>55510.078698318292</v>
      </c>
      <c r="K698" s="180">
        <f>(K644/K612)*AG75</f>
        <v>867054.17963589763</v>
      </c>
      <c r="L698" s="180">
        <f>(L647/L612)*AG80</f>
        <v>215102.06398000332</v>
      </c>
      <c r="M698" s="180">
        <f t="shared" si="20"/>
        <v>2053937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93816</v>
      </c>
      <c r="D701" s="180">
        <f>(D615/D612)*AJ76</f>
        <v>0</v>
      </c>
      <c r="E701" s="180">
        <f>(E623/E612)*SUM(C701:D701)</f>
        <v>5064.263650391691</v>
      </c>
      <c r="F701" s="180">
        <f>(F624/F612)*AJ64</f>
        <v>0</v>
      </c>
      <c r="G701" s="180">
        <f>(G625/G612)*AJ77</f>
        <v>0</v>
      </c>
      <c r="H701" s="180">
        <f>(H628/H612)*AJ60</f>
        <v>1698.3096964478198</v>
      </c>
      <c r="I701" s="180">
        <f>(I629/I612)*AJ78</f>
        <v>14394.046258064978</v>
      </c>
      <c r="J701" s="180">
        <f>(J630/J612)*AJ79</f>
        <v>0</v>
      </c>
      <c r="K701" s="180">
        <f>(K644/K612)*AJ75</f>
        <v>7476.4587866439406</v>
      </c>
      <c r="L701" s="180">
        <f>(L647/L612)*AJ80</f>
        <v>0</v>
      </c>
      <c r="M701" s="180">
        <f t="shared" si="20"/>
        <v>28633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1156619</v>
      </c>
      <c r="D707" s="180">
        <f>(D615/D612)*AP76</f>
        <v>70764.146140581157</v>
      </c>
      <c r="E707" s="180">
        <f>(E623/E612)*SUM(C707:D707)</f>
        <v>66255.136139924289</v>
      </c>
      <c r="F707" s="180">
        <f>(F624/F612)*AP64</f>
        <v>9526.1652489374956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18033.984151932375</v>
      </c>
      <c r="L707" s="180">
        <f>(L647/L612)*AP80</f>
        <v>0</v>
      </c>
      <c r="M707" s="180">
        <f t="shared" si="20"/>
        <v>164579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24612</v>
      </c>
      <c r="D713" s="180">
        <f>(D615/D612)*AV76</f>
        <v>12807.503255861839</v>
      </c>
      <c r="E713" s="180">
        <f>(E623/E612)*SUM(C713:D713)</f>
        <v>2019.9350873451717</v>
      </c>
      <c r="F713" s="180">
        <f>(F624/F612)*AV64</f>
        <v>387.82190004257336</v>
      </c>
      <c r="G713" s="180">
        <f>(G625/G612)*AV77</f>
        <v>0</v>
      </c>
      <c r="H713" s="180">
        <f>(H628/H612)*AV60</f>
        <v>4900.8365526065663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20116</v>
      </c>
      <c r="N713" s="199" t="s">
        <v>741</v>
      </c>
    </row>
    <row r="715" spans="1:83" ht="12.65" customHeight="1" x14ac:dyDescent="0.3">
      <c r="C715" s="180">
        <f>SUM(C614:C647)+SUM(C668:C713)</f>
        <v>67566437</v>
      </c>
      <c r="D715" s="180">
        <f>SUM(D616:D647)+SUM(D668:D713)</f>
        <v>3136197</v>
      </c>
      <c r="E715" s="180">
        <f>SUM(E624:E647)+SUM(E668:E713)</f>
        <v>3460490.8831493063</v>
      </c>
      <c r="F715" s="180">
        <f>SUM(F625:F648)+SUM(F668:F713)</f>
        <v>732840.55107605853</v>
      </c>
      <c r="G715" s="180">
        <f>SUM(G626:G647)+SUM(G668:G713)</f>
        <v>1796232.8400251402</v>
      </c>
      <c r="H715" s="180">
        <f>SUM(H629:H647)+SUM(H668:H713)</f>
        <v>747134.95860158012</v>
      </c>
      <c r="I715" s="180">
        <f>SUM(I630:I647)+SUM(I668:I713)</f>
        <v>1133690.3689980381</v>
      </c>
      <c r="J715" s="180">
        <f>SUM(J631:J647)+SUM(J668:J713)</f>
        <v>355347.97306249751</v>
      </c>
      <c r="K715" s="180">
        <f>SUM(K668:K713)</f>
        <v>8285129.2181538986</v>
      </c>
      <c r="L715" s="180">
        <f>SUM(L668:L713)</f>
        <v>1200442.5701862148</v>
      </c>
      <c r="M715" s="180">
        <f>SUM(M668:M713)</f>
        <v>18608833</v>
      </c>
      <c r="N715" s="198" t="s">
        <v>742</v>
      </c>
    </row>
    <row r="716" spans="1:83" ht="12.65" customHeight="1" x14ac:dyDescent="0.3">
      <c r="C716" s="180">
        <f>CE71</f>
        <v>67566437</v>
      </c>
      <c r="D716" s="180">
        <f>D615</f>
        <v>3136197</v>
      </c>
      <c r="E716" s="180">
        <f>E623</f>
        <v>3460490.8831493063</v>
      </c>
      <c r="F716" s="180">
        <f>F624</f>
        <v>732840.55107605841</v>
      </c>
      <c r="G716" s="180">
        <f>G625</f>
        <v>1796232.8400251402</v>
      </c>
      <c r="H716" s="180">
        <f>H628</f>
        <v>747134.95860158035</v>
      </c>
      <c r="I716" s="180">
        <f>I629</f>
        <v>1133690.3689980381</v>
      </c>
      <c r="J716" s="180">
        <f>J630</f>
        <v>355347.97306249756</v>
      </c>
      <c r="K716" s="180">
        <f>K644</f>
        <v>8285129.2181539005</v>
      </c>
      <c r="L716" s="180">
        <f>L647</f>
        <v>1200442.5701862148</v>
      </c>
      <c r="M716" s="180">
        <f>C648</f>
        <v>18608834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172*2021*A</v>
      </c>
      <c r="B722" s="275">
        <f>ROUND(C165,0)</f>
        <v>2348517</v>
      </c>
      <c r="C722" s="275">
        <f>ROUND(C166,0)</f>
        <v>34980</v>
      </c>
      <c r="D722" s="275">
        <f>ROUND(C167,0)</f>
        <v>159615</v>
      </c>
      <c r="E722" s="275">
        <f>ROUND(C168,0)</f>
        <v>4033004</v>
      </c>
      <c r="F722" s="275">
        <f>ROUND(C169,0)</f>
        <v>11184</v>
      </c>
      <c r="G722" s="275">
        <f>ROUND(C170,0)</f>
        <v>1008719</v>
      </c>
      <c r="H722" s="275">
        <f>ROUND(C171+C172,0)</f>
        <v>1028036</v>
      </c>
      <c r="I722" s="275">
        <f>ROUND(C175,0)</f>
        <v>201454</v>
      </c>
      <c r="J722" s="275">
        <f>ROUND(C176,0)</f>
        <v>499890</v>
      </c>
      <c r="K722" s="275">
        <f>ROUND(C179,0)</f>
        <v>126727</v>
      </c>
      <c r="L722" s="275">
        <f>ROUND(C180,0)</f>
        <v>156513</v>
      </c>
      <c r="M722" s="275">
        <f>ROUND(C183,0)</f>
        <v>2268</v>
      </c>
      <c r="N722" s="275">
        <f>ROUND(C184,0)</f>
        <v>784958</v>
      </c>
      <c r="O722" s="275">
        <f>ROUND(C185,0)</f>
        <v>0</v>
      </c>
      <c r="P722" s="275">
        <f>ROUND(C188,0)</f>
        <v>491596</v>
      </c>
      <c r="Q722" s="275">
        <f>ROUND(C189,0)</f>
        <v>667</v>
      </c>
      <c r="R722" s="275">
        <f>ROUND(B195,0)</f>
        <v>1813305</v>
      </c>
      <c r="S722" s="275">
        <f>ROUND(C195,0)</f>
        <v>0</v>
      </c>
      <c r="T722" s="275">
        <f>ROUND(D195,0)</f>
        <v>0</v>
      </c>
      <c r="U722" s="275">
        <f>ROUND(B196,0)</f>
        <v>3693473</v>
      </c>
      <c r="V722" s="275">
        <f>ROUND(C196,0)</f>
        <v>111850</v>
      </c>
      <c r="W722" s="275">
        <f>ROUND(D196,0)</f>
        <v>32535</v>
      </c>
      <c r="X722" s="275">
        <f>ROUND(B197,0)</f>
        <v>18503275</v>
      </c>
      <c r="Y722" s="275">
        <f>ROUND(C197,0)</f>
        <v>0</v>
      </c>
      <c r="Z722" s="275">
        <f>ROUND(D197,0)</f>
        <v>82983</v>
      </c>
      <c r="AA722" s="275">
        <f>ROUND(B198,0)</f>
        <v>15793528</v>
      </c>
      <c r="AB722" s="275">
        <f>ROUND(C198,0)</f>
        <v>29155</v>
      </c>
      <c r="AC722" s="275">
        <f>ROUND(D198,0)</f>
        <v>46349</v>
      </c>
      <c r="AD722" s="275">
        <f>ROUND(B199,0)</f>
        <v>1055890</v>
      </c>
      <c r="AE722" s="275">
        <f>ROUND(C199,0)</f>
        <v>0</v>
      </c>
      <c r="AF722" s="275">
        <f>ROUND(D199,0)</f>
        <v>2639</v>
      </c>
      <c r="AG722" s="275">
        <f>ROUND(B200,0)</f>
        <v>15652435</v>
      </c>
      <c r="AH722" s="275">
        <f>ROUND(C200,0)</f>
        <v>1995808</v>
      </c>
      <c r="AI722" s="275">
        <f>ROUND(D200,0)</f>
        <v>1100129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104566</v>
      </c>
      <c r="AO722" s="275">
        <f>ROUND(D202,0)</f>
        <v>0</v>
      </c>
      <c r="AP722" s="275">
        <f>ROUND(B203,0)</f>
        <v>71148</v>
      </c>
      <c r="AQ722" s="275">
        <f>ROUND(C203,0)</f>
        <v>1943653</v>
      </c>
      <c r="AR722" s="275">
        <f>ROUND(D203,0)</f>
        <v>680205</v>
      </c>
      <c r="AS722" s="275"/>
      <c r="AT722" s="275"/>
      <c r="AU722" s="275"/>
      <c r="AV722" s="275">
        <f>ROUND(B209,0)</f>
        <v>1915178</v>
      </c>
      <c r="AW722" s="275">
        <f>ROUND(C209,0)</f>
        <v>106159</v>
      </c>
      <c r="AX722" s="275">
        <f>ROUND(D209,0)</f>
        <v>32535</v>
      </c>
      <c r="AY722" s="275">
        <f>ROUND(B210,0)</f>
        <v>4926429</v>
      </c>
      <c r="AZ722" s="275">
        <f>ROUND(C210,0)</f>
        <v>747868</v>
      </c>
      <c r="BA722" s="275">
        <f>ROUND(D210,0)</f>
        <v>82983</v>
      </c>
      <c r="BB722" s="275">
        <f>ROUND(B211,0)</f>
        <v>12349055</v>
      </c>
      <c r="BC722" s="275">
        <f>ROUND(C211,0)</f>
        <v>498135</v>
      </c>
      <c r="BD722" s="275">
        <f>ROUND(D211,0)</f>
        <v>46349</v>
      </c>
      <c r="BE722" s="275">
        <f>ROUND(B212,0)</f>
        <v>924344</v>
      </c>
      <c r="BF722" s="275">
        <f>ROUND(C212,0)</f>
        <v>14303</v>
      </c>
      <c r="BG722" s="275">
        <f>ROUND(D212,0)</f>
        <v>2639</v>
      </c>
      <c r="BH722" s="275">
        <f>ROUND(B213,0)</f>
        <v>11705954</v>
      </c>
      <c r="BI722" s="275">
        <f>ROUND(C213,0)</f>
        <v>1259666</v>
      </c>
      <c r="BJ722" s="275">
        <f>ROUND(D213,0)</f>
        <v>1088513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8341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28319452</v>
      </c>
      <c r="BU722" s="275">
        <f>ROUND(C224,0)</f>
        <v>10846897</v>
      </c>
      <c r="BV722" s="275">
        <f>ROUND(C225,0)</f>
        <v>724891</v>
      </c>
      <c r="BW722" s="275">
        <f>ROUND(C226,0)</f>
        <v>706446</v>
      </c>
      <c r="BX722" s="275">
        <f>ROUND(C227,0)</f>
        <v>0</v>
      </c>
      <c r="BY722" s="275">
        <f>ROUND(C228,0)</f>
        <v>31078364</v>
      </c>
      <c r="BZ722" s="275">
        <f>ROUND(C231,0)</f>
        <v>1304</v>
      </c>
      <c r="CA722" s="275">
        <f>ROUND(C233,0)</f>
        <v>122877</v>
      </c>
      <c r="CB722" s="275">
        <f>ROUND(C234,0)</f>
        <v>589590</v>
      </c>
      <c r="CC722" s="275">
        <f>ROUND(C238+C239,0)</f>
        <v>608116</v>
      </c>
      <c r="CD722" s="275">
        <f>D221</f>
        <v>740675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172*2021*A</v>
      </c>
      <c r="B726" s="275">
        <f>ROUND(C111,0)</f>
        <v>1113</v>
      </c>
      <c r="C726" s="275">
        <f>ROUND(C112,0)</f>
        <v>8</v>
      </c>
      <c r="D726" s="275">
        <f>ROUND(C113,0)</f>
        <v>0</v>
      </c>
      <c r="E726" s="275">
        <f>ROUND(C114,0)</f>
        <v>361</v>
      </c>
      <c r="F726" s="275">
        <f>ROUND(D111,0)</f>
        <v>3475</v>
      </c>
      <c r="G726" s="275">
        <f>ROUND(D112,0)</f>
        <v>64</v>
      </c>
      <c r="H726" s="275">
        <f>ROUND(D113,0)</f>
        <v>0</v>
      </c>
      <c r="I726" s="275">
        <f>ROUND(D114,0)</f>
        <v>668</v>
      </c>
      <c r="J726" s="275">
        <f>ROUND(C116,0)</f>
        <v>2</v>
      </c>
      <c r="K726" s="275">
        <f>ROUND(C117,0)</f>
        <v>0</v>
      </c>
      <c r="L726" s="275">
        <f>ROUND(C118,0)</f>
        <v>13</v>
      </c>
      <c r="M726" s="275">
        <f>ROUND(C119,0)</f>
        <v>0</v>
      </c>
      <c r="N726" s="275">
        <f>ROUND(C120,0)</f>
        <v>8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2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42</v>
      </c>
      <c r="W726" s="275">
        <f>ROUND(C129,0)</f>
        <v>8</v>
      </c>
      <c r="X726" s="275">
        <f>ROUND(B138,0)</f>
        <v>429</v>
      </c>
      <c r="Y726" s="275">
        <f>ROUND(B139,0)</f>
        <v>1464</v>
      </c>
      <c r="Z726" s="275">
        <f>ROUND(B140,0)</f>
        <v>24720</v>
      </c>
      <c r="AA726" s="275">
        <f>ROUND(B141,0)</f>
        <v>12625383</v>
      </c>
      <c r="AB726" s="275">
        <f>ROUND(B142,0)</f>
        <v>40785117</v>
      </c>
      <c r="AC726" s="275">
        <f>ROUND(C138,0)</f>
        <v>69</v>
      </c>
      <c r="AD726" s="275">
        <f>ROUND(C139,0)</f>
        <v>250</v>
      </c>
      <c r="AE726" s="275">
        <f>ROUND(C140,0)</f>
        <v>11081</v>
      </c>
      <c r="AF726" s="275">
        <f>ROUND(C141,0)</f>
        <v>4368815</v>
      </c>
      <c r="AG726" s="275">
        <f>ROUND(C142,0)</f>
        <v>15687644</v>
      </c>
      <c r="AH726" s="275">
        <f>ROUND(D138,0)</f>
        <v>615</v>
      </c>
      <c r="AI726" s="275">
        <f>ROUND(D139,0)</f>
        <v>1761</v>
      </c>
      <c r="AJ726" s="275">
        <f>ROUND(D140,0)</f>
        <v>49441</v>
      </c>
      <c r="AK726" s="275">
        <f>ROUND(D141,0)</f>
        <v>11247230</v>
      </c>
      <c r="AL726" s="275">
        <f>ROUND(D142,0)</f>
        <v>66540708</v>
      </c>
      <c r="AM726" s="275">
        <f>ROUND(B144,0)</f>
        <v>8</v>
      </c>
      <c r="AN726" s="275">
        <f>ROUND(B145,0)</f>
        <v>64</v>
      </c>
      <c r="AO726" s="275">
        <f>ROUND(B146,0)</f>
        <v>0</v>
      </c>
      <c r="AP726" s="275">
        <f>ROUND(B147,0)</f>
        <v>84602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7026686</v>
      </c>
      <c r="BR726" s="275">
        <f>ROUND(C157,0)</f>
        <v>6270081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172*2021*A</v>
      </c>
      <c r="B730" s="275">
        <f>ROUND(C250,0)</f>
        <v>9143653</v>
      </c>
      <c r="C730" s="275">
        <f>ROUND(C251,0)</f>
        <v>0</v>
      </c>
      <c r="D730" s="275">
        <f>ROUND(C252,0)</f>
        <v>19491602</v>
      </c>
      <c r="E730" s="275">
        <f>ROUND(C253,0)</f>
        <v>10566232</v>
      </c>
      <c r="F730" s="275">
        <f>ROUND(C254,0)</f>
        <v>0</v>
      </c>
      <c r="G730" s="275">
        <f>ROUND(C255,0)</f>
        <v>2127078</v>
      </c>
      <c r="H730" s="275">
        <f>ROUND(C256,0)</f>
        <v>0</v>
      </c>
      <c r="I730" s="275">
        <f>ROUND(C257,0)</f>
        <v>2323002</v>
      </c>
      <c r="J730" s="275">
        <f>ROUND(C258,0)</f>
        <v>828294</v>
      </c>
      <c r="K730" s="275">
        <f>ROUND(C259,0)</f>
        <v>0</v>
      </c>
      <c r="L730" s="275">
        <f>ROUND(C262,0)</f>
        <v>27624159</v>
      </c>
      <c r="M730" s="275">
        <f>ROUND(C263,0)</f>
        <v>0</v>
      </c>
      <c r="N730" s="275">
        <f>ROUND(C264,0)</f>
        <v>0</v>
      </c>
      <c r="O730" s="275">
        <f>ROUND(C267,0)</f>
        <v>1813305</v>
      </c>
      <c r="P730" s="275">
        <f>ROUND(C268,0)</f>
        <v>3772788</v>
      </c>
      <c r="Q730" s="275">
        <f>ROUND(C269,0)</f>
        <v>18420292</v>
      </c>
      <c r="R730" s="275">
        <f>ROUND(C270,0)</f>
        <v>15776334</v>
      </c>
      <c r="S730" s="275">
        <f>ROUND(C271,0)</f>
        <v>1053251</v>
      </c>
      <c r="T730" s="275">
        <f>ROUND(C272,0)</f>
        <v>16548114</v>
      </c>
      <c r="U730" s="275">
        <f>ROUND(C273,0)</f>
        <v>104566</v>
      </c>
      <c r="V730" s="275">
        <f>ROUND(C274,0)</f>
        <v>1334596</v>
      </c>
      <c r="W730" s="275">
        <f>ROUND(C275,0)</f>
        <v>0</v>
      </c>
      <c r="X730" s="275">
        <f>ROUND(C276,0)</f>
        <v>33202412</v>
      </c>
      <c r="Y730" s="275">
        <f>ROUND(C279,0)</f>
        <v>0</v>
      </c>
      <c r="Z730" s="275">
        <f>ROUND(C280,0)</f>
        <v>0</v>
      </c>
      <c r="AA730" s="275">
        <f>ROUND(C281,0)</f>
        <v>590370</v>
      </c>
      <c r="AB730" s="275">
        <f>ROUND(C282,0)</f>
        <v>8698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2093741</v>
      </c>
      <c r="AI730" s="275">
        <f>ROUND(C306,0)</f>
        <v>3857285</v>
      </c>
      <c r="AJ730" s="275">
        <f>ROUND(C307,0)</f>
        <v>0</v>
      </c>
      <c r="AK730" s="275">
        <f>ROUND(C308,0)</f>
        <v>0</v>
      </c>
      <c r="AL730" s="275">
        <f>ROUND(C309,0)</f>
        <v>1220000</v>
      </c>
      <c r="AM730" s="275">
        <f>ROUND(C310,0)</f>
        <v>0</v>
      </c>
      <c r="AN730" s="275">
        <f>ROUND(C311,0)</f>
        <v>0</v>
      </c>
      <c r="AO730" s="275">
        <f>ROUND(C312,0)</f>
        <v>258990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1856854</v>
      </c>
      <c r="AX730" s="275">
        <f>ROUND(C325,0)</f>
        <v>10781950</v>
      </c>
      <c r="AY730" s="275">
        <f>ROUND(C326,0)</f>
        <v>0</v>
      </c>
      <c r="AZ730" s="275">
        <f>ROUND(C327,0)</f>
        <v>7008155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50114483</v>
      </c>
      <c r="BF730" s="275">
        <f>ROUND(C336,0)</f>
        <v>0</v>
      </c>
      <c r="BG730" s="275"/>
      <c r="BH730" s="275"/>
      <c r="BI730" s="275">
        <f>ROUND(CE60,2)</f>
        <v>355.73</v>
      </c>
      <c r="BJ730" s="275">
        <f>ROUND(C359,0)</f>
        <v>28326030</v>
      </c>
      <c r="BK730" s="275">
        <f>ROUND(C360,0)</f>
        <v>123013468</v>
      </c>
      <c r="BL730" s="275">
        <f>ROUND(C364,0)</f>
        <v>71676050</v>
      </c>
      <c r="BM730" s="275">
        <f>ROUND(C365,0)</f>
        <v>712467</v>
      </c>
      <c r="BN730" s="275">
        <f>ROUND(C366,0)</f>
        <v>608116</v>
      </c>
      <c r="BO730" s="275">
        <f>ROUND(C370,0)</f>
        <v>2989976</v>
      </c>
      <c r="BP730" s="275">
        <f>ROUND(C371,0)</f>
        <v>1226000</v>
      </c>
      <c r="BQ730" s="275">
        <f>ROUND(C378,0)</f>
        <v>33345089</v>
      </c>
      <c r="BR730" s="275">
        <f>ROUND(C379,0)</f>
        <v>8624055</v>
      </c>
      <c r="BS730" s="275">
        <f>ROUND(C380,0)</f>
        <v>5764981</v>
      </c>
      <c r="BT730" s="275">
        <f>ROUND(C381,0)</f>
        <v>12049959</v>
      </c>
      <c r="BU730" s="275">
        <f>ROUND(C382,0)</f>
        <v>793670</v>
      </c>
      <c r="BV730" s="275">
        <f>ROUND(C383,0)</f>
        <v>4065224</v>
      </c>
      <c r="BW730" s="275">
        <f>ROUND(C384,0)</f>
        <v>2634471</v>
      </c>
      <c r="BX730" s="275">
        <f>ROUND(C385,0)</f>
        <v>701344</v>
      </c>
      <c r="BY730" s="275">
        <f>ROUND(C386,0)</f>
        <v>283240</v>
      </c>
      <c r="BZ730" s="275">
        <f>ROUND(C387,0)</f>
        <v>787266</v>
      </c>
      <c r="CA730" s="275">
        <f>ROUND(C388,0)</f>
        <v>492263</v>
      </c>
      <c r="CB730" s="275">
        <f>C363</f>
        <v>740675</v>
      </c>
      <c r="CC730" s="275">
        <f>ROUND(C389,0)</f>
        <v>1014854</v>
      </c>
      <c r="CD730" s="275">
        <f>ROUND(C392,0)</f>
        <v>-4194469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172*2021*6010*A</v>
      </c>
      <c r="B734" s="275">
        <f>ROUND(C59,0)</f>
        <v>740</v>
      </c>
      <c r="C734" s="275">
        <f>ROUND(C60,2)</f>
        <v>12.93</v>
      </c>
      <c r="D734" s="275">
        <f>ROUND(C61,0)</f>
        <v>1292253</v>
      </c>
      <c r="E734" s="275">
        <f>ROUND(C62,0)</f>
        <v>334216</v>
      </c>
      <c r="F734" s="275">
        <f>ROUND(C63,0)</f>
        <v>51213</v>
      </c>
      <c r="G734" s="275">
        <f>ROUND(C64,0)</f>
        <v>86946</v>
      </c>
      <c r="H734" s="275">
        <f>ROUND(C65,0)</f>
        <v>480</v>
      </c>
      <c r="I734" s="275">
        <f>ROUND(C66,0)</f>
        <v>28224</v>
      </c>
      <c r="J734" s="275">
        <f>ROUND(C67,0)</f>
        <v>84621</v>
      </c>
      <c r="K734" s="275">
        <f>ROUND(C68,0)</f>
        <v>12430</v>
      </c>
      <c r="L734" s="275">
        <f>ROUND(C69,0)</f>
        <v>3093</v>
      </c>
      <c r="M734" s="275">
        <f>ROUND(C70,0)</f>
        <v>5160</v>
      </c>
      <c r="N734" s="275">
        <f>ROUND(C75,0)</f>
        <v>2781857</v>
      </c>
      <c r="O734" s="275">
        <f>ROUND(C73,0)</f>
        <v>1742255</v>
      </c>
      <c r="P734" s="275">
        <f>IF(C76&gt;0,ROUND(C76,0),0)</f>
        <v>4094</v>
      </c>
      <c r="Q734" s="275">
        <f>IF(C77&gt;0,ROUND(C77,0),0)</f>
        <v>5048</v>
      </c>
      <c r="R734" s="275">
        <f>IF(C78&gt;0,ROUND(C78,0),0)</f>
        <v>815</v>
      </c>
      <c r="S734" s="275">
        <f>IF(C79&gt;0,ROUND(C79,0),0)</f>
        <v>18931</v>
      </c>
      <c r="T734" s="275">
        <f>IF(C80&gt;0,ROUND(C80,2),0)</f>
        <v>9.5399999999999991</v>
      </c>
      <c r="U734" s="275"/>
      <c r="V734" s="275"/>
      <c r="W734" s="275"/>
      <c r="X734" s="275"/>
      <c r="Y734" s="275">
        <f>IF(M668&lt;&gt;0,ROUND(M668,0),0)</f>
        <v>1025945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172*2021*6030*A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172*2021*6070*A</v>
      </c>
      <c r="B736" s="275">
        <f>ROUND(E59,0)</f>
        <v>2735</v>
      </c>
      <c r="C736" s="277">
        <f>ROUND(E60,2)</f>
        <v>23.46</v>
      </c>
      <c r="D736" s="275">
        <f>ROUND(E61,0)</f>
        <v>2925947</v>
      </c>
      <c r="E736" s="275">
        <f>ROUND(E62,0)</f>
        <v>756739</v>
      </c>
      <c r="F736" s="275">
        <f>ROUND(E63,0)</f>
        <v>207203</v>
      </c>
      <c r="G736" s="275">
        <f>ROUND(E64,0)</f>
        <v>117092</v>
      </c>
      <c r="H736" s="275">
        <f>ROUND(E65,0)</f>
        <v>0</v>
      </c>
      <c r="I736" s="275">
        <f>ROUND(E66,0)</f>
        <v>25684</v>
      </c>
      <c r="J736" s="275">
        <f>ROUND(E67,0)</f>
        <v>141834</v>
      </c>
      <c r="K736" s="275">
        <f>ROUND(E68,0)</f>
        <v>54934</v>
      </c>
      <c r="L736" s="275">
        <f>ROUND(E69,0)</f>
        <v>2202</v>
      </c>
      <c r="M736" s="275">
        <f>ROUND(E70,0)</f>
        <v>0</v>
      </c>
      <c r="N736" s="275">
        <f>ROUND(E75,0)</f>
        <v>7534738</v>
      </c>
      <c r="O736" s="275">
        <f>ROUND(E73,0)</f>
        <v>3737773</v>
      </c>
      <c r="P736" s="275">
        <f>IF(E76&gt;0,ROUND(E76,0),0)</f>
        <v>6862</v>
      </c>
      <c r="Q736" s="275">
        <f>IF(E77&gt;0,ROUND(E77,0),0)</f>
        <v>8800</v>
      </c>
      <c r="R736" s="275">
        <f>IF(E78&gt;0,ROUND(E78,0),0)</f>
        <v>3260</v>
      </c>
      <c r="S736" s="275">
        <f>IF(E79&gt;0,ROUND(E79,0),0)</f>
        <v>56794</v>
      </c>
      <c r="T736" s="277">
        <f>IF(E80&gt;0,ROUND(E80,2),0)</f>
        <v>13.96</v>
      </c>
      <c r="U736" s="275"/>
      <c r="V736" s="276"/>
      <c r="W736" s="275"/>
      <c r="X736" s="275"/>
      <c r="Y736" s="275">
        <f t="shared" si="21"/>
        <v>2078413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172*2021*6100*A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172*2021*6120*A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172*2021*6140*A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172*2021*6150*A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172*2021*6170*A</v>
      </c>
      <c r="B741" s="275">
        <f>ROUND(J59,0)</f>
        <v>668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485460</v>
      </c>
      <c r="O741" s="275">
        <f>ROUND(J73,0)</f>
        <v>485460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22087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48164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172*2021*6200*A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172*2021*6210*A</v>
      </c>
      <c r="B743" s="275">
        <f>ROUND(L59,0)</f>
        <v>64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84602</v>
      </c>
      <c r="O743" s="275">
        <f>ROUND(L73,0)</f>
        <v>84602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4632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172*2021*6330*A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172*2021*6400*A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172*2021*7010*A</v>
      </c>
      <c r="B746" s="275">
        <f>ROUND(O59,0)</f>
        <v>0</v>
      </c>
      <c r="C746" s="277">
        <f>ROUND(O60,2)</f>
        <v>19.37</v>
      </c>
      <c r="D746" s="275">
        <f>ROUND(O61,0)</f>
        <v>1971766</v>
      </c>
      <c r="E746" s="275">
        <f>ROUND(O62,0)</f>
        <v>509959</v>
      </c>
      <c r="F746" s="275">
        <f>ROUND(O63,0)</f>
        <v>0</v>
      </c>
      <c r="G746" s="275">
        <f>ROUND(O64,0)</f>
        <v>119328</v>
      </c>
      <c r="H746" s="275">
        <f>ROUND(O65,0)</f>
        <v>480</v>
      </c>
      <c r="I746" s="275">
        <f>ROUND(O66,0)</f>
        <v>64633</v>
      </c>
      <c r="J746" s="275">
        <f>ROUND(O67,0)</f>
        <v>169386</v>
      </c>
      <c r="K746" s="275">
        <f>ROUND(O68,0)</f>
        <v>28687</v>
      </c>
      <c r="L746" s="275">
        <f>ROUND(O69,0)</f>
        <v>5359</v>
      </c>
      <c r="M746" s="275">
        <f>ROUND(O70,0)</f>
        <v>3765</v>
      </c>
      <c r="N746" s="275">
        <f>ROUND(O75,0)</f>
        <v>3139615</v>
      </c>
      <c r="O746" s="275">
        <f>ROUND(O73,0)</f>
        <v>2565437</v>
      </c>
      <c r="P746" s="275">
        <f>IF(O76&gt;0,ROUND(O76,0),0)</f>
        <v>8195</v>
      </c>
      <c r="Q746" s="275">
        <f>IF(O77&gt;0,ROUND(O77,0),0)</f>
        <v>4464</v>
      </c>
      <c r="R746" s="275">
        <f>IF(O78&gt;0,ROUND(O78,0),0)</f>
        <v>2445</v>
      </c>
      <c r="S746" s="275">
        <f>IF(O79&gt;0,ROUND(O79,0),0)</f>
        <v>44173</v>
      </c>
      <c r="T746" s="277">
        <f>IF(O80&gt;0,ROUND(O80,2),0)</f>
        <v>14.73</v>
      </c>
      <c r="U746" s="275"/>
      <c r="V746" s="276"/>
      <c r="W746" s="275"/>
      <c r="X746" s="275"/>
      <c r="Y746" s="275">
        <f t="shared" si="21"/>
        <v>1392764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172*2021*7020*A</v>
      </c>
      <c r="B747" s="275">
        <f>ROUND(P59,0)</f>
        <v>240792</v>
      </c>
      <c r="C747" s="277">
        <f>ROUND(P60,2)</f>
        <v>49.05</v>
      </c>
      <c r="D747" s="275">
        <f>ROUND(P61,0)</f>
        <v>4441281</v>
      </c>
      <c r="E747" s="275">
        <f>ROUND(P62,0)</f>
        <v>1148650</v>
      </c>
      <c r="F747" s="275">
        <f>ROUND(P63,0)</f>
        <v>1294</v>
      </c>
      <c r="G747" s="275">
        <f>ROUND(P64,0)</f>
        <v>1222416</v>
      </c>
      <c r="H747" s="275">
        <f>ROUND(P65,0)</f>
        <v>1640</v>
      </c>
      <c r="I747" s="275">
        <f>ROUND(P66,0)</f>
        <v>494664</v>
      </c>
      <c r="J747" s="275">
        <f>ROUND(P67,0)</f>
        <v>327115</v>
      </c>
      <c r="K747" s="275">
        <f>ROUND(P68,0)</f>
        <v>77709</v>
      </c>
      <c r="L747" s="275">
        <f>ROUND(P69,0)</f>
        <v>16652</v>
      </c>
      <c r="M747" s="275">
        <f>ROUND(P70,0)</f>
        <v>11880</v>
      </c>
      <c r="N747" s="275">
        <f>ROUND(P75,0)</f>
        <v>20378710</v>
      </c>
      <c r="O747" s="275">
        <f>ROUND(P73,0)</f>
        <v>4069313</v>
      </c>
      <c r="P747" s="275">
        <f>IF(P76&gt;0,ROUND(P76,0),0)</f>
        <v>15826</v>
      </c>
      <c r="Q747" s="275">
        <f>IF(P77&gt;0,ROUND(P77,0),0)</f>
        <v>2421</v>
      </c>
      <c r="R747" s="275">
        <f>IF(P78&gt;0,ROUND(P78,0),0)</f>
        <v>1902</v>
      </c>
      <c r="S747" s="275">
        <f>IF(P79&gt;0,ROUND(P79,0),0)</f>
        <v>56794</v>
      </c>
      <c r="T747" s="277">
        <f>IF(P80&gt;0,ROUND(P80,2),0)</f>
        <v>26.68</v>
      </c>
      <c r="U747" s="275"/>
      <c r="V747" s="276"/>
      <c r="W747" s="275"/>
      <c r="X747" s="275"/>
      <c r="Y747" s="275">
        <f t="shared" si="21"/>
        <v>2950019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172*2021*7030*A</v>
      </c>
      <c r="B748" s="275">
        <f>ROUND(Q59,0)</f>
        <v>102401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28673</v>
      </c>
      <c r="H748" s="275">
        <f>ROUND(Q65,0)</f>
        <v>0</v>
      </c>
      <c r="I748" s="275">
        <f>ROUND(Q66,0)</f>
        <v>328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1671932</v>
      </c>
      <c r="O748" s="275">
        <f>ROUND(Q73,0)</f>
        <v>341422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94845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172*2021*7040*A</v>
      </c>
      <c r="B749" s="275">
        <f>ROUND(R59,0)</f>
        <v>184500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441793</v>
      </c>
      <c r="G749" s="275">
        <f>ROUND(R64,0)</f>
        <v>127127</v>
      </c>
      <c r="H749" s="275">
        <f>ROUND(R65,0)</f>
        <v>0</v>
      </c>
      <c r="I749" s="275">
        <f>ROUND(R66,0)</f>
        <v>2281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4860951</v>
      </c>
      <c r="O749" s="275">
        <f>ROUND(R73,0)</f>
        <v>1213108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304705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172*2021*7050*A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4896219</v>
      </c>
      <c r="H750" s="275">
        <f>ROUND(S65,0)</f>
        <v>0</v>
      </c>
      <c r="I750" s="275">
        <f>ROUND(S66,0)</f>
        <v>0</v>
      </c>
      <c r="J750" s="275">
        <f>ROUND(S67,0)</f>
        <v>28193</v>
      </c>
      <c r="K750" s="275">
        <f>ROUND(S68,0)</f>
        <v>63093</v>
      </c>
      <c r="L750" s="275">
        <f>ROUND(S69,0)</f>
        <v>100563</v>
      </c>
      <c r="M750" s="275">
        <f>ROUND(S70,0)</f>
        <v>6757</v>
      </c>
      <c r="N750" s="275">
        <f>ROUND(S75,0)</f>
        <v>19232644</v>
      </c>
      <c r="O750" s="275">
        <f>ROUND(S73,0)</f>
        <v>5701565</v>
      </c>
      <c r="P750" s="275">
        <f>IF(S76&gt;0,ROUND(S76,0),0)</f>
        <v>1364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1664623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172*2021*7060*A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172*2021*7070*A</v>
      </c>
      <c r="B752" s="275">
        <f>ROUND(U59,0)</f>
        <v>129346</v>
      </c>
      <c r="C752" s="277">
        <f>ROUND(U60,2)</f>
        <v>14.81</v>
      </c>
      <c r="D752" s="275">
        <f>ROUND(U61,0)</f>
        <v>1031453</v>
      </c>
      <c r="E752" s="275">
        <f>ROUND(U62,0)</f>
        <v>266765</v>
      </c>
      <c r="F752" s="275">
        <f>ROUND(U63,0)</f>
        <v>871993</v>
      </c>
      <c r="G752" s="275">
        <f>ROUND(U64,0)</f>
        <v>894185</v>
      </c>
      <c r="H752" s="275">
        <f>ROUND(U65,0)</f>
        <v>960</v>
      </c>
      <c r="I752" s="275">
        <f>ROUND(U66,0)</f>
        <v>121469</v>
      </c>
      <c r="J752" s="275">
        <f>ROUND(U67,0)</f>
        <v>42434</v>
      </c>
      <c r="K752" s="275">
        <f>ROUND(U68,0)</f>
        <v>3059</v>
      </c>
      <c r="L752" s="275">
        <f>ROUND(U69,0)</f>
        <v>6856</v>
      </c>
      <c r="M752" s="275">
        <f>ROUND(U70,0)</f>
        <v>0</v>
      </c>
      <c r="N752" s="275">
        <f>ROUND(U75,0)</f>
        <v>14154859</v>
      </c>
      <c r="O752" s="275">
        <f>ROUND(U73,0)</f>
        <v>1938700</v>
      </c>
      <c r="P752" s="275">
        <f>IF(U76&gt;0,ROUND(U76,0),0)</f>
        <v>2053</v>
      </c>
      <c r="Q752" s="275">
        <f>IF(U77&gt;0,ROUND(U77,0),0)</f>
        <v>0</v>
      </c>
      <c r="R752" s="275">
        <f>IF(U78&gt;0,ROUND(U78,0),0)</f>
        <v>815</v>
      </c>
      <c r="S752" s="275">
        <f>IF(U79&gt;0,ROUND(U79,0),0)</f>
        <v>9466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1159638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172*2021*7110*A</v>
      </c>
      <c r="B753" s="275">
        <f>ROUND(V59,0)</f>
        <v>3998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8061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635848</v>
      </c>
      <c r="O753" s="275">
        <f>ROUND(V73,0)</f>
        <v>49223</v>
      </c>
      <c r="P753" s="275">
        <f>IF(V76&gt;0,ROUND(V76,0),0)</f>
        <v>390</v>
      </c>
      <c r="Q753" s="275">
        <f>IF(V77&gt;0,ROUND(V77,0),0)</f>
        <v>0</v>
      </c>
      <c r="R753" s="275">
        <f>IF(V78&gt;0,ROUND(V78,0),0)</f>
        <v>70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50763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172*2021*7120*A</v>
      </c>
      <c r="B754" s="275">
        <f>ROUND(W59,0)</f>
        <v>2590</v>
      </c>
      <c r="C754" s="277">
        <f>ROUND(W60,2)</f>
        <v>3.46</v>
      </c>
      <c r="D754" s="275">
        <f>ROUND(W61,0)</f>
        <v>316724</v>
      </c>
      <c r="E754" s="275">
        <f>ROUND(W62,0)</f>
        <v>81914</v>
      </c>
      <c r="F754" s="275">
        <f>ROUND(W63,0)</f>
        <v>44146</v>
      </c>
      <c r="G754" s="275">
        <f>ROUND(W64,0)</f>
        <v>8789</v>
      </c>
      <c r="H754" s="275">
        <f>ROUND(W65,0)</f>
        <v>0</v>
      </c>
      <c r="I754" s="275">
        <f>ROUND(W66,0)</f>
        <v>167758</v>
      </c>
      <c r="J754" s="275">
        <f>ROUND(W67,0)</f>
        <v>13104</v>
      </c>
      <c r="K754" s="275">
        <f>ROUND(W68,0)</f>
        <v>33300</v>
      </c>
      <c r="L754" s="275">
        <f>ROUND(W69,0)</f>
        <v>6100</v>
      </c>
      <c r="M754" s="275">
        <f>ROUND(W70,0)</f>
        <v>0</v>
      </c>
      <c r="N754" s="275">
        <f>ROUND(W75,0)</f>
        <v>6445256</v>
      </c>
      <c r="O754" s="275">
        <f>ROUND(W73,0)</f>
        <v>60230</v>
      </c>
      <c r="P754" s="275">
        <f>IF(W76&gt;0,ROUND(W76,0),0)</f>
        <v>634</v>
      </c>
      <c r="Q754" s="275">
        <f>IF(W77&gt;0,ROUND(W77,0),0)</f>
        <v>0</v>
      </c>
      <c r="R754" s="275">
        <f>IF(W78&gt;0,ROUND(W78,0),0)</f>
        <v>114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423285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172*2021*7130*A</v>
      </c>
      <c r="B755" s="275">
        <f>ROUND(X59,0)</f>
        <v>5648</v>
      </c>
      <c r="C755" s="277">
        <f>ROUND(X60,2)</f>
        <v>0.92</v>
      </c>
      <c r="D755" s="275">
        <f>ROUND(X61,0)</f>
        <v>76100</v>
      </c>
      <c r="E755" s="275">
        <f>ROUND(X62,0)</f>
        <v>19682</v>
      </c>
      <c r="F755" s="275">
        <f>ROUND(X63,0)</f>
        <v>0</v>
      </c>
      <c r="G755" s="275">
        <f>ROUND(X64,0)</f>
        <v>18577</v>
      </c>
      <c r="H755" s="275">
        <f>ROUND(X65,0)</f>
        <v>0</v>
      </c>
      <c r="I755" s="275">
        <f>ROUND(X66,0)</f>
        <v>165906</v>
      </c>
      <c r="J755" s="275">
        <f>ROUND(X67,0)</f>
        <v>10789</v>
      </c>
      <c r="K755" s="275">
        <f>ROUND(X68,0)</f>
        <v>0</v>
      </c>
      <c r="L755" s="275">
        <f>ROUND(X69,0)</f>
        <v>2610</v>
      </c>
      <c r="M755" s="275">
        <f>ROUND(X70,0)</f>
        <v>0</v>
      </c>
      <c r="N755" s="275">
        <f>ROUND(X75,0)</f>
        <v>10757195</v>
      </c>
      <c r="O755" s="275">
        <f>ROUND(X73,0)</f>
        <v>254665</v>
      </c>
      <c r="P755" s="275">
        <f>IF(X76&gt;0,ROUND(X76,0),0)</f>
        <v>522</v>
      </c>
      <c r="Q755" s="275">
        <f>IF(X77&gt;0,ROUND(X77,0),0)</f>
        <v>0</v>
      </c>
      <c r="R755" s="275">
        <f>IF(X78&gt;0,ROUND(X78,0),0)</f>
        <v>118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630443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172*2021*7140*A</v>
      </c>
      <c r="B756" s="275">
        <f>ROUND(Y59,0)</f>
        <v>25055</v>
      </c>
      <c r="C756" s="277">
        <f>ROUND(Y60,2)</f>
        <v>21.57</v>
      </c>
      <c r="D756" s="275">
        <f>ROUND(Y61,0)</f>
        <v>1776291</v>
      </c>
      <c r="E756" s="275">
        <f>ROUND(Y62,0)</f>
        <v>459403</v>
      </c>
      <c r="F756" s="275">
        <f>ROUND(Y63,0)</f>
        <v>311062</v>
      </c>
      <c r="G756" s="275">
        <f>ROUND(Y64,0)</f>
        <v>137764</v>
      </c>
      <c r="H756" s="275">
        <f>ROUND(Y65,0)</f>
        <v>520</v>
      </c>
      <c r="I756" s="275">
        <f>ROUND(Y66,0)</f>
        <v>312491</v>
      </c>
      <c r="J756" s="275">
        <f>ROUND(Y67,0)</f>
        <v>101983</v>
      </c>
      <c r="K756" s="275">
        <f>ROUND(Y68,0)</f>
        <v>30554</v>
      </c>
      <c r="L756" s="275">
        <f>ROUND(Y69,0)</f>
        <v>11773</v>
      </c>
      <c r="M756" s="275">
        <f>ROUND(Y70,0)</f>
        <v>20</v>
      </c>
      <c r="N756" s="275">
        <f>ROUND(Y75,0)</f>
        <v>12183294</v>
      </c>
      <c r="O756" s="275">
        <f>ROUND(Y73,0)</f>
        <v>549728</v>
      </c>
      <c r="P756" s="275">
        <f>IF(Y76&gt;0,ROUND(Y76,0),0)</f>
        <v>4934</v>
      </c>
      <c r="Q756" s="275">
        <f>IF(Y77&gt;0,ROUND(Y77,0),0)</f>
        <v>0</v>
      </c>
      <c r="R756" s="275">
        <f>IF(Y78&gt;0,ROUND(Y78,0),0)</f>
        <v>1358</v>
      </c>
      <c r="S756" s="275">
        <f>IF(Y79&gt;0,ROUND(Y79,0),0)</f>
        <v>12621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1136065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172*2021*7150*A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172*2021*7160*A</v>
      </c>
      <c r="B758" s="275">
        <f>ROUND(AA59,0)</f>
        <v>1146</v>
      </c>
      <c r="C758" s="277">
        <f>ROUND(AA60,2)</f>
        <v>2.11</v>
      </c>
      <c r="D758" s="275">
        <f>ROUND(AA61,0)</f>
        <v>237474</v>
      </c>
      <c r="E758" s="275">
        <f>ROUND(AA62,0)</f>
        <v>61418</v>
      </c>
      <c r="F758" s="275">
        <f>ROUND(AA63,0)</f>
        <v>223395</v>
      </c>
      <c r="G758" s="275">
        <f>ROUND(AA64,0)</f>
        <v>242907</v>
      </c>
      <c r="H758" s="275">
        <f>ROUND(AA65,0)</f>
        <v>0</v>
      </c>
      <c r="I758" s="275">
        <f>ROUND(AA66,0)</f>
        <v>129251</v>
      </c>
      <c r="J758" s="275">
        <f>ROUND(AA67,0)</f>
        <v>7110</v>
      </c>
      <c r="K758" s="275">
        <f>ROUND(AA68,0)</f>
        <v>0</v>
      </c>
      <c r="L758" s="275">
        <f>ROUND(AA69,0)</f>
        <v>12246</v>
      </c>
      <c r="M758" s="275">
        <f>ROUND(AA70,0)</f>
        <v>0</v>
      </c>
      <c r="N758" s="275">
        <f>ROUND(AA75,0)</f>
        <v>3297577</v>
      </c>
      <c r="O758" s="275">
        <f>ROUND(AA73,0)</f>
        <v>44830</v>
      </c>
      <c r="P758" s="275">
        <f>IF(AA76&gt;0,ROUND(AA76,0),0)</f>
        <v>344</v>
      </c>
      <c r="Q758" s="275">
        <f>IF(AA77&gt;0,ROUND(AA77,0),0)</f>
        <v>0</v>
      </c>
      <c r="R758" s="275">
        <f>IF(AA78&gt;0,ROUND(AA78,0),0)</f>
        <v>69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263945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172*2021*7170*A</v>
      </c>
      <c r="B759" s="275"/>
      <c r="C759" s="277">
        <f>ROUND(AB60,2)</f>
        <v>6.35</v>
      </c>
      <c r="D759" s="275">
        <f>ROUND(AB61,0)</f>
        <v>745687</v>
      </c>
      <c r="E759" s="275">
        <f>ROUND(AB62,0)</f>
        <v>192857</v>
      </c>
      <c r="F759" s="275">
        <f>ROUND(AB63,0)</f>
        <v>67256</v>
      </c>
      <c r="G759" s="275">
        <f>ROUND(AB64,0)</f>
        <v>3065714</v>
      </c>
      <c r="H759" s="275">
        <f>ROUND(AB65,0)</f>
        <v>22493</v>
      </c>
      <c r="I759" s="275">
        <f>ROUND(AB66,0)</f>
        <v>28442</v>
      </c>
      <c r="J759" s="275">
        <f>ROUND(AB67,0)</f>
        <v>20256</v>
      </c>
      <c r="K759" s="275">
        <f>ROUND(AB68,0)</f>
        <v>136626</v>
      </c>
      <c r="L759" s="275">
        <f>ROUND(AB69,0)</f>
        <v>7110</v>
      </c>
      <c r="M759" s="275">
        <f>ROUND(AB70,0)</f>
        <v>16492</v>
      </c>
      <c r="N759" s="275">
        <f>ROUND(AB75,0)</f>
        <v>17747791</v>
      </c>
      <c r="O759" s="275">
        <f>ROUND(AB73,0)</f>
        <v>3633965</v>
      </c>
      <c r="P759" s="275">
        <f>IF(AB76&gt;0,ROUND(AB76,0),0)</f>
        <v>980</v>
      </c>
      <c r="Q759" s="275">
        <f>IF(AB77&gt;0,ROUND(AB77,0),0)</f>
        <v>0</v>
      </c>
      <c r="R759" s="275">
        <f>IF(AB78&gt;0,ROUND(AB78,0),0)</f>
        <v>177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1443635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172*2021*7180*A</v>
      </c>
      <c r="B760" s="275">
        <f>ROUND(AC59,0)</f>
        <v>12709</v>
      </c>
      <c r="C760" s="277">
        <f>ROUND(AC60,2)</f>
        <v>10.68</v>
      </c>
      <c r="D760" s="275">
        <f>ROUND(AC61,0)</f>
        <v>910530</v>
      </c>
      <c r="E760" s="275">
        <f>ROUND(AC62,0)</f>
        <v>235491</v>
      </c>
      <c r="F760" s="275">
        <f>ROUND(AC63,0)</f>
        <v>17637</v>
      </c>
      <c r="G760" s="275">
        <f>ROUND(AC64,0)</f>
        <v>43976</v>
      </c>
      <c r="H760" s="275">
        <f>ROUND(AC65,0)</f>
        <v>480</v>
      </c>
      <c r="I760" s="275">
        <f>ROUND(AC66,0)</f>
        <v>13171</v>
      </c>
      <c r="J760" s="275">
        <f>ROUND(AC67,0)</f>
        <v>26891</v>
      </c>
      <c r="K760" s="275">
        <f>ROUND(AC68,0)</f>
        <v>466</v>
      </c>
      <c r="L760" s="275">
        <f>ROUND(AC69,0)</f>
        <v>1265</v>
      </c>
      <c r="M760" s="275">
        <f>ROUND(AC70,0)</f>
        <v>0</v>
      </c>
      <c r="N760" s="275">
        <f>ROUND(AC75,0)</f>
        <v>3754701</v>
      </c>
      <c r="O760" s="275">
        <f>ROUND(AC73,0)</f>
        <v>1245756</v>
      </c>
      <c r="P760" s="275">
        <f>IF(AC76&gt;0,ROUND(AC76,0),0)</f>
        <v>1301</v>
      </c>
      <c r="Q760" s="275">
        <f>IF(AC77&gt;0,ROUND(AC77,0),0)</f>
        <v>0</v>
      </c>
      <c r="R760" s="275">
        <f>IF(AC78&gt;0,ROUND(AC78,0),0)</f>
        <v>279</v>
      </c>
      <c r="S760" s="275">
        <f>IF(AC79&gt;0,ROUND(AC79,0),0)</f>
        <v>15776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371702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172*2021*7190*A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172*2021*7200*A</v>
      </c>
      <c r="B762" s="275">
        <f>ROUND(AE59,0)</f>
        <v>36568</v>
      </c>
      <c r="C762" s="277">
        <f>ROUND(AE60,2)</f>
        <v>40.58</v>
      </c>
      <c r="D762" s="275">
        <f>ROUND(AE61,0)</f>
        <v>3273301</v>
      </c>
      <c r="E762" s="275">
        <f>ROUND(AE62,0)</f>
        <v>846575</v>
      </c>
      <c r="F762" s="275">
        <f>ROUND(AE63,0)</f>
        <v>18088</v>
      </c>
      <c r="G762" s="275">
        <f>ROUND(AE64,0)</f>
        <v>86491</v>
      </c>
      <c r="H762" s="275">
        <f>ROUND(AE65,0)</f>
        <v>30901</v>
      </c>
      <c r="I762" s="275">
        <f>ROUND(AE66,0)</f>
        <v>86792</v>
      </c>
      <c r="J762" s="275">
        <f>ROUND(AE67,0)</f>
        <v>289538</v>
      </c>
      <c r="K762" s="275">
        <f>ROUND(AE68,0)</f>
        <v>17281</v>
      </c>
      <c r="L762" s="275">
        <f>ROUND(AE69,0)</f>
        <v>33848</v>
      </c>
      <c r="M762" s="275">
        <f>ROUND(AE70,0)</f>
        <v>44852</v>
      </c>
      <c r="N762" s="275">
        <f>ROUND(AE75,0)</f>
        <v>5888525</v>
      </c>
      <c r="O762" s="275">
        <f>ROUND(AE73,0)</f>
        <v>369093</v>
      </c>
      <c r="P762" s="275">
        <f>IF(AE76&gt;0,ROUND(AE76,0),0)</f>
        <v>14008</v>
      </c>
      <c r="Q762" s="275">
        <f>IF(AE77&gt;0,ROUND(AE77,0),0)</f>
        <v>0</v>
      </c>
      <c r="R762" s="275">
        <f>IF(AE78&gt;0,ROUND(AE78,0),0)</f>
        <v>2445</v>
      </c>
      <c r="S762" s="275">
        <f>IF(AE79&gt;0,ROUND(AE79,0),0)</f>
        <v>70131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1297982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172*2021*7220*A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172*2021*7230*A</v>
      </c>
      <c r="B764" s="275">
        <f>ROUND(AG59,0)</f>
        <v>12676</v>
      </c>
      <c r="C764" s="277">
        <f>ROUND(AG60,2)</f>
        <v>29.07</v>
      </c>
      <c r="D764" s="275">
        <f>ROUND(AG61,0)</f>
        <v>4985107</v>
      </c>
      <c r="E764" s="275">
        <f>ROUND(AG62,0)</f>
        <v>1289300</v>
      </c>
      <c r="F764" s="275">
        <f>ROUND(AG63,0)</f>
        <v>111985</v>
      </c>
      <c r="G764" s="275">
        <f>ROUND(AG64,0)</f>
        <v>187895</v>
      </c>
      <c r="H764" s="275">
        <f>ROUND(AG65,0)</f>
        <v>1706</v>
      </c>
      <c r="I764" s="275">
        <f>ROUND(AG66,0)</f>
        <v>78213</v>
      </c>
      <c r="J764" s="275">
        <f>ROUND(AG67,0)</f>
        <v>123624</v>
      </c>
      <c r="K764" s="275">
        <f>ROUND(AG68,0)</f>
        <v>29932</v>
      </c>
      <c r="L764" s="275">
        <f>ROUND(AG69,0)</f>
        <v>63781</v>
      </c>
      <c r="M764" s="275">
        <f>ROUND(AG70,0)</f>
        <v>2000</v>
      </c>
      <c r="N764" s="275">
        <f>ROUND(AG75,0)</f>
        <v>15837960</v>
      </c>
      <c r="O764" s="275">
        <f>ROUND(AG73,0)</f>
        <v>238905</v>
      </c>
      <c r="P764" s="275">
        <f>IF(AG76&gt;0,ROUND(AG76,0),0)</f>
        <v>5981</v>
      </c>
      <c r="Q764" s="275">
        <f>IF(AG77&gt;0,ROUND(AG77,0),0)</f>
        <v>1727</v>
      </c>
      <c r="R764" s="275">
        <f>IF(AG78&gt;0,ROUND(AG78,0),0)</f>
        <v>2445</v>
      </c>
      <c r="S764" s="275">
        <f>IF(AG79&gt;0,ROUND(AG79,0),0)</f>
        <v>56794</v>
      </c>
      <c r="T764" s="277">
        <f>IF(AG80&gt;0,ROUND(AG80,2),0)</f>
        <v>14.17</v>
      </c>
      <c r="U764" s="275"/>
      <c r="V764" s="276"/>
      <c r="W764" s="275"/>
      <c r="X764" s="275"/>
      <c r="Y764" s="275">
        <f t="shared" si="21"/>
        <v>2053937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172*2021*7240*A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172*2021*7250*A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172*2021*7260*A</v>
      </c>
      <c r="B767" s="275">
        <f>ROUND(AJ59,0)</f>
        <v>405</v>
      </c>
      <c r="C767" s="277">
        <f>ROUND(AJ60,2)</f>
        <v>0.7</v>
      </c>
      <c r="D767" s="275">
        <f>ROUND(AJ61,0)</f>
        <v>74181</v>
      </c>
      <c r="E767" s="275">
        <f>ROUND(AJ62,0)</f>
        <v>19185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450</v>
      </c>
      <c r="M767" s="275">
        <f>ROUND(AJ70,0)</f>
        <v>0</v>
      </c>
      <c r="N767" s="275">
        <f>ROUND(AJ75,0)</f>
        <v>136568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226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28633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172*2021*7310*A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172*2021*7320*A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172*2021*7330*A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172*2021*7340*A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172*2021*7350*A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172*2021*7380*A</v>
      </c>
      <c r="B773" s="275">
        <f>ROUND(AP59,0)</f>
        <v>0</v>
      </c>
      <c r="C773" s="277">
        <f>ROUND(AP60,2)</f>
        <v>0</v>
      </c>
      <c r="D773" s="275">
        <f>ROUND(AP61,0)</f>
        <v>61820</v>
      </c>
      <c r="E773" s="275">
        <f>ROUND(AP62,0)</f>
        <v>15989</v>
      </c>
      <c r="F773" s="275">
        <f>ROUND(AP63,0)</f>
        <v>680526</v>
      </c>
      <c r="G773" s="275">
        <f>ROUND(AP64,0)</f>
        <v>156124</v>
      </c>
      <c r="H773" s="275">
        <f>ROUND(AP65,0)</f>
        <v>2825</v>
      </c>
      <c r="I773" s="275">
        <f>ROUND(AP66,0)</f>
        <v>15170</v>
      </c>
      <c r="J773" s="275">
        <f>ROUND(AP67,0)</f>
        <v>54361</v>
      </c>
      <c r="K773" s="275">
        <f>ROUND(AP68,0)</f>
        <v>31391</v>
      </c>
      <c r="L773" s="275">
        <f>ROUND(AP69,0)</f>
        <v>138413</v>
      </c>
      <c r="M773" s="275">
        <f>ROUND(AP70,0)</f>
        <v>0</v>
      </c>
      <c r="N773" s="275">
        <f>ROUND(AP75,0)</f>
        <v>329416</v>
      </c>
      <c r="O773" s="275">
        <f>ROUND(AP73,0)</f>
        <v>0</v>
      </c>
      <c r="P773" s="275">
        <f>IF(AP76&gt;0,ROUND(AP76,0),0)</f>
        <v>2630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164579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172*2021*7390*A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172*2021*7400*A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172*2021*7410*A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172*2021*7420*A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172*2021*7430*A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172*2021*7490*A</v>
      </c>
      <c r="B779" s="275"/>
      <c r="C779" s="277">
        <f>ROUND(AV60,2)</f>
        <v>2.02</v>
      </c>
      <c r="D779" s="275">
        <f>ROUND(AV61,0)</f>
        <v>178198</v>
      </c>
      <c r="E779" s="275">
        <f>ROUND(AV62,0)</f>
        <v>46087</v>
      </c>
      <c r="F779" s="275">
        <f>ROUND(AV63,0)</f>
        <v>8828</v>
      </c>
      <c r="G779" s="275">
        <f>ROUND(AV64,0)</f>
        <v>6356</v>
      </c>
      <c r="H779" s="275">
        <f>ROUND(AV65,0)</f>
        <v>0</v>
      </c>
      <c r="I779" s="275">
        <f>ROUND(AV66,0)</f>
        <v>1194</v>
      </c>
      <c r="J779" s="275">
        <f>ROUND(AV67,0)</f>
        <v>9839</v>
      </c>
      <c r="K779" s="275">
        <f>ROUND(AV68,0)</f>
        <v>0</v>
      </c>
      <c r="L779" s="275">
        <f>ROUND(AV69,0)</f>
        <v>8206</v>
      </c>
      <c r="M779" s="275">
        <f>ROUND(AV70,0)</f>
        <v>234096</v>
      </c>
      <c r="N779" s="275">
        <f>ROUND(AV75,0)</f>
        <v>0</v>
      </c>
      <c r="O779" s="275">
        <f>ROUND(AV73,0)</f>
        <v>0</v>
      </c>
      <c r="P779" s="275">
        <f>IF(AV76&gt;0,ROUND(AV76,0),0)</f>
        <v>476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20116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172*2021*8200*A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172*2021*8310*A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172*2021*8320*A</v>
      </c>
      <c r="B782" s="275">
        <f>ROUND(AY59,0)</f>
        <v>22460</v>
      </c>
      <c r="C782" s="277">
        <f>ROUND(AY60,2)</f>
        <v>17.27</v>
      </c>
      <c r="D782" s="275">
        <f>ROUND(AY61,0)</f>
        <v>808317</v>
      </c>
      <c r="E782" s="275">
        <f>ROUND(AY62,0)</f>
        <v>209055</v>
      </c>
      <c r="F782" s="275">
        <f>ROUND(AY63,0)</f>
        <v>4249</v>
      </c>
      <c r="G782" s="275">
        <f>ROUND(AY64,0)</f>
        <v>424736</v>
      </c>
      <c r="H782" s="275">
        <f>ROUND(AY65,0)</f>
        <v>0</v>
      </c>
      <c r="I782" s="275">
        <f>ROUND(AY66,0)</f>
        <v>10549</v>
      </c>
      <c r="J782" s="275">
        <f>ROUND(AY67,0)</f>
        <v>94170</v>
      </c>
      <c r="K782" s="275">
        <f>ROUND(AY68,0)</f>
        <v>2264</v>
      </c>
      <c r="L782" s="275">
        <f>ROUND(AY69,0)</f>
        <v>3722</v>
      </c>
      <c r="M782" s="275">
        <f>ROUND(AY70,0)</f>
        <v>0</v>
      </c>
      <c r="N782" s="275"/>
      <c r="O782" s="275"/>
      <c r="P782" s="275">
        <f>IF(AY76&gt;0,ROUND(AY76,0),0)</f>
        <v>4556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172*2021*8330*A</v>
      </c>
      <c r="B783" s="275">
        <f>ROUND(AZ59,0)</f>
        <v>50279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317597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172*2021*8350*A</v>
      </c>
      <c r="B784" s="275">
        <f>ROUND(BA59,0)</f>
        <v>0</v>
      </c>
      <c r="C784" s="277">
        <f>ROUND(BA60,2)</f>
        <v>1</v>
      </c>
      <c r="D784" s="275">
        <f>ROUND(BA61,0)</f>
        <v>39863</v>
      </c>
      <c r="E784" s="275">
        <f>ROUND(BA62,0)</f>
        <v>10310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205655</v>
      </c>
      <c r="J784" s="275">
        <f>ROUND(BA67,0)</f>
        <v>26664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1290</v>
      </c>
      <c r="Q784" s="275">
        <f>IF(BA77&gt;0,ROUND(BA77,0),0)</f>
        <v>0</v>
      </c>
      <c r="R784" s="275">
        <f>IF(BA78&gt;0,ROUND(BA78,0),0)</f>
        <v>292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172*2021*8360*A</v>
      </c>
      <c r="B785" s="275"/>
      <c r="C785" s="277">
        <f>ROUND(BB60,2)</f>
        <v>6.02</v>
      </c>
      <c r="D785" s="275">
        <f>ROUND(BB61,0)</f>
        <v>477459</v>
      </c>
      <c r="E785" s="275">
        <f>ROUND(BB62,0)</f>
        <v>123485</v>
      </c>
      <c r="F785" s="275">
        <f>ROUND(BB63,0)</f>
        <v>11596</v>
      </c>
      <c r="G785" s="275">
        <f>ROUND(BB64,0)</f>
        <v>2493</v>
      </c>
      <c r="H785" s="275">
        <f>ROUND(BB65,0)</f>
        <v>3015</v>
      </c>
      <c r="I785" s="275">
        <f>ROUND(BB66,0)</f>
        <v>14918</v>
      </c>
      <c r="J785" s="275">
        <f>ROUND(BB67,0)</f>
        <v>8723</v>
      </c>
      <c r="K785" s="275">
        <f>ROUND(BB68,0)</f>
        <v>1861</v>
      </c>
      <c r="L785" s="275">
        <f>ROUND(BB69,0)</f>
        <v>4421</v>
      </c>
      <c r="M785" s="275">
        <f>ROUND(BB70,0)</f>
        <v>16720</v>
      </c>
      <c r="N785" s="275"/>
      <c r="O785" s="275"/>
      <c r="P785" s="275">
        <f>IF(BB76&gt;0,ROUND(BB76,0),0)</f>
        <v>422</v>
      </c>
      <c r="Q785" s="275">
        <f>IF(BB77&gt;0,ROUND(BB77,0),0)</f>
        <v>0</v>
      </c>
      <c r="R785" s="275">
        <f>IF(BB78&gt;0,ROUND(BB78,0),0)</f>
        <v>34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172*2021*8370*A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172*2021*8420*A</v>
      </c>
      <c r="B787" s="275"/>
      <c r="C787" s="277">
        <f>ROUND(BD60,2)</f>
        <v>6.01</v>
      </c>
      <c r="D787" s="275">
        <f>ROUND(BD61,0)</f>
        <v>416878</v>
      </c>
      <c r="E787" s="275">
        <f>ROUND(BD62,0)</f>
        <v>107817</v>
      </c>
      <c r="F787" s="275">
        <f>ROUND(BD63,0)</f>
        <v>0</v>
      </c>
      <c r="G787" s="275">
        <f>ROUND(BD64,0)</f>
        <v>17270</v>
      </c>
      <c r="H787" s="275">
        <f>ROUND(BD65,0)</f>
        <v>1210</v>
      </c>
      <c r="I787" s="275">
        <f>ROUND(BD66,0)</f>
        <v>5587</v>
      </c>
      <c r="J787" s="275">
        <f>ROUND(BD67,0)</f>
        <v>58970</v>
      </c>
      <c r="K787" s="275">
        <f>ROUND(BD68,0)</f>
        <v>7414</v>
      </c>
      <c r="L787" s="275">
        <f>ROUND(BD69,0)</f>
        <v>3397</v>
      </c>
      <c r="M787" s="275">
        <f>ROUND(BD70,0)</f>
        <v>0</v>
      </c>
      <c r="N787" s="275"/>
      <c r="O787" s="275"/>
      <c r="P787" s="275">
        <f>IF(BD76&gt;0,ROUND(BD76,0),0)</f>
        <v>2853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172*2021*8430*A</v>
      </c>
      <c r="B788" s="275">
        <f>ROUND(BE59,0)</f>
        <v>127457</v>
      </c>
      <c r="C788" s="277">
        <f>ROUND(BE60,2)</f>
        <v>7.48</v>
      </c>
      <c r="D788" s="275">
        <f>ROUND(BE61,0)</f>
        <v>560260</v>
      </c>
      <c r="E788" s="275">
        <f>ROUND(BE62,0)</f>
        <v>144900</v>
      </c>
      <c r="F788" s="275">
        <f>ROUND(BE63,0)</f>
        <v>47075</v>
      </c>
      <c r="G788" s="275">
        <f>ROUND(BE64,0)</f>
        <v>8722</v>
      </c>
      <c r="H788" s="275">
        <f>ROUND(BE65,0)</f>
        <v>521796</v>
      </c>
      <c r="I788" s="275">
        <f>ROUND(BE66,0)</f>
        <v>167977</v>
      </c>
      <c r="J788" s="275">
        <f>ROUND(BE67,0)</f>
        <v>225256</v>
      </c>
      <c r="K788" s="275">
        <f>ROUND(BE68,0)</f>
        <v>7762</v>
      </c>
      <c r="L788" s="275">
        <f>ROUND(BE69,0)</f>
        <v>936</v>
      </c>
      <c r="M788" s="275">
        <f>ROUND(BE70,0)</f>
        <v>0</v>
      </c>
      <c r="N788" s="275"/>
      <c r="O788" s="275"/>
      <c r="P788" s="275">
        <f>IF(BE76&gt;0,ROUND(BE76,0),0)</f>
        <v>10898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172*2021*8460*A</v>
      </c>
      <c r="B789" s="275"/>
      <c r="C789" s="277">
        <f>ROUND(BF60,2)</f>
        <v>13.06</v>
      </c>
      <c r="D789" s="275">
        <f>ROUND(BF61,0)</f>
        <v>563544</v>
      </c>
      <c r="E789" s="275">
        <f>ROUND(BF62,0)</f>
        <v>145750</v>
      </c>
      <c r="F789" s="275">
        <f>ROUND(BF63,0)</f>
        <v>4900</v>
      </c>
      <c r="G789" s="275">
        <f>ROUND(BF64,0)</f>
        <v>58108</v>
      </c>
      <c r="H789" s="275">
        <f>ROUND(BF65,0)</f>
        <v>56514</v>
      </c>
      <c r="I789" s="275">
        <f>ROUND(BF66,0)</f>
        <v>1306</v>
      </c>
      <c r="J789" s="275">
        <f>ROUND(BF67,0)</f>
        <v>91897</v>
      </c>
      <c r="K789" s="275">
        <f>ROUND(BF68,0)</f>
        <v>103</v>
      </c>
      <c r="L789" s="275">
        <f>ROUND(BF69,0)</f>
        <v>452</v>
      </c>
      <c r="M789" s="275">
        <f>ROUND(BF70,0)</f>
        <v>0</v>
      </c>
      <c r="N789" s="275"/>
      <c r="O789" s="275"/>
      <c r="P789" s="275">
        <f>IF(BF76&gt;0,ROUND(BF76,0),0)</f>
        <v>4446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172*2021*8470*A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172*2021*8480*A</v>
      </c>
      <c r="B791" s="275"/>
      <c r="C791" s="277">
        <f>ROUND(BH60,2)</f>
        <v>5.79</v>
      </c>
      <c r="D791" s="275">
        <f>ROUND(BH61,0)</f>
        <v>619016</v>
      </c>
      <c r="E791" s="275">
        <f>ROUND(BH62,0)</f>
        <v>160096</v>
      </c>
      <c r="F791" s="275">
        <f>ROUND(BH63,0)</f>
        <v>0</v>
      </c>
      <c r="G791" s="275">
        <f>ROUND(BH64,0)</f>
        <v>2667</v>
      </c>
      <c r="H791" s="275">
        <f>ROUND(BH65,0)</f>
        <v>137162</v>
      </c>
      <c r="I791" s="275">
        <f>ROUND(BH66,0)</f>
        <v>1123110</v>
      </c>
      <c r="J791" s="275">
        <f>ROUND(BH67,0)</f>
        <v>21724</v>
      </c>
      <c r="K791" s="275">
        <f>ROUND(BH68,0)</f>
        <v>0</v>
      </c>
      <c r="L791" s="275">
        <f>ROUND(BH69,0)</f>
        <v>3946</v>
      </c>
      <c r="M791" s="275">
        <f>ROUND(BH70,0)</f>
        <v>15540</v>
      </c>
      <c r="N791" s="275"/>
      <c r="O791" s="275"/>
      <c r="P791" s="275">
        <f>IF(BH76&gt;0,ROUND(BH76,0),0)</f>
        <v>1051</v>
      </c>
      <c r="Q791" s="275">
        <f>IF(BH77&gt;0,ROUND(BH77,0),0)</f>
        <v>0</v>
      </c>
      <c r="R791" s="275">
        <f>IF(BH78&gt;0,ROUND(BH78,0),0)</f>
        <v>272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172*2021*8490*A</v>
      </c>
      <c r="B792" s="275"/>
      <c r="C792" s="277">
        <f>ROUND(BI60,2)</f>
        <v>3.12</v>
      </c>
      <c r="D792" s="275">
        <f>ROUND(BI61,0)</f>
        <v>372380</v>
      </c>
      <c r="E792" s="275">
        <f>ROUND(BI62,0)</f>
        <v>96309</v>
      </c>
      <c r="F792" s="275">
        <f>ROUND(BI63,0)</f>
        <v>41375</v>
      </c>
      <c r="G792" s="275">
        <f>ROUND(BI64,0)</f>
        <v>9325</v>
      </c>
      <c r="H792" s="275">
        <f>ROUND(BI65,0)</f>
        <v>4671</v>
      </c>
      <c r="I792" s="275">
        <f>ROUND(BI66,0)</f>
        <v>122212</v>
      </c>
      <c r="J792" s="275">
        <f>ROUND(BI67,0)</f>
        <v>0</v>
      </c>
      <c r="K792" s="275">
        <f>ROUND(BI68,0)</f>
        <v>42655</v>
      </c>
      <c r="L792" s="275">
        <f>ROUND(BI69,0)</f>
        <v>150910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172*2021*8510*A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172*2021*8530*A</v>
      </c>
      <c r="B794" s="275"/>
      <c r="C794" s="277">
        <f>ROUND(BK60,2)</f>
        <v>11.04</v>
      </c>
      <c r="D794" s="275">
        <f>ROUND(BK61,0)</f>
        <v>668635</v>
      </c>
      <c r="E794" s="275">
        <f>ROUND(BK62,0)</f>
        <v>172929</v>
      </c>
      <c r="F794" s="275">
        <f>ROUND(BK63,0)</f>
        <v>214888</v>
      </c>
      <c r="G794" s="275">
        <f>ROUND(BK64,0)</f>
        <v>21607</v>
      </c>
      <c r="H794" s="275">
        <f>ROUND(BK65,0)</f>
        <v>3126</v>
      </c>
      <c r="I794" s="275">
        <f>ROUND(BK66,0)</f>
        <v>363042</v>
      </c>
      <c r="J794" s="275">
        <f>ROUND(BK67,0)</f>
        <v>0</v>
      </c>
      <c r="K794" s="275">
        <f>ROUND(BK68,0)</f>
        <v>56032</v>
      </c>
      <c r="L794" s="275">
        <f>ROUND(BK69,0)</f>
        <v>7013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172*2021*8560*A</v>
      </c>
      <c r="B795" s="275"/>
      <c r="C795" s="277">
        <f>ROUND(BL60,2)</f>
        <v>11.09</v>
      </c>
      <c r="D795" s="275">
        <f>ROUND(BL61,0)</f>
        <v>501890</v>
      </c>
      <c r="E795" s="275">
        <f>ROUND(BL62,0)</f>
        <v>129804</v>
      </c>
      <c r="F795" s="275">
        <f>ROUND(BL63,0)</f>
        <v>0</v>
      </c>
      <c r="G795" s="275">
        <f>ROUND(BL64,0)</f>
        <v>11081</v>
      </c>
      <c r="H795" s="275">
        <f>ROUND(BL65,0)</f>
        <v>480</v>
      </c>
      <c r="I795" s="275">
        <f>ROUND(BL66,0)</f>
        <v>159</v>
      </c>
      <c r="J795" s="275">
        <f>ROUND(BL67,0)</f>
        <v>21331</v>
      </c>
      <c r="K795" s="275">
        <f>ROUND(BL68,0)</f>
        <v>3709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1032</v>
      </c>
      <c r="Q795" s="275">
        <f>IF(BL77&gt;0,ROUND(BL77,0),0)</f>
        <v>0</v>
      </c>
      <c r="R795" s="275">
        <f>IF(BL78&gt;0,ROUND(BL78,0),0)</f>
        <v>195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172*2021*8590*A</v>
      </c>
      <c r="B796" s="275"/>
      <c r="C796" s="277">
        <f>ROUND(BM60,2)</f>
        <v>4.1399999999999997</v>
      </c>
      <c r="D796" s="275">
        <f>ROUND(BM61,0)</f>
        <v>349762</v>
      </c>
      <c r="E796" s="275">
        <f>ROUND(BM62,0)</f>
        <v>90459</v>
      </c>
      <c r="F796" s="275">
        <f>ROUND(BM63,0)</f>
        <v>94062</v>
      </c>
      <c r="G796" s="275">
        <f>ROUND(BM64,0)</f>
        <v>6468</v>
      </c>
      <c r="H796" s="275">
        <f>ROUND(BM65,0)</f>
        <v>0</v>
      </c>
      <c r="I796" s="275">
        <f>ROUND(BM66,0)</f>
        <v>30697</v>
      </c>
      <c r="J796" s="275">
        <f>ROUND(BM67,0)</f>
        <v>0</v>
      </c>
      <c r="K796" s="275">
        <f>ROUND(BM68,0)</f>
        <v>11706</v>
      </c>
      <c r="L796" s="275">
        <f>ROUND(BM69,0)</f>
        <v>88656</v>
      </c>
      <c r="M796" s="275">
        <f>ROUND(BM70,0)</f>
        <v>1817390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62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172*2021*8610*A</v>
      </c>
      <c r="B797" s="275"/>
      <c r="C797" s="277">
        <f>ROUND(BN60,2)</f>
        <v>4</v>
      </c>
      <c r="D797" s="275">
        <f>ROUND(BN61,0)</f>
        <v>648584</v>
      </c>
      <c r="E797" s="275">
        <f>ROUND(BN62,0)</f>
        <v>167744</v>
      </c>
      <c r="F797" s="275">
        <f>ROUND(BN63,0)</f>
        <v>167901</v>
      </c>
      <c r="G797" s="275">
        <f>ROUND(BN64,0)</f>
        <v>11664</v>
      </c>
      <c r="H797" s="275">
        <f>ROUND(BN65,0)</f>
        <v>960</v>
      </c>
      <c r="I797" s="275">
        <f>ROUND(BN66,0)</f>
        <v>33982</v>
      </c>
      <c r="J797" s="275">
        <f>ROUND(BN67,0)</f>
        <v>44150</v>
      </c>
      <c r="K797" s="275">
        <f>ROUND(BN68,0)</f>
        <v>29104</v>
      </c>
      <c r="L797" s="275">
        <f>ROUND(BN69,0)</f>
        <v>227579</v>
      </c>
      <c r="M797" s="275">
        <f>ROUND(BN70,0)</f>
        <v>50000</v>
      </c>
      <c r="N797" s="275"/>
      <c r="O797" s="275"/>
      <c r="P797" s="275">
        <f>IF(BN76&gt;0,ROUND(BN76,0),0)</f>
        <v>2136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172*2021*8620*A</v>
      </c>
      <c r="B798" s="275"/>
      <c r="C798" s="277">
        <f>ROUND(BO60,2)</f>
        <v>1.79</v>
      </c>
      <c r="D798" s="275">
        <f>ROUND(BO61,0)</f>
        <v>93031</v>
      </c>
      <c r="E798" s="275">
        <f>ROUND(BO62,0)</f>
        <v>24061</v>
      </c>
      <c r="F798" s="275">
        <f>ROUND(BO63,0)</f>
        <v>0</v>
      </c>
      <c r="G798" s="275">
        <f>ROUND(BO64,0)</f>
        <v>358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386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172*2021*8630*A</v>
      </c>
      <c r="B799" s="275"/>
      <c r="C799" s="277">
        <f>ROUND(BP60,2)</f>
        <v>5.32</v>
      </c>
      <c r="D799" s="275">
        <f>ROUND(BP61,0)</f>
        <v>308682</v>
      </c>
      <c r="E799" s="275">
        <f>ROUND(BP62,0)</f>
        <v>79835</v>
      </c>
      <c r="F799" s="275">
        <f>ROUND(BP63,0)</f>
        <v>409197</v>
      </c>
      <c r="G799" s="275">
        <f>ROUND(BP64,0)</f>
        <v>1804</v>
      </c>
      <c r="H799" s="275">
        <f>ROUND(BP65,0)</f>
        <v>40</v>
      </c>
      <c r="I799" s="275">
        <f>ROUND(BP66,0)</f>
        <v>46109</v>
      </c>
      <c r="J799" s="275">
        <f>ROUND(BP67,0)</f>
        <v>0</v>
      </c>
      <c r="K799" s="275">
        <f>ROUND(BP68,0)</f>
        <v>0</v>
      </c>
      <c r="L799" s="275">
        <f>ROUND(BP69,0)</f>
        <v>5893</v>
      </c>
      <c r="M799" s="275">
        <f>ROUND(BP70,0)</f>
        <v>15000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172*2021*8640*A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172*2021*8650*A</v>
      </c>
      <c r="B801" s="275"/>
      <c r="C801" s="277">
        <f>ROUND(BR60,2)</f>
        <v>5.91</v>
      </c>
      <c r="D801" s="275">
        <f>ROUND(BR61,0)</f>
        <v>558007</v>
      </c>
      <c r="E801" s="275">
        <f>ROUND(BR62,0)</f>
        <v>144318</v>
      </c>
      <c r="F801" s="275">
        <f>ROUND(BR63,0)</f>
        <v>72971</v>
      </c>
      <c r="G801" s="275">
        <f>ROUND(BR64,0)</f>
        <v>7011</v>
      </c>
      <c r="H801" s="275">
        <f>ROUND(BR65,0)</f>
        <v>0</v>
      </c>
      <c r="I801" s="275">
        <f>ROUND(BR66,0)</f>
        <v>90627</v>
      </c>
      <c r="J801" s="275">
        <f>ROUND(BR67,0)</f>
        <v>0</v>
      </c>
      <c r="K801" s="275">
        <f>ROUND(BR68,0)</f>
        <v>11706</v>
      </c>
      <c r="L801" s="275">
        <f>ROUND(BR69,0)</f>
        <v>58864</v>
      </c>
      <c r="M801" s="275">
        <f>ROUND(BR70,0)</f>
        <v>35300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172*2021*8660*A</v>
      </c>
      <c r="B802" s="275"/>
      <c r="C802" s="277">
        <f>ROUND(BS60,2)</f>
        <v>0</v>
      </c>
      <c r="D802" s="275">
        <f>ROUND(BS61,0)</f>
        <v>64053</v>
      </c>
      <c r="E802" s="275">
        <f>ROUND(BS62,0)</f>
        <v>16566</v>
      </c>
      <c r="F802" s="275">
        <f>ROUND(BS63,0)</f>
        <v>0</v>
      </c>
      <c r="G802" s="275">
        <f>ROUND(BS64,0)</f>
        <v>745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3234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172*2021*8670*A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172*2021*8680*A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172*2021*8690*A</v>
      </c>
      <c r="B805" s="275"/>
      <c r="C805" s="277">
        <f>ROUND(BV60,2)</f>
        <v>3.91</v>
      </c>
      <c r="D805" s="275">
        <f>ROUND(BV61,0)</f>
        <v>269476</v>
      </c>
      <c r="E805" s="275">
        <f>ROUND(BV62,0)</f>
        <v>69695</v>
      </c>
      <c r="F805" s="275">
        <f>ROUND(BV63,0)</f>
        <v>241945</v>
      </c>
      <c r="G805" s="275">
        <f>ROUND(BV64,0)</f>
        <v>5418</v>
      </c>
      <c r="H805" s="275">
        <f>ROUND(BV65,0)</f>
        <v>0</v>
      </c>
      <c r="I805" s="275">
        <f>ROUND(BV66,0)</f>
        <v>42710</v>
      </c>
      <c r="J805" s="275">
        <f>ROUND(BV67,0)</f>
        <v>13518</v>
      </c>
      <c r="K805" s="275">
        <f>ROUND(BV68,0)</f>
        <v>7566</v>
      </c>
      <c r="L805" s="275">
        <f>ROUND(BV69,0)</f>
        <v>390</v>
      </c>
      <c r="M805" s="275">
        <f>ROUND(BV70,0)</f>
        <v>8399</v>
      </c>
      <c r="N805" s="275"/>
      <c r="O805" s="275"/>
      <c r="P805" s="275">
        <f>IF(BV76&gt;0,ROUND(BV76,0),0)</f>
        <v>654</v>
      </c>
      <c r="Q805" s="275">
        <f>IF(BV77&gt;0,ROUND(BV77,0),0)</f>
        <v>0</v>
      </c>
      <c r="R805" s="275">
        <f>IF(BV78&gt;0,ROUND(BV78,0),0)</f>
        <v>305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172*2021*8700*A</v>
      </c>
      <c r="B806" s="275"/>
      <c r="C806" s="277">
        <f>ROUND(BW60,2)</f>
        <v>3.07</v>
      </c>
      <c r="D806" s="275">
        <f>ROUND(BW61,0)</f>
        <v>657415</v>
      </c>
      <c r="E806" s="275">
        <f>ROUND(BW62,0)</f>
        <v>170028</v>
      </c>
      <c r="F806" s="275">
        <f>ROUND(BW63,0)</f>
        <v>1324053</v>
      </c>
      <c r="G806" s="275">
        <f>ROUND(BW64,0)</f>
        <v>9965</v>
      </c>
      <c r="H806" s="275">
        <f>ROUND(BW65,0)</f>
        <v>680</v>
      </c>
      <c r="I806" s="275">
        <f>ROUND(BW66,0)</f>
        <v>23052</v>
      </c>
      <c r="J806" s="275">
        <f>ROUND(BW67,0)</f>
        <v>4857</v>
      </c>
      <c r="K806" s="275">
        <f>ROUND(BW68,0)</f>
        <v>0</v>
      </c>
      <c r="L806" s="275">
        <f>ROUND(BW69,0)</f>
        <v>17950</v>
      </c>
      <c r="M806" s="275">
        <f>ROUND(BW70,0)</f>
        <v>247674</v>
      </c>
      <c r="N806" s="275"/>
      <c r="O806" s="275"/>
      <c r="P806" s="275">
        <f>IF(BW76&gt;0,ROUND(BW76,0),0)</f>
        <v>235</v>
      </c>
      <c r="Q806" s="275">
        <f>IF(BW77&gt;0,ROUND(BW77,0),0)</f>
        <v>0</v>
      </c>
      <c r="R806" s="275">
        <f>IF(BW78&gt;0,ROUND(BW78,0),0)</f>
        <v>34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172*2021*8710*A</v>
      </c>
      <c r="B807" s="275"/>
      <c r="C807" s="277">
        <f>ROUND(BX60,2)</f>
        <v>2.0299999999999998</v>
      </c>
      <c r="D807" s="275">
        <f>ROUND(BX61,0)</f>
        <v>172193</v>
      </c>
      <c r="E807" s="275">
        <f>ROUND(BX62,0)</f>
        <v>44534</v>
      </c>
      <c r="F807" s="275">
        <f>ROUND(BX63,0)</f>
        <v>72100</v>
      </c>
      <c r="G807" s="275">
        <f>ROUND(BX64,0)</f>
        <v>551</v>
      </c>
      <c r="H807" s="275">
        <f>ROUND(BX65,0)</f>
        <v>480</v>
      </c>
      <c r="I807" s="275">
        <f>ROUND(BX66,0)</f>
        <v>47861</v>
      </c>
      <c r="J807" s="275">
        <f>ROUND(BX67,0)</f>
        <v>3100</v>
      </c>
      <c r="K807" s="275">
        <f>ROUND(BX68,0)</f>
        <v>0</v>
      </c>
      <c r="L807" s="275">
        <f>ROUND(BX69,0)</f>
        <v>7753</v>
      </c>
      <c r="M807" s="275">
        <f>ROUND(BX70,0)</f>
        <v>0</v>
      </c>
      <c r="N807" s="275"/>
      <c r="O807" s="275"/>
      <c r="P807" s="275">
        <f>IF(BX76&gt;0,ROUND(BX76,0),0)</f>
        <v>150</v>
      </c>
      <c r="Q807" s="275">
        <f>IF(BX77&gt;0,ROUND(BX77,0),0)</f>
        <v>0</v>
      </c>
      <c r="R807" s="275">
        <f>IF(BX78&gt;0,ROUND(BX78,0),0)</f>
        <v>34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172*2021*8720*A</v>
      </c>
      <c r="B808" s="275"/>
      <c r="C808" s="277">
        <f>ROUND(BY60,2)</f>
        <v>6.6</v>
      </c>
      <c r="D808" s="275">
        <f>ROUND(BY61,0)</f>
        <v>897531</v>
      </c>
      <c r="E808" s="275">
        <f>ROUND(BY62,0)</f>
        <v>232129</v>
      </c>
      <c r="F808" s="275">
        <f>ROUND(BY63,0)</f>
        <v>2250</v>
      </c>
      <c r="G808" s="275">
        <f>ROUND(BY64,0)</f>
        <v>3387</v>
      </c>
      <c r="H808" s="275">
        <f>ROUND(BY65,0)</f>
        <v>1051</v>
      </c>
      <c r="I808" s="275">
        <f>ROUND(BY66,0)</f>
        <v>0</v>
      </c>
      <c r="J808" s="275">
        <f>ROUND(BY67,0)</f>
        <v>2790</v>
      </c>
      <c r="K808" s="275">
        <f>ROUND(BY68,0)</f>
        <v>0</v>
      </c>
      <c r="L808" s="275">
        <f>ROUND(BY69,0)</f>
        <v>8825</v>
      </c>
      <c r="M808" s="275">
        <f>ROUND(BY70,0)</f>
        <v>30078</v>
      </c>
      <c r="N808" s="275"/>
      <c r="O808" s="275"/>
      <c r="P808" s="275">
        <f>IF(BY76&gt;0,ROUND(BY76,0),0)</f>
        <v>135</v>
      </c>
      <c r="Q808" s="275">
        <f>IF(BY77&gt;0,ROUND(BY77,0),0)</f>
        <v>0</v>
      </c>
      <c r="R808" s="275">
        <f>IF(BY78&gt;0,ROUND(BY78,0),0)</f>
        <v>34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172*2021*8730*A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172*2021*8740*A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172*2021*8770*A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172*2021*8790*A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558180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27005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172*2021*9000*A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1562769</v>
      </c>
      <c r="V813" s="276">
        <f>ROUND(CD70,0)</f>
        <v>111256</v>
      </c>
      <c r="W813" s="275">
        <f>ROUND(CE72,0)</f>
        <v>1226000</v>
      </c>
      <c r="X813" s="275">
        <f>ROUND(C131,0)</f>
        <v>84602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355.73000000000008</v>
      </c>
      <c r="D815" s="276">
        <f t="shared" si="22"/>
        <v>33345089</v>
      </c>
      <c r="E815" s="276">
        <f t="shared" si="22"/>
        <v>8624054</v>
      </c>
      <c r="F815" s="276">
        <f t="shared" si="22"/>
        <v>5764981</v>
      </c>
      <c r="G815" s="276">
        <f t="shared" si="22"/>
        <v>12049959</v>
      </c>
      <c r="H815" s="276">
        <f t="shared" si="22"/>
        <v>793670</v>
      </c>
      <c r="I815" s="276">
        <f t="shared" si="22"/>
        <v>4065224</v>
      </c>
      <c r="J815" s="276">
        <f t="shared" si="22"/>
        <v>2634469</v>
      </c>
      <c r="K815" s="276">
        <f t="shared" si="22"/>
        <v>701344</v>
      </c>
      <c r="L815" s="276">
        <f>SUM(L734:L813)+SUM(U734:U813)</f>
        <v>2577623</v>
      </c>
      <c r="M815" s="276">
        <f>SUM(M734:M813)+SUM(V734:V813)</f>
        <v>2989976</v>
      </c>
      <c r="N815" s="276">
        <f t="shared" ref="N815:Y815" si="23">SUM(N734:N813)</f>
        <v>151339499</v>
      </c>
      <c r="O815" s="276">
        <f t="shared" si="23"/>
        <v>28326030</v>
      </c>
      <c r="P815" s="276">
        <f t="shared" si="23"/>
        <v>127457</v>
      </c>
      <c r="Q815" s="276">
        <f t="shared" si="23"/>
        <v>22460</v>
      </c>
      <c r="R815" s="276">
        <f t="shared" si="23"/>
        <v>17800</v>
      </c>
      <c r="S815" s="276">
        <f t="shared" si="23"/>
        <v>363567</v>
      </c>
      <c r="T815" s="280">
        <f t="shared" si="23"/>
        <v>79.08</v>
      </c>
      <c r="U815" s="276">
        <f t="shared" si="23"/>
        <v>1562769</v>
      </c>
      <c r="V815" s="276">
        <f t="shared" si="23"/>
        <v>111256</v>
      </c>
      <c r="W815" s="276">
        <f t="shared" si="23"/>
        <v>1226000</v>
      </c>
      <c r="X815" s="276">
        <f t="shared" si="23"/>
        <v>84602</v>
      </c>
      <c r="Y815" s="276">
        <f t="shared" si="23"/>
        <v>18608833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355.73000000000008</v>
      </c>
      <c r="D816" s="276">
        <f>CE61</f>
        <v>33345089</v>
      </c>
      <c r="E816" s="276">
        <f>CE62</f>
        <v>8624054</v>
      </c>
      <c r="F816" s="276">
        <f>CE63</f>
        <v>5764981</v>
      </c>
      <c r="G816" s="276">
        <f>CE64</f>
        <v>12049959</v>
      </c>
      <c r="H816" s="279">
        <f>CE65</f>
        <v>793670</v>
      </c>
      <c r="I816" s="279">
        <f>CE66</f>
        <v>4065224</v>
      </c>
      <c r="J816" s="279">
        <f>CE67</f>
        <v>2634469</v>
      </c>
      <c r="K816" s="279">
        <f>CE68</f>
        <v>701344</v>
      </c>
      <c r="L816" s="279">
        <f>CE69</f>
        <v>2577623</v>
      </c>
      <c r="M816" s="279">
        <f>CE70</f>
        <v>2989976</v>
      </c>
      <c r="N816" s="276">
        <f>CE75</f>
        <v>151339499</v>
      </c>
      <c r="O816" s="276">
        <f>CE73</f>
        <v>28326030</v>
      </c>
      <c r="P816" s="276">
        <f>CE76</f>
        <v>127457</v>
      </c>
      <c r="Q816" s="276">
        <f>CE77</f>
        <v>22460</v>
      </c>
      <c r="R816" s="276">
        <f>CE78</f>
        <v>17800</v>
      </c>
      <c r="S816" s="276">
        <f>CE79</f>
        <v>363567</v>
      </c>
      <c r="T816" s="280">
        <f>CE80</f>
        <v>79.08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18608834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33345089</v>
      </c>
      <c r="E817" s="180">
        <f>C379</f>
        <v>8624055</v>
      </c>
      <c r="F817" s="180">
        <f>C380</f>
        <v>5764981</v>
      </c>
      <c r="G817" s="239">
        <f>C381</f>
        <v>12049959</v>
      </c>
      <c r="H817" s="239">
        <f>C382</f>
        <v>793670</v>
      </c>
      <c r="I817" s="239">
        <f>C383</f>
        <v>4065224</v>
      </c>
      <c r="J817" s="239">
        <f>C384</f>
        <v>2634471</v>
      </c>
      <c r="K817" s="239">
        <f>C385</f>
        <v>701344</v>
      </c>
      <c r="L817" s="239">
        <f>C386+C387+C388+C389</f>
        <v>2577623</v>
      </c>
      <c r="M817" s="239">
        <f>C370</f>
        <v>2989976</v>
      </c>
      <c r="N817" s="180">
        <f>D361</f>
        <v>151339498</v>
      </c>
      <c r="O817" s="180">
        <f>C359</f>
        <v>28326030</v>
      </c>
    </row>
  </sheetData>
  <sheetProtection algorithmName="SHA-512" hashValue="7mv5KJ2Z8FYXBi7Nhkh0cI9GDI1S/vkVJ6pU9FcENMieAHMPzrWn/5rW8tGVklA7e/LsF+uZiELRWvBlvO+sgA==" saltValue="qjvgrQIBpHtyPUZJbA1ZIQ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63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3" transitionEvaluation="1" transitionEntry="1" codeName="Sheet10">
    <pageSetUpPr autoPageBreaks="0" fitToPage="1"/>
  </sheetPr>
  <dimension ref="A1:CL816"/>
  <sheetViews>
    <sheetView showGridLines="0" topLeftCell="A53" zoomScale="75" workbookViewId="0">
      <pane xSplit="5220" ySplit="1400" topLeftCell="AJ59" activePane="bottomRight"/>
      <selection activeCell="A53" sqref="A53"/>
      <selection pane="topRight" activeCell="C53" sqref="C53"/>
      <selection pane="bottomLeft" activeCell="A59" sqref="A59"/>
      <selection pane="bottomRight" activeCell="AY76" sqref="AY7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">
      <c r="A3" s="199"/>
      <c r="C3" s="234"/>
    </row>
    <row r="4" spans="1:6" ht="12.75" customHeight="1" x14ac:dyDescent="0.3">
      <c r="C4" s="234"/>
    </row>
    <row r="5" spans="1:6" ht="12.75" customHeight="1" x14ac:dyDescent="0.3">
      <c r="A5" s="199" t="s">
        <v>1258</v>
      </c>
      <c r="C5" s="234"/>
    </row>
    <row r="6" spans="1:6" ht="12.75" customHeight="1" x14ac:dyDescent="0.3">
      <c r="A6" s="199" t="s">
        <v>0</v>
      </c>
      <c r="C6" s="234"/>
    </row>
    <row r="7" spans="1:6" ht="12.75" customHeight="1" x14ac:dyDescent="0.3">
      <c r="A7" s="199" t="s">
        <v>1</v>
      </c>
      <c r="C7" s="234"/>
    </row>
    <row r="8" spans="1:6" ht="12.75" customHeight="1" x14ac:dyDescent="0.3">
      <c r="C8" s="234"/>
    </row>
    <row r="9" spans="1:6" ht="12.75" customHeight="1" x14ac:dyDescent="0.3">
      <c r="C9" s="234"/>
    </row>
    <row r="10" spans="1:6" ht="12.75" customHeight="1" x14ac:dyDescent="0.3">
      <c r="A10" s="198" t="s">
        <v>1228</v>
      </c>
      <c r="C10" s="234"/>
    </row>
    <row r="11" spans="1:6" ht="12.75" customHeight="1" x14ac:dyDescent="0.3">
      <c r="A11" s="198" t="s">
        <v>1230</v>
      </c>
      <c r="C11" s="234"/>
    </row>
    <row r="12" spans="1:6" ht="12.75" customHeight="1" x14ac:dyDescent="0.3">
      <c r="C12" s="234"/>
    </row>
    <row r="13" spans="1:6" ht="12.75" customHeight="1" x14ac:dyDescent="0.3">
      <c r="C13" s="234"/>
    </row>
    <row r="14" spans="1:6" ht="12.75" customHeight="1" x14ac:dyDescent="0.3">
      <c r="A14" s="199" t="s">
        <v>2</v>
      </c>
      <c r="C14" s="234"/>
    </row>
    <row r="15" spans="1:6" ht="12.75" customHeight="1" x14ac:dyDescent="0.3">
      <c r="A15" s="199"/>
      <c r="C15" s="234"/>
    </row>
    <row r="16" spans="1:6" ht="12.75" customHeight="1" x14ac:dyDescent="0.3">
      <c r="A16" s="292" t="s">
        <v>1265</v>
      </c>
      <c r="C16" s="234"/>
    </row>
    <row r="17" spans="1:7" ht="12.75" customHeight="1" x14ac:dyDescent="0.3">
      <c r="A17" s="292" t="s">
        <v>1264</v>
      </c>
      <c r="C17" s="287"/>
      <c r="F17" s="235"/>
    </row>
    <row r="18" spans="1:7" ht="12.75" customHeight="1" x14ac:dyDescent="0.3">
      <c r="A18" s="290"/>
      <c r="C18" s="234"/>
    </row>
    <row r="19" spans="1:7" ht="12.75" customHeight="1" x14ac:dyDescent="0.3">
      <c r="C19" s="234"/>
    </row>
    <row r="20" spans="1:7" ht="12.75" customHeight="1" x14ac:dyDescent="0.3">
      <c r="A20" s="272" t="s">
        <v>1233</v>
      </c>
      <c r="B20" s="272"/>
      <c r="C20" s="288"/>
      <c r="D20" s="272"/>
      <c r="E20" s="272"/>
      <c r="F20" s="272"/>
      <c r="G20" s="272"/>
    </row>
    <row r="21" spans="1:7" ht="22.5" customHeight="1" x14ac:dyDescent="0.3">
      <c r="A21" s="199"/>
      <c r="C21" s="234"/>
    </row>
    <row r="22" spans="1:7" ht="12.65" customHeight="1" x14ac:dyDescent="0.3">
      <c r="A22" s="272" t="s">
        <v>1253</v>
      </c>
      <c r="B22" s="291"/>
      <c r="C22" s="288"/>
      <c r="D22" s="272"/>
      <c r="E22" s="272"/>
      <c r="F22" s="272"/>
    </row>
    <row r="23" spans="1:7" ht="12.65" customHeight="1" x14ac:dyDescent="0.3">
      <c r="B23" s="199"/>
      <c r="C23" s="234"/>
    </row>
    <row r="24" spans="1:7" ht="12.65" customHeight="1" x14ac:dyDescent="0.3">
      <c r="A24" s="239" t="s">
        <v>3</v>
      </c>
      <c r="C24" s="234"/>
    </row>
    <row r="25" spans="1:7" ht="12.65" customHeight="1" x14ac:dyDescent="0.3">
      <c r="A25" s="198" t="s">
        <v>1234</v>
      </c>
      <c r="C25" s="234"/>
    </row>
    <row r="26" spans="1:7" ht="12.65" customHeight="1" x14ac:dyDescent="0.3">
      <c r="A26" s="199" t="s">
        <v>4</v>
      </c>
      <c r="C26" s="234"/>
    </row>
    <row r="27" spans="1:7" ht="12.65" customHeight="1" x14ac:dyDescent="0.3">
      <c r="A27" s="198" t="s">
        <v>1235</v>
      </c>
      <c r="C27" s="234"/>
    </row>
    <row r="28" spans="1:7" ht="12.65" customHeight="1" x14ac:dyDescent="0.3">
      <c r="A28" s="199" t="s">
        <v>5</v>
      </c>
      <c r="C28" s="234"/>
    </row>
    <row r="29" spans="1:7" ht="12.65" customHeight="1" x14ac:dyDescent="0.3">
      <c r="A29" s="198"/>
      <c r="C29" s="234"/>
    </row>
    <row r="30" spans="1:7" ht="12.65" customHeight="1" x14ac:dyDescent="0.3">
      <c r="A30" s="180" t="s">
        <v>6</v>
      </c>
      <c r="C30" s="234"/>
    </row>
    <row r="31" spans="1:7" ht="12.65" customHeight="1" x14ac:dyDescent="0.3">
      <c r="A31" s="199" t="s">
        <v>7</v>
      </c>
      <c r="C31" s="234"/>
    </row>
    <row r="32" spans="1:7" ht="12.65" customHeight="1" x14ac:dyDescent="0.3">
      <c r="A32" s="199" t="s">
        <v>8</v>
      </c>
      <c r="C32" s="234"/>
    </row>
    <row r="33" spans="1:90" ht="12.65" customHeight="1" x14ac:dyDescent="0.3">
      <c r="A33" s="198" t="s">
        <v>1236</v>
      </c>
      <c r="C33" s="234"/>
    </row>
    <row r="34" spans="1:90" ht="12.65" customHeight="1" x14ac:dyDescent="0.3">
      <c r="A34" s="199" t="s">
        <v>9</v>
      </c>
      <c r="C34" s="234"/>
    </row>
    <row r="35" spans="1:90" ht="12.65" customHeight="1" x14ac:dyDescent="0.3">
      <c r="A35" s="199"/>
      <c r="C35" s="234"/>
    </row>
    <row r="36" spans="1:90" ht="12.65" customHeight="1" x14ac:dyDescent="0.3">
      <c r="A36" s="198" t="s">
        <v>1237</v>
      </c>
      <c r="C36" s="234"/>
    </row>
    <row r="37" spans="1:90" ht="12.65" customHeight="1" x14ac:dyDescent="0.3">
      <c r="A37" s="199" t="s">
        <v>1229</v>
      </c>
      <c r="C37" s="234"/>
    </row>
    <row r="38" spans="1:90" ht="12" customHeight="1" x14ac:dyDescent="0.3">
      <c r="A38" s="198"/>
      <c r="C38" s="234"/>
    </row>
    <row r="39" spans="1:90" ht="12.65" customHeight="1" x14ac:dyDescent="0.3">
      <c r="A39" s="199"/>
      <c r="C39" s="234"/>
    </row>
    <row r="40" spans="1:90" ht="12" customHeight="1" x14ac:dyDescent="0.3">
      <c r="A40" s="199"/>
      <c r="C40" s="234"/>
    </row>
    <row r="41" spans="1:90" ht="12" customHeight="1" x14ac:dyDescent="0.3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90" ht="12" customHeight="1" x14ac:dyDescent="0.3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90" ht="12" customHeight="1" x14ac:dyDescent="0.3">
      <c r="A43" s="199"/>
      <c r="C43" s="234"/>
      <c r="F43" s="181"/>
    </row>
    <row r="44" spans="1:90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  <c r="CG44" s="2"/>
      <c r="CH44" s="2"/>
      <c r="CI44" s="2"/>
      <c r="CJ44" s="2"/>
      <c r="CK44" s="2"/>
      <c r="CL44" s="2"/>
    </row>
    <row r="45" spans="1:90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  <c r="CG45" s="2"/>
      <c r="CH45" s="2"/>
      <c r="CI45" s="2"/>
      <c r="CJ45" s="2"/>
      <c r="CK45" s="2"/>
      <c r="CL45" s="2"/>
    </row>
    <row r="46" spans="1:90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  <c r="CG46" s="2"/>
      <c r="CH46" s="2"/>
      <c r="CI46" s="2"/>
      <c r="CJ46" s="2"/>
      <c r="CK46" s="2"/>
      <c r="CL46" s="2"/>
    </row>
    <row r="47" spans="1:90" ht="12.65" customHeight="1" x14ac:dyDescent="0.3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  <c r="CG47" s="2"/>
      <c r="CH47" s="2"/>
      <c r="CI47" s="2"/>
      <c r="CJ47" s="2"/>
      <c r="CK47" s="2"/>
      <c r="CL47" s="2"/>
    </row>
    <row r="48" spans="1:90" ht="12.65" customHeight="1" x14ac:dyDescent="0.3">
      <c r="A48" s="295" t="s">
        <v>205</v>
      </c>
      <c r="B48" s="299">
        <v>7580580</v>
      </c>
      <c r="C48" s="301">
        <f>ROUND(((B48/CE61)*C61),0)</f>
        <v>291012</v>
      </c>
      <c r="D48" s="301">
        <f>ROUND(((B48/CE61)*D61),0)</f>
        <v>0</v>
      </c>
      <c r="E48" s="295">
        <f>ROUND(((B48/CE61)*E61),0)</f>
        <v>744183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451868</v>
      </c>
      <c r="P48" s="295">
        <f>ROUND(((B48/CE61)*P61),0)</f>
        <v>949026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235035</v>
      </c>
      <c r="V48" s="295">
        <f>ROUND(((B48/CE61)*V61),0)</f>
        <v>0</v>
      </c>
      <c r="W48" s="295">
        <f>ROUND(((B48/CE61)*W61),0)</f>
        <v>73890</v>
      </c>
      <c r="X48" s="295">
        <f>ROUND(((B48/CE61)*X61),0)</f>
        <v>15283</v>
      </c>
      <c r="Y48" s="295">
        <f>ROUND(((B48/CE61)*Y61),0)</f>
        <v>410327</v>
      </c>
      <c r="Z48" s="295">
        <f>ROUND(((B48/CE61)*Z61),0)</f>
        <v>0</v>
      </c>
      <c r="AA48" s="295">
        <f>ROUND(((B48/CE61)*AA61),0)</f>
        <v>54204</v>
      </c>
      <c r="AB48" s="295">
        <f>ROUND(((B48/CE61)*AB61),0)</f>
        <v>169445</v>
      </c>
      <c r="AC48" s="295">
        <f>ROUND(((B48/CE61)*AC61),0)</f>
        <v>193284</v>
      </c>
      <c r="AD48" s="295">
        <f>ROUND(((B48/CE61)*AD61),0)</f>
        <v>0</v>
      </c>
      <c r="AE48" s="295">
        <f>ROUND(((B48/CE61)*AE61),0)</f>
        <v>726553</v>
      </c>
      <c r="AF48" s="295">
        <f>ROUND(((B48/CE61)*AF61),0)</f>
        <v>0</v>
      </c>
      <c r="AG48" s="295">
        <f>ROUND(((B48/CE61)*AG61),0)</f>
        <v>1115362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15138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40669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196801</v>
      </c>
      <c r="AZ48" s="295">
        <f>ROUND(((B48/CE61)*AZ61),0)</f>
        <v>0</v>
      </c>
      <c r="BA48" s="295">
        <f>ROUND(((B48/CE61)*BA61),0)</f>
        <v>8868</v>
      </c>
      <c r="BB48" s="295">
        <f>ROUND(((B48/CE61)*BB61),0)</f>
        <v>117052</v>
      </c>
      <c r="BC48" s="295">
        <f>ROUND(((B48/CE61)*BC61),0)</f>
        <v>0</v>
      </c>
      <c r="BD48" s="295">
        <f>ROUND(((B48/CE61)*BD61),0)</f>
        <v>102190</v>
      </c>
      <c r="BE48" s="295">
        <f>ROUND(((B48/CE61)*BE61),0)</f>
        <v>120489</v>
      </c>
      <c r="BF48" s="295">
        <f>ROUND(((B48/CE61)*BF61),0)</f>
        <v>134971</v>
      </c>
      <c r="BG48" s="295">
        <f>ROUND(((B48/CE61)*BG61),0)</f>
        <v>0</v>
      </c>
      <c r="BH48" s="295">
        <f>ROUND(((B48/CE61)*BH61),0)</f>
        <v>139777</v>
      </c>
      <c r="BI48" s="295">
        <f>ROUND(((B48/CE61)*BI61),0)</f>
        <v>110214</v>
      </c>
      <c r="BJ48" s="295">
        <f>ROUND(((B48/CE61)*BJ61),0)</f>
        <v>0</v>
      </c>
      <c r="BK48" s="295">
        <f>ROUND(((B48/CE61)*BK61),0)</f>
        <v>163235</v>
      </c>
      <c r="BL48" s="295">
        <f>ROUND(((B48/CE61)*BL61),0)</f>
        <v>108621</v>
      </c>
      <c r="BM48" s="295">
        <f>ROUND(((B48/CE61)*BM61),0)</f>
        <v>76687</v>
      </c>
      <c r="BN48" s="295">
        <f>ROUND(((B48/CE61)*BN61),0)</f>
        <v>151774</v>
      </c>
      <c r="BO48" s="295">
        <f>ROUND(((B48/CE61)*BO61),0)</f>
        <v>19291</v>
      </c>
      <c r="BP48" s="295">
        <f>ROUND(((B48/CE61)*BP61),0)</f>
        <v>63832</v>
      </c>
      <c r="BQ48" s="295">
        <f>ROUND(((B48/CE61)*BQ61),0)</f>
        <v>0</v>
      </c>
      <c r="BR48" s="295">
        <f>ROUND(((B48/CE61)*BR61),0)</f>
        <v>123454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58547</v>
      </c>
      <c r="BW48" s="295">
        <f>ROUND(((B48/CE61)*BW61),0)</f>
        <v>141938</v>
      </c>
      <c r="BX48" s="295">
        <f>ROUND(((B48/CE61)*BX61),0)</f>
        <v>50388</v>
      </c>
      <c r="BY48" s="295">
        <f>ROUND(((B48/CE61)*BY61),0)</f>
        <v>207170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7580578</v>
      </c>
      <c r="CF48" s="2"/>
      <c r="CG48" s="2"/>
      <c r="CH48" s="2"/>
      <c r="CI48" s="2"/>
      <c r="CJ48" s="2"/>
      <c r="CK48" s="2"/>
      <c r="CL48" s="2"/>
    </row>
    <row r="49" spans="1:90" ht="12.65" customHeight="1" x14ac:dyDescent="0.3">
      <c r="A49" s="295" t="s">
        <v>206</v>
      </c>
      <c r="B49" s="295">
        <f>B47+B48</f>
        <v>7580580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  <c r="CG49" s="2"/>
      <c r="CH49" s="2"/>
      <c r="CI49" s="2"/>
      <c r="CJ49" s="2"/>
      <c r="CK49" s="2"/>
      <c r="CL49" s="2"/>
    </row>
    <row r="50" spans="1:90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  <c r="CG50" s="2"/>
      <c r="CH50" s="2"/>
      <c r="CI50" s="2"/>
      <c r="CJ50" s="2"/>
      <c r="CK50" s="2"/>
      <c r="CL50" s="2"/>
    </row>
    <row r="51" spans="1:90" ht="12.65" customHeight="1" x14ac:dyDescent="0.3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  <c r="CG51" s="2"/>
      <c r="CH51" s="2"/>
      <c r="CI51" s="2"/>
      <c r="CJ51" s="2"/>
      <c r="CK51" s="2"/>
      <c r="CL51" s="2"/>
    </row>
    <row r="52" spans="1:90" ht="12.65" customHeight="1" x14ac:dyDescent="0.3">
      <c r="A52" s="302" t="s">
        <v>208</v>
      </c>
      <c r="B52" s="300">
        <v>2786234</v>
      </c>
      <c r="C52" s="295">
        <f>ROUND((B52/(CE76+CF76)*C76),0)</f>
        <v>41752</v>
      </c>
      <c r="D52" s="295">
        <f>ROUND((B52/(CE76+CF76)*D76),0)</f>
        <v>0</v>
      </c>
      <c r="E52" s="295">
        <f>ROUND((B52/(CE76+CF76)*E76),0)</f>
        <v>224797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191655</v>
      </c>
      <c r="P52" s="295">
        <f>ROUND((B52/(CE76+CF76)*P76),0)</f>
        <v>372919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33304</v>
      </c>
      <c r="T52" s="295">
        <f>ROUND((B52/(CE76+CF76)*T76),0)</f>
        <v>0</v>
      </c>
      <c r="U52" s="295">
        <f>ROUND((B52/(CE76+CF76)*U76),0)</f>
        <v>45362</v>
      </c>
      <c r="V52" s="295">
        <f>ROUND((B52/(CE76+CF76)*V76),0)</f>
        <v>7151</v>
      </c>
      <c r="W52" s="295">
        <f>ROUND((B52/(CE76+CF76)*W76),0)</f>
        <v>11665</v>
      </c>
      <c r="X52" s="295">
        <f>ROUND((B52/(CE76+CF76)*X76),0)</f>
        <v>12081</v>
      </c>
      <c r="Y52" s="295">
        <f>ROUND((B52/(CE76+CF76)*Y76),0)</f>
        <v>104935</v>
      </c>
      <c r="Z52" s="295">
        <f>ROUND((B52/(CE76+CF76)*Z76),0)</f>
        <v>0</v>
      </c>
      <c r="AA52" s="295">
        <f>ROUND((B52/(CE76+CF76)*AA76),0)</f>
        <v>7059</v>
      </c>
      <c r="AB52" s="295">
        <f>ROUND((B52/(CE76+CF76)*AB76),0)</f>
        <v>18145</v>
      </c>
      <c r="AC52" s="295">
        <f>ROUND((B52/(CE76+CF76)*AC76),0)</f>
        <v>28629</v>
      </c>
      <c r="AD52" s="295">
        <f>ROUND((B52/(CE76+CF76)*AD76),0)</f>
        <v>0</v>
      </c>
      <c r="AE52" s="295">
        <f>ROUND((B52/(CE76+CF76)*AE76),0)</f>
        <v>202186</v>
      </c>
      <c r="AF52" s="295">
        <f>ROUND((B52/(CE76+CF76)*AF76),0)</f>
        <v>0</v>
      </c>
      <c r="AG52" s="295">
        <f>ROUND((B52/(CE76+CF76)*AG76),0)</f>
        <v>148422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23144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110304</v>
      </c>
      <c r="AZ52" s="295">
        <f>ROUND((B52/(CE76+CF76)*AZ76),0)</f>
        <v>0</v>
      </c>
      <c r="BA52" s="295">
        <f>ROUND((B52/(CE76+CF76)*BA76),0)</f>
        <v>29948</v>
      </c>
      <c r="BB52" s="295">
        <f>ROUND((B52/(CE76+CF76)*BB76),0)</f>
        <v>3472</v>
      </c>
      <c r="BC52" s="295">
        <f>ROUND((B52/(CE76+CF76)*BC76),0)</f>
        <v>0</v>
      </c>
      <c r="BD52" s="295">
        <f>ROUND((B52/(CE76+CF76)*BD76),0)</f>
        <v>65243</v>
      </c>
      <c r="BE52" s="295">
        <f>ROUND((B52/(CE76+CF76)*BE76),0)</f>
        <v>304366</v>
      </c>
      <c r="BF52" s="295">
        <f>ROUND((B52/(CE76+CF76)*BF76),0)</f>
        <v>8679</v>
      </c>
      <c r="BG52" s="295">
        <f>ROUND((B52/(CE76+CF76)*BG76),0)</f>
        <v>0</v>
      </c>
      <c r="BH52" s="295">
        <f>ROUND((B52/(CE76+CF76)*BH76),0)</f>
        <v>43210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20043</v>
      </c>
      <c r="BM52" s="295">
        <f>ROUND((B52/(CE76+CF76)*BM76),0)</f>
        <v>6365</v>
      </c>
      <c r="BN52" s="295">
        <f>ROUND((B52/(CE76+CF76)*BN76),0)</f>
        <v>82508</v>
      </c>
      <c r="BO52" s="295">
        <f>ROUND((B52/(CE76+CF76)*BO76),0)</f>
        <v>0</v>
      </c>
      <c r="BP52" s="295">
        <f>ROUND((B52/(CE76+CF76)*BP76),0)</f>
        <v>6365</v>
      </c>
      <c r="BQ52" s="295">
        <f>ROUND((B52/(CE76+CF76)*BQ76),0)</f>
        <v>0</v>
      </c>
      <c r="BR52" s="295">
        <f>ROUND((B52/(CE76+CF76)*BR76),0)</f>
        <v>6365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31314</v>
      </c>
      <c r="BW52" s="295">
        <f>ROUND((B52/(CE76+CF76)*BW76),0)</f>
        <v>3472</v>
      </c>
      <c r="BX52" s="295">
        <f>ROUND((B52/(CE76+CF76)*BX76),0)</f>
        <v>3472</v>
      </c>
      <c r="BY52" s="295">
        <f>ROUND((B52/(CE76+CF76)*BY76),0)</f>
        <v>3472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584432</v>
      </c>
      <c r="CD52" s="295"/>
      <c r="CE52" s="295">
        <f>SUM(C52:CD52)</f>
        <v>2786236</v>
      </c>
      <c r="CF52" s="2"/>
      <c r="CG52" s="2"/>
      <c r="CH52" s="2"/>
      <c r="CI52" s="2"/>
      <c r="CJ52" s="2"/>
      <c r="CK52" s="2"/>
      <c r="CL52" s="2"/>
    </row>
    <row r="53" spans="1:90" ht="12.65" customHeight="1" x14ac:dyDescent="0.3">
      <c r="A53" s="295" t="s">
        <v>206</v>
      </c>
      <c r="B53" s="295">
        <f>B51+B52</f>
        <v>2786234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  <c r="CG53" s="2"/>
      <c r="CH53" s="2"/>
      <c r="CI53" s="2"/>
      <c r="CJ53" s="2"/>
      <c r="CK53" s="2"/>
      <c r="CL53" s="2"/>
    </row>
    <row r="54" spans="1:90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  <c r="CG54" s="2"/>
      <c r="CH54" s="2"/>
      <c r="CI54" s="2"/>
      <c r="CJ54" s="2"/>
      <c r="CK54" s="2"/>
      <c r="CL54" s="2"/>
    </row>
    <row r="55" spans="1:90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  <c r="CG55" s="2"/>
      <c r="CH55" s="2"/>
      <c r="CI55" s="2"/>
      <c r="CJ55" s="2"/>
      <c r="CK55" s="2"/>
      <c r="CL55" s="2"/>
    </row>
    <row r="56" spans="1:90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  <c r="CG56" s="2"/>
      <c r="CH56" s="2"/>
      <c r="CI56" s="2"/>
      <c r="CJ56" s="2"/>
      <c r="CK56" s="2"/>
      <c r="CL56" s="2"/>
    </row>
    <row r="57" spans="1:90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  <c r="CG57" s="2"/>
      <c r="CH57" s="2"/>
      <c r="CI57" s="2"/>
      <c r="CJ57" s="2"/>
      <c r="CK57" s="2"/>
      <c r="CL57" s="2"/>
    </row>
    <row r="58" spans="1:90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  <c r="CG58" s="2"/>
      <c r="CH58" s="2"/>
      <c r="CI58" s="2"/>
      <c r="CJ58" s="2"/>
      <c r="CK58" s="2"/>
      <c r="CL58" s="2"/>
    </row>
    <row r="59" spans="1:90" ht="12.65" customHeight="1" x14ac:dyDescent="0.3">
      <c r="A59" s="302" t="s">
        <v>233</v>
      </c>
      <c r="B59" s="295"/>
      <c r="C59" s="300">
        <v>683</v>
      </c>
      <c r="D59" s="300"/>
      <c r="E59" s="300">
        <f>1444+845+97+5</f>
        <v>2391</v>
      </c>
      <c r="F59" s="300"/>
      <c r="G59" s="300"/>
      <c r="H59" s="300"/>
      <c r="I59" s="300"/>
      <c r="J59" s="300">
        <v>652</v>
      </c>
      <c r="K59" s="300"/>
      <c r="L59" s="300">
        <v>165</v>
      </c>
      <c r="M59" s="300"/>
      <c r="N59" s="300"/>
      <c r="O59" s="300">
        <v>354</v>
      </c>
      <c r="P59" s="185">
        <v>216756</v>
      </c>
      <c r="Q59" s="185">
        <v>99278</v>
      </c>
      <c r="R59" s="185">
        <f>2774*60</f>
        <v>166440</v>
      </c>
      <c r="S59" s="247"/>
      <c r="T59" s="247"/>
      <c r="U59" s="224">
        <v>110012</v>
      </c>
      <c r="V59" s="185">
        <v>3412</v>
      </c>
      <c r="W59" s="185">
        <v>2536</v>
      </c>
      <c r="X59" s="185">
        <v>4578</v>
      </c>
      <c r="Y59" s="185">
        <f>2702+5512+14358</f>
        <v>22572</v>
      </c>
      <c r="Z59" s="185"/>
      <c r="AA59" s="185">
        <v>863</v>
      </c>
      <c r="AB59" s="247"/>
      <c r="AC59" s="185">
        <f>12659+433+694</f>
        <v>13786</v>
      </c>
      <c r="AD59" s="185"/>
      <c r="AE59" s="185">
        <f>13231+11508+3691</f>
        <v>28430</v>
      </c>
      <c r="AF59" s="185"/>
      <c r="AG59" s="185">
        <v>11108</v>
      </c>
      <c r="AH59" s="185"/>
      <c r="AI59" s="185"/>
      <c r="AJ59" s="185">
        <v>354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20824.39</v>
      </c>
      <c r="AZ59" s="185">
        <f>12530.17+43461.02</f>
        <v>55991.189999999995</v>
      </c>
      <c r="BA59" s="247"/>
      <c r="BB59" s="247"/>
      <c r="BC59" s="247"/>
      <c r="BD59" s="247"/>
      <c r="BE59" s="185">
        <v>120387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305"/>
      <c r="CE59" s="295"/>
      <c r="CF59" s="2"/>
      <c r="CG59" s="2"/>
      <c r="CH59" s="2"/>
      <c r="CI59" s="2"/>
      <c r="CJ59" s="2"/>
      <c r="CK59" s="2"/>
      <c r="CL59" s="2"/>
    </row>
    <row r="60" spans="1:90" ht="12.65" customHeight="1" x14ac:dyDescent="0.3">
      <c r="A60" s="306" t="s">
        <v>234</v>
      </c>
      <c r="B60" s="295"/>
      <c r="C60" s="186">
        <v>13.07</v>
      </c>
      <c r="D60" s="187"/>
      <c r="E60" s="187">
        <f>5.93+20.59</f>
        <v>26.52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19.649999999999999</v>
      </c>
      <c r="P60" s="221">
        <f>22.17+22.33</f>
        <v>44.5</v>
      </c>
      <c r="Q60" s="221"/>
      <c r="R60" s="221"/>
      <c r="S60" s="221"/>
      <c r="T60" s="221"/>
      <c r="U60" s="221">
        <v>15.27</v>
      </c>
      <c r="V60" s="221"/>
      <c r="W60" s="221">
        <v>2.94</v>
      </c>
      <c r="X60" s="221">
        <v>0.84</v>
      </c>
      <c r="Y60" s="221">
        <f>13.7+1.81+5.23</f>
        <v>20.740000000000002</v>
      </c>
      <c r="Z60" s="221"/>
      <c r="AA60" s="221">
        <v>2</v>
      </c>
      <c r="AB60" s="221">
        <v>5.99</v>
      </c>
      <c r="AC60" s="221">
        <f>7.86+0.97+1.65</f>
        <v>10.48</v>
      </c>
      <c r="AD60" s="221"/>
      <c r="AE60" s="221">
        <f>30.17+4.07+3.49+0.95</f>
        <v>38.680000000000007</v>
      </c>
      <c r="AF60" s="221"/>
      <c r="AG60" s="221">
        <f>21.07+0.5+8.07</f>
        <v>29.64</v>
      </c>
      <c r="AH60" s="221"/>
      <c r="AI60" s="221"/>
      <c r="AJ60" s="221">
        <v>0.66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</v>
      </c>
      <c r="AW60" s="221"/>
      <c r="AX60" s="221"/>
      <c r="AY60" s="221">
        <f>15.12+3.14</f>
        <v>18.259999999999998</v>
      </c>
      <c r="AZ60" s="221"/>
      <c r="BA60" s="221">
        <v>0.81</v>
      </c>
      <c r="BB60" s="221">
        <f>1.58+4.56</f>
        <v>6.14</v>
      </c>
      <c r="BC60" s="221"/>
      <c r="BD60" s="221">
        <f>6.07</f>
        <v>6.07</v>
      </c>
      <c r="BE60" s="221">
        <v>6.63</v>
      </c>
      <c r="BF60" s="221">
        <v>12.66</v>
      </c>
      <c r="BG60" s="221"/>
      <c r="BH60" s="221">
        <f>5.43+2.58</f>
        <v>8.01</v>
      </c>
      <c r="BI60" s="221">
        <v>4.54</v>
      </c>
      <c r="BJ60" s="221"/>
      <c r="BK60" s="221">
        <f>9.72+3.33</f>
        <v>13.05</v>
      </c>
      <c r="BL60" s="221">
        <v>9.01</v>
      </c>
      <c r="BM60" s="221">
        <v>4.0999999999999996</v>
      </c>
      <c r="BN60" s="221">
        <f>3.97+0.5</f>
        <v>4.4700000000000006</v>
      </c>
      <c r="BO60" s="221">
        <v>1.1599999999999999</v>
      </c>
      <c r="BP60" s="221">
        <v>2.95</v>
      </c>
      <c r="BQ60" s="221"/>
      <c r="BR60" s="221">
        <f>4.72+1.51</f>
        <v>6.2299999999999995</v>
      </c>
      <c r="BS60" s="221"/>
      <c r="BT60" s="221"/>
      <c r="BU60" s="221"/>
      <c r="BV60" s="221">
        <v>3.38</v>
      </c>
      <c r="BW60" s="221">
        <f>1.58+1.83</f>
        <v>3.41</v>
      </c>
      <c r="BX60" s="221">
        <f>2.42+0.33</f>
        <v>2.75</v>
      </c>
      <c r="BY60" s="221">
        <v>5.19</v>
      </c>
      <c r="BZ60" s="221"/>
      <c r="CA60" s="221"/>
      <c r="CB60" s="221"/>
      <c r="CC60" s="221"/>
      <c r="CD60" s="305" t="s">
        <v>221</v>
      </c>
      <c r="CE60" s="307">
        <f t="shared" ref="CE60:CE70" si="0">SUM(C60:CD60)</f>
        <v>351.80000000000013</v>
      </c>
      <c r="CF60" s="2"/>
      <c r="CG60" s="2"/>
      <c r="CH60" s="2"/>
      <c r="CI60" s="2"/>
      <c r="CJ60" s="2"/>
      <c r="CK60" s="2"/>
      <c r="CL60" s="2"/>
    </row>
    <row r="61" spans="1:90" ht="12.65" customHeight="1" x14ac:dyDescent="0.3">
      <c r="A61" s="302" t="s">
        <v>235</v>
      </c>
      <c r="B61" s="295"/>
      <c r="C61" s="300">
        <v>1209996</v>
      </c>
      <c r="D61" s="300"/>
      <c r="E61" s="300">
        <f>1340834+1753399-3</f>
        <v>3094230</v>
      </c>
      <c r="F61" s="185"/>
      <c r="G61" s="300"/>
      <c r="H61" s="300"/>
      <c r="I61" s="185"/>
      <c r="J61" s="185"/>
      <c r="K61" s="185"/>
      <c r="L61" s="185"/>
      <c r="M61" s="300"/>
      <c r="N61" s="300"/>
      <c r="O61" s="300">
        <v>1878816</v>
      </c>
      <c r="P61" s="185">
        <f>1875893+2070049</f>
        <v>3945942</v>
      </c>
      <c r="Q61" s="185"/>
      <c r="R61" s="185"/>
      <c r="S61" s="185"/>
      <c r="T61" s="185"/>
      <c r="U61" s="185">
        <v>977248</v>
      </c>
      <c r="V61" s="185"/>
      <c r="W61" s="185">
        <v>307226</v>
      </c>
      <c r="X61" s="185">
        <v>63543</v>
      </c>
      <c r="Y61" s="185">
        <f>1041756+507995+156343</f>
        <v>1706094</v>
      </c>
      <c r="Z61" s="185"/>
      <c r="AA61" s="185">
        <v>225375</v>
      </c>
      <c r="AB61" s="185">
        <v>704535</v>
      </c>
      <c r="AC61" s="185">
        <f>640685+79141+83828</f>
        <v>803654</v>
      </c>
      <c r="AD61" s="185"/>
      <c r="AE61" s="185">
        <f>2441059+281710+195076+103083</f>
        <v>3020928</v>
      </c>
      <c r="AF61" s="185"/>
      <c r="AG61" s="185">
        <f>2067303+61445+2508802</f>
        <v>4637550</v>
      </c>
      <c r="AH61" s="185"/>
      <c r="AI61" s="185"/>
      <c r="AJ61" s="185">
        <v>62943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169098</f>
        <v>169098</v>
      </c>
      <c r="AW61" s="185"/>
      <c r="AX61" s="185"/>
      <c r="AY61" s="185">
        <f>602530+215746</f>
        <v>818276</v>
      </c>
      <c r="AZ61" s="185"/>
      <c r="BA61" s="185">
        <v>36874</v>
      </c>
      <c r="BB61" s="185">
        <f>372048+114640</f>
        <v>486688</v>
      </c>
      <c r="BC61" s="185"/>
      <c r="BD61" s="185">
        <v>424896</v>
      </c>
      <c r="BE61" s="185">
        <v>500981</v>
      </c>
      <c r="BF61" s="185">
        <v>561195</v>
      </c>
      <c r="BG61" s="185"/>
      <c r="BH61" s="185">
        <f>372028+209150</f>
        <v>581178</v>
      </c>
      <c r="BI61" s="185">
        <v>458257</v>
      </c>
      <c r="BJ61" s="185"/>
      <c r="BK61" s="185">
        <f>527224+151487</f>
        <v>678711</v>
      </c>
      <c r="BL61" s="185">
        <v>451635</v>
      </c>
      <c r="BM61" s="185">
        <v>318856</v>
      </c>
      <c r="BN61" s="185">
        <v>631058</v>
      </c>
      <c r="BO61" s="185">
        <v>80209</v>
      </c>
      <c r="BP61" s="185">
        <v>265408</v>
      </c>
      <c r="BQ61" s="185"/>
      <c r="BR61" s="185">
        <f>465529+47780</f>
        <v>513309</v>
      </c>
      <c r="BS61" s="185"/>
      <c r="BT61" s="185"/>
      <c r="BU61" s="185"/>
      <c r="BV61" s="185">
        <v>243433</v>
      </c>
      <c r="BW61" s="185">
        <f>74438+515725</f>
        <v>590163</v>
      </c>
      <c r="BX61" s="185">
        <v>209509</v>
      </c>
      <c r="BY61" s="185">
        <v>861389</v>
      </c>
      <c r="BZ61" s="185"/>
      <c r="CA61" s="185"/>
      <c r="CB61" s="185"/>
      <c r="CC61" s="185"/>
      <c r="CD61" s="305" t="s">
        <v>221</v>
      </c>
      <c r="CE61" s="295">
        <f t="shared" si="0"/>
        <v>31519203</v>
      </c>
      <c r="CF61" s="2"/>
      <c r="CG61" s="2"/>
      <c r="CH61" s="2"/>
      <c r="CI61" s="2"/>
      <c r="CJ61" s="2"/>
      <c r="CK61" s="2"/>
      <c r="CL61" s="2"/>
    </row>
    <row r="62" spans="1:90" ht="12.65" customHeight="1" x14ac:dyDescent="0.3">
      <c r="A62" s="302" t="s">
        <v>3</v>
      </c>
      <c r="B62" s="295"/>
      <c r="C62" s="295">
        <f t="shared" ref="C62:BN62" si="1">ROUND(C47+C48,0)</f>
        <v>291012</v>
      </c>
      <c r="D62" s="295">
        <f t="shared" si="1"/>
        <v>0</v>
      </c>
      <c r="E62" s="295">
        <f t="shared" si="1"/>
        <v>744183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451868</v>
      </c>
      <c r="P62" s="295">
        <f t="shared" si="1"/>
        <v>949026</v>
      </c>
      <c r="Q62" s="295">
        <f t="shared" si="1"/>
        <v>0</v>
      </c>
      <c r="R62" s="295">
        <f t="shared" si="1"/>
        <v>0</v>
      </c>
      <c r="S62" s="295">
        <f t="shared" si="1"/>
        <v>0</v>
      </c>
      <c r="T62" s="295">
        <f t="shared" si="1"/>
        <v>0</v>
      </c>
      <c r="U62" s="295">
        <f t="shared" si="1"/>
        <v>235035</v>
      </c>
      <c r="V62" s="295">
        <f t="shared" si="1"/>
        <v>0</v>
      </c>
      <c r="W62" s="295">
        <f t="shared" si="1"/>
        <v>73890</v>
      </c>
      <c r="X62" s="295">
        <f t="shared" si="1"/>
        <v>15283</v>
      </c>
      <c r="Y62" s="295">
        <f t="shared" si="1"/>
        <v>410327</v>
      </c>
      <c r="Z62" s="295">
        <f t="shared" si="1"/>
        <v>0</v>
      </c>
      <c r="AA62" s="295">
        <f t="shared" si="1"/>
        <v>54204</v>
      </c>
      <c r="AB62" s="295">
        <f t="shared" si="1"/>
        <v>169445</v>
      </c>
      <c r="AC62" s="295">
        <f t="shared" si="1"/>
        <v>193284</v>
      </c>
      <c r="AD62" s="295">
        <f t="shared" si="1"/>
        <v>0</v>
      </c>
      <c r="AE62" s="295">
        <f t="shared" si="1"/>
        <v>726553</v>
      </c>
      <c r="AF62" s="295">
        <f t="shared" si="1"/>
        <v>0</v>
      </c>
      <c r="AG62" s="295">
        <f t="shared" si="1"/>
        <v>1115362</v>
      </c>
      <c r="AH62" s="295">
        <f t="shared" si="1"/>
        <v>0</v>
      </c>
      <c r="AI62" s="295">
        <f t="shared" si="1"/>
        <v>0</v>
      </c>
      <c r="AJ62" s="295">
        <f t="shared" si="1"/>
        <v>15138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40669</v>
      </c>
      <c r="AW62" s="295">
        <f t="shared" si="1"/>
        <v>0</v>
      </c>
      <c r="AX62" s="295">
        <f t="shared" si="1"/>
        <v>0</v>
      </c>
      <c r="AY62" s="295">
        <f>ROUND(AY47+AY48,0)</f>
        <v>196801</v>
      </c>
      <c r="AZ62" s="295">
        <f>ROUND(AZ47+AZ48,0)</f>
        <v>0</v>
      </c>
      <c r="BA62" s="295">
        <f>ROUND(BA47+BA48,0)</f>
        <v>8868</v>
      </c>
      <c r="BB62" s="295">
        <f t="shared" si="1"/>
        <v>117052</v>
      </c>
      <c r="BC62" s="295">
        <f t="shared" si="1"/>
        <v>0</v>
      </c>
      <c r="BD62" s="295">
        <f t="shared" si="1"/>
        <v>102190</v>
      </c>
      <c r="BE62" s="295">
        <f t="shared" si="1"/>
        <v>120489</v>
      </c>
      <c r="BF62" s="295">
        <f t="shared" si="1"/>
        <v>134971</v>
      </c>
      <c r="BG62" s="295">
        <f t="shared" si="1"/>
        <v>0</v>
      </c>
      <c r="BH62" s="295">
        <f t="shared" si="1"/>
        <v>139777</v>
      </c>
      <c r="BI62" s="295">
        <f t="shared" si="1"/>
        <v>110214</v>
      </c>
      <c r="BJ62" s="295">
        <f t="shared" si="1"/>
        <v>0</v>
      </c>
      <c r="BK62" s="295">
        <f t="shared" si="1"/>
        <v>163235</v>
      </c>
      <c r="BL62" s="295">
        <f t="shared" si="1"/>
        <v>108621</v>
      </c>
      <c r="BM62" s="295">
        <f t="shared" si="1"/>
        <v>76687</v>
      </c>
      <c r="BN62" s="295">
        <f t="shared" si="1"/>
        <v>151774</v>
      </c>
      <c r="BO62" s="295">
        <f t="shared" ref="BO62:CC62" si="2">ROUND(BO47+BO48,0)</f>
        <v>19291</v>
      </c>
      <c r="BP62" s="295">
        <f t="shared" si="2"/>
        <v>63832</v>
      </c>
      <c r="BQ62" s="295">
        <f t="shared" si="2"/>
        <v>0</v>
      </c>
      <c r="BR62" s="295">
        <f t="shared" si="2"/>
        <v>123454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58547</v>
      </c>
      <c r="BW62" s="295">
        <f t="shared" si="2"/>
        <v>141938</v>
      </c>
      <c r="BX62" s="295">
        <f t="shared" si="2"/>
        <v>50388</v>
      </c>
      <c r="BY62" s="295">
        <f t="shared" si="2"/>
        <v>207170</v>
      </c>
      <c r="BZ62" s="295">
        <f t="shared" si="2"/>
        <v>0</v>
      </c>
      <c r="CA62" s="295">
        <f t="shared" si="2"/>
        <v>0</v>
      </c>
      <c r="CB62" s="295">
        <f t="shared" si="2"/>
        <v>0</v>
      </c>
      <c r="CC62" s="295">
        <f t="shared" si="2"/>
        <v>0</v>
      </c>
      <c r="CD62" s="305" t="s">
        <v>221</v>
      </c>
      <c r="CE62" s="295">
        <f t="shared" si="0"/>
        <v>7580578</v>
      </c>
      <c r="CF62" s="2"/>
      <c r="CG62" s="2"/>
      <c r="CH62" s="2"/>
      <c r="CI62" s="2"/>
      <c r="CJ62" s="2"/>
      <c r="CK62" s="2"/>
      <c r="CL62" s="2"/>
    </row>
    <row r="63" spans="1:90" ht="12.65" customHeight="1" x14ac:dyDescent="0.3">
      <c r="A63" s="302" t="s">
        <v>236</v>
      </c>
      <c r="B63" s="295"/>
      <c r="C63" s="300">
        <v>0</v>
      </c>
      <c r="D63" s="300"/>
      <c r="E63" s="300">
        <f>43501+60938</f>
        <v>104439</v>
      </c>
      <c r="F63" s="185"/>
      <c r="G63" s="300"/>
      <c r="H63" s="300"/>
      <c r="I63" s="185"/>
      <c r="J63" s="185"/>
      <c r="K63" s="185"/>
      <c r="L63" s="185"/>
      <c r="M63" s="300"/>
      <c r="N63" s="300"/>
      <c r="O63" s="300">
        <v>2866</v>
      </c>
      <c r="P63" s="185">
        <v>3355</v>
      </c>
      <c r="Q63" s="185"/>
      <c r="R63" s="185">
        <v>506322</v>
      </c>
      <c r="S63" s="185">
        <v>1168</v>
      </c>
      <c r="T63" s="185"/>
      <c r="U63" s="185">
        <v>697718</v>
      </c>
      <c r="V63" s="185"/>
      <c r="W63" s="185">
        <v>5256</v>
      </c>
      <c r="X63" s="185"/>
      <c r="Y63" s="185">
        <f>245628+360</f>
        <v>245988</v>
      </c>
      <c r="Z63" s="185"/>
      <c r="AA63" s="185">
        <v>222333</v>
      </c>
      <c r="AB63" s="185">
        <f>70486+41750</f>
        <v>112236</v>
      </c>
      <c r="AC63" s="185">
        <f>13320+37978</f>
        <v>51298</v>
      </c>
      <c r="AD63" s="185"/>
      <c r="AE63" s="185">
        <v>14417</v>
      </c>
      <c r="AF63" s="185"/>
      <c r="AG63" s="185">
        <v>38185</v>
      </c>
      <c r="AH63" s="185"/>
      <c r="AI63" s="185"/>
      <c r="AJ63" s="185">
        <v>864</v>
      </c>
      <c r="AK63" s="185"/>
      <c r="AL63" s="185"/>
      <c r="AM63" s="185"/>
      <c r="AN63" s="185"/>
      <c r="AO63" s="185"/>
      <c r="AP63" s="185">
        <v>772294</v>
      </c>
      <c r="AQ63" s="185"/>
      <c r="AR63" s="185"/>
      <c r="AS63" s="185"/>
      <c r="AT63" s="185"/>
      <c r="AU63" s="185"/>
      <c r="AV63" s="185">
        <v>23765</v>
      </c>
      <c r="AW63" s="185"/>
      <c r="AX63" s="185"/>
      <c r="AY63" s="185">
        <v>780</v>
      </c>
      <c r="AZ63" s="185"/>
      <c r="BA63" s="185"/>
      <c r="BB63" s="185">
        <v>15654</v>
      </c>
      <c r="BC63" s="185"/>
      <c r="BD63" s="185"/>
      <c r="BE63" s="185">
        <v>59392</v>
      </c>
      <c r="BF63" s="185"/>
      <c r="BG63" s="185"/>
      <c r="BH63" s="185"/>
      <c r="BI63" s="185">
        <v>50294</v>
      </c>
      <c r="BJ63" s="185"/>
      <c r="BK63" s="185">
        <f>97673+132413</f>
        <v>230086</v>
      </c>
      <c r="BL63" s="185"/>
      <c r="BM63" s="185">
        <v>75320</v>
      </c>
      <c r="BN63" s="185">
        <f>135708+29781</f>
        <v>165489</v>
      </c>
      <c r="BO63" s="185"/>
      <c r="BP63" s="185">
        <v>395886</v>
      </c>
      <c r="BQ63" s="185"/>
      <c r="BR63" s="185">
        <v>71623</v>
      </c>
      <c r="BS63" s="185"/>
      <c r="BT63" s="185"/>
      <c r="BU63" s="185"/>
      <c r="BV63" s="185">
        <v>204095</v>
      </c>
      <c r="BW63" s="185">
        <f>1192555+600</f>
        <v>1193155</v>
      </c>
      <c r="BX63" s="185">
        <v>75267</v>
      </c>
      <c r="BY63" s="185">
        <v>3563</v>
      </c>
      <c r="BZ63" s="185"/>
      <c r="CA63" s="185"/>
      <c r="CB63" s="185"/>
      <c r="CC63" s="185"/>
      <c r="CD63" s="305" t="s">
        <v>221</v>
      </c>
      <c r="CE63" s="295">
        <f t="shared" si="0"/>
        <v>5343108</v>
      </c>
      <c r="CF63" s="2"/>
      <c r="CG63" s="2"/>
      <c r="CH63" s="2"/>
      <c r="CI63" s="2"/>
      <c r="CJ63" s="2"/>
      <c r="CK63" s="2"/>
      <c r="CL63" s="2"/>
    </row>
    <row r="64" spans="1:90" ht="12.65" customHeight="1" x14ac:dyDescent="0.3">
      <c r="A64" s="302" t="s">
        <v>237</v>
      </c>
      <c r="B64" s="295"/>
      <c r="C64" s="300">
        <v>58401</v>
      </c>
      <c r="D64" s="300"/>
      <c r="E64" s="185">
        <f>378+79704</f>
        <v>80082</v>
      </c>
      <c r="F64" s="185"/>
      <c r="G64" s="300"/>
      <c r="H64" s="300"/>
      <c r="I64" s="185"/>
      <c r="J64" s="185"/>
      <c r="K64" s="185"/>
      <c r="L64" s="185"/>
      <c r="M64" s="300"/>
      <c r="N64" s="300"/>
      <c r="O64" s="300">
        <v>104249</v>
      </c>
      <c r="P64" s="185">
        <f>1225146+157402</f>
        <v>1382548</v>
      </c>
      <c r="Q64" s="185">
        <v>24351</v>
      </c>
      <c r="R64" s="185">
        <v>115379</v>
      </c>
      <c r="S64" s="185">
        <f>4365152+9102-10</f>
        <v>4374244</v>
      </c>
      <c r="T64" s="185"/>
      <c r="U64" s="185">
        <f>539187+77690</f>
        <v>616877</v>
      </c>
      <c r="V64" s="185"/>
      <c r="W64" s="185">
        <v>10039</v>
      </c>
      <c r="X64" s="185">
        <v>19797</v>
      </c>
      <c r="Y64" s="185">
        <f>157912+1833+150</f>
        <v>159895</v>
      </c>
      <c r="Z64" s="185"/>
      <c r="AA64" s="185">
        <v>238917</v>
      </c>
      <c r="AB64" s="185">
        <f>3284420+5176</f>
        <v>3289596</v>
      </c>
      <c r="AC64" s="185">
        <f>39228+1345+4</f>
        <v>40577</v>
      </c>
      <c r="AD64" s="185"/>
      <c r="AE64" s="185">
        <f>59545+294+879+3446</f>
        <v>64164</v>
      </c>
      <c r="AF64" s="185"/>
      <c r="AG64" s="185">
        <f>128696+26+31</f>
        <v>128753</v>
      </c>
      <c r="AH64" s="185"/>
      <c r="AI64" s="185"/>
      <c r="AJ64" s="185"/>
      <c r="AK64" s="185"/>
      <c r="AL64" s="185"/>
      <c r="AM64" s="185"/>
      <c r="AN64" s="185"/>
      <c r="AO64" s="185"/>
      <c r="AP64" s="185">
        <v>157874</v>
      </c>
      <c r="AQ64" s="185"/>
      <c r="AR64" s="185"/>
      <c r="AS64" s="185"/>
      <c r="AT64" s="185"/>
      <c r="AU64" s="185"/>
      <c r="AV64" s="185">
        <f>505+243+3493</f>
        <v>4241</v>
      </c>
      <c r="AW64" s="185"/>
      <c r="AX64" s="185"/>
      <c r="AY64" s="185">
        <f>456126+3862</f>
        <v>459988</v>
      </c>
      <c r="AZ64" s="185"/>
      <c r="BA64" s="185"/>
      <c r="BB64" s="185">
        <v>341</v>
      </c>
      <c r="BC64" s="185"/>
      <c r="BD64" s="185">
        <v>12673</v>
      </c>
      <c r="BE64" s="185">
        <v>8906</v>
      </c>
      <c r="BF64" s="185">
        <v>44450</v>
      </c>
      <c r="BG64" s="185"/>
      <c r="BH64" s="185">
        <f>4310+1217</f>
        <v>5527</v>
      </c>
      <c r="BI64" s="185">
        <v>3145</v>
      </c>
      <c r="BJ64" s="185"/>
      <c r="BK64" s="185">
        <f>25675+128</f>
        <v>25803</v>
      </c>
      <c r="BL64" s="185">
        <v>9196</v>
      </c>
      <c r="BM64" s="185">
        <v>5066</v>
      </c>
      <c r="BN64" s="185">
        <v>8161</v>
      </c>
      <c r="BO64" s="185">
        <v>43</v>
      </c>
      <c r="BP64" s="185">
        <v>5470</v>
      </c>
      <c r="BQ64" s="185"/>
      <c r="BR64" s="185">
        <v>6049</v>
      </c>
      <c r="BS64" s="185"/>
      <c r="BT64" s="185"/>
      <c r="BU64" s="185"/>
      <c r="BV64" s="185">
        <v>3220</v>
      </c>
      <c r="BW64" s="185">
        <f>2076+0</f>
        <v>2076</v>
      </c>
      <c r="BX64" s="185">
        <v>160</v>
      </c>
      <c r="BY64" s="185">
        <v>1184</v>
      </c>
      <c r="BZ64" s="185"/>
      <c r="CA64" s="185"/>
      <c r="CB64" s="185"/>
      <c r="CC64" s="185"/>
      <c r="CD64" s="305" t="s">
        <v>221</v>
      </c>
      <c r="CE64" s="295">
        <f t="shared" si="0"/>
        <v>11471442</v>
      </c>
      <c r="CF64" s="2"/>
      <c r="CG64" s="2"/>
      <c r="CH64" s="2"/>
      <c r="CI64" s="2"/>
      <c r="CJ64" s="2"/>
      <c r="CK64" s="2"/>
      <c r="CL64" s="2"/>
    </row>
    <row r="65" spans="1:90" ht="12.65" customHeight="1" x14ac:dyDescent="0.3">
      <c r="A65" s="302" t="s">
        <v>238</v>
      </c>
      <c r="B65" s="295"/>
      <c r="C65" s="300">
        <v>480</v>
      </c>
      <c r="D65" s="300"/>
      <c r="E65" s="300">
        <v>0</v>
      </c>
      <c r="F65" s="300"/>
      <c r="G65" s="300"/>
      <c r="H65" s="300"/>
      <c r="I65" s="185"/>
      <c r="J65" s="300"/>
      <c r="K65" s="185"/>
      <c r="L65" s="185"/>
      <c r="M65" s="300"/>
      <c r="N65" s="300"/>
      <c r="O65" s="300">
        <v>480</v>
      </c>
      <c r="P65" s="185">
        <f>960+960</f>
        <v>1920</v>
      </c>
      <c r="Q65" s="185"/>
      <c r="R65" s="185"/>
      <c r="S65" s="185"/>
      <c r="T65" s="185"/>
      <c r="U65" s="185">
        <v>960</v>
      </c>
      <c r="V65" s="185"/>
      <c r="W65" s="185"/>
      <c r="X65" s="185"/>
      <c r="Y65" s="185">
        <v>960</v>
      </c>
      <c r="Z65" s="185"/>
      <c r="AA65" s="185"/>
      <c r="AB65" s="185">
        <f>24778-1</f>
        <v>24777</v>
      </c>
      <c r="AC65" s="185">
        <v>400</v>
      </c>
      <c r="AD65" s="185"/>
      <c r="AE65" s="185">
        <v>30898</v>
      </c>
      <c r="AF65" s="185"/>
      <c r="AG65" s="185">
        <f>480+480</f>
        <v>960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f>2840+480</f>
        <v>3320</v>
      </c>
      <c r="BC65" s="185"/>
      <c r="BD65" s="185">
        <v>907</v>
      </c>
      <c r="BE65" s="185">
        <v>480840</v>
      </c>
      <c r="BF65" s="185">
        <v>53134</v>
      </c>
      <c r="BG65" s="185"/>
      <c r="BH65" s="185">
        <f>137700+480</f>
        <v>138180</v>
      </c>
      <c r="BI65" s="185">
        <v>3758</v>
      </c>
      <c r="BJ65" s="185"/>
      <c r="BK65" s="185">
        <v>3206</v>
      </c>
      <c r="BL65" s="185">
        <v>480</v>
      </c>
      <c r="BM65" s="185"/>
      <c r="BN65" s="185">
        <v>880</v>
      </c>
      <c r="BO65" s="185"/>
      <c r="BP65" s="185">
        <v>480</v>
      </c>
      <c r="BQ65" s="185"/>
      <c r="BR65" s="185"/>
      <c r="BS65" s="185"/>
      <c r="BT65" s="185"/>
      <c r="BU65" s="185"/>
      <c r="BV65" s="185"/>
      <c r="BW65" s="185">
        <f>480+480</f>
        <v>960</v>
      </c>
      <c r="BX65" s="185">
        <v>480</v>
      </c>
      <c r="BY65" s="185">
        <v>1115</v>
      </c>
      <c r="BZ65" s="185"/>
      <c r="CA65" s="185"/>
      <c r="CB65" s="185"/>
      <c r="CC65" s="185"/>
      <c r="CD65" s="305" t="s">
        <v>221</v>
      </c>
      <c r="CE65" s="295">
        <f t="shared" si="0"/>
        <v>749575</v>
      </c>
      <c r="CF65" s="2"/>
      <c r="CG65" s="2"/>
      <c r="CH65" s="2"/>
      <c r="CI65" s="2"/>
      <c r="CJ65" s="2"/>
      <c r="CK65" s="2"/>
      <c r="CL65" s="2"/>
    </row>
    <row r="66" spans="1:90" ht="12.65" customHeight="1" x14ac:dyDescent="0.3">
      <c r="A66" s="302" t="s">
        <v>239</v>
      </c>
      <c r="B66" s="295"/>
      <c r="C66" s="300">
        <v>38465</v>
      </c>
      <c r="D66" s="300"/>
      <c r="E66" s="300">
        <f>15394+11203</f>
        <v>26597</v>
      </c>
      <c r="F66" s="300"/>
      <c r="G66" s="300"/>
      <c r="H66" s="300"/>
      <c r="I66" s="300"/>
      <c r="J66" s="300"/>
      <c r="K66" s="185"/>
      <c r="L66" s="185"/>
      <c r="M66" s="300"/>
      <c r="N66" s="300"/>
      <c r="O66" s="185">
        <v>70309</v>
      </c>
      <c r="P66" s="185">
        <f>376584+46049</f>
        <v>422633</v>
      </c>
      <c r="Q66" s="185">
        <v>499</v>
      </c>
      <c r="R66" s="185">
        <v>283</v>
      </c>
      <c r="S66" s="300"/>
      <c r="T66" s="300"/>
      <c r="U66" s="185">
        <v>80404</v>
      </c>
      <c r="V66" s="185"/>
      <c r="W66" s="185">
        <f>158786-4</f>
        <v>158782</v>
      </c>
      <c r="X66" s="185">
        <v>158195</v>
      </c>
      <c r="Y66" s="185">
        <f>223161+51819+6757</f>
        <v>281737</v>
      </c>
      <c r="Z66" s="185"/>
      <c r="AA66" s="185">
        <v>125371</v>
      </c>
      <c r="AB66" s="185">
        <f>15987+10349</f>
        <v>26336</v>
      </c>
      <c r="AC66" s="185">
        <v>9137</v>
      </c>
      <c r="AD66" s="185"/>
      <c r="AE66" s="185">
        <v>75773</v>
      </c>
      <c r="AF66" s="185"/>
      <c r="AG66" s="185">
        <f>20149+2423</f>
        <v>22572</v>
      </c>
      <c r="AH66" s="185"/>
      <c r="AI66" s="185"/>
      <c r="AJ66" s="185"/>
      <c r="AK66" s="185"/>
      <c r="AL66" s="185"/>
      <c r="AM66" s="185"/>
      <c r="AN66" s="185"/>
      <c r="AO66" s="185"/>
      <c r="AP66" s="185">
        <v>8625</v>
      </c>
      <c r="AQ66" s="185"/>
      <c r="AR66" s="185"/>
      <c r="AS66" s="185"/>
      <c r="AT66" s="185"/>
      <c r="AU66" s="185"/>
      <c r="AV66" s="185">
        <v>554</v>
      </c>
      <c r="AW66" s="185"/>
      <c r="AX66" s="185"/>
      <c r="AY66" s="185">
        <f>12240+794</f>
        <v>13034</v>
      </c>
      <c r="AZ66" s="185"/>
      <c r="BA66" s="185">
        <v>183019</v>
      </c>
      <c r="BB66" s="185">
        <v>13780</v>
      </c>
      <c r="BC66" s="185"/>
      <c r="BD66" s="185">
        <v>1447</v>
      </c>
      <c r="BE66" s="185">
        <v>145462</v>
      </c>
      <c r="BF66" s="185">
        <v>2039</v>
      </c>
      <c r="BG66" s="185"/>
      <c r="BH66" s="185">
        <f>150484+849095</f>
        <v>999579</v>
      </c>
      <c r="BI66" s="185">
        <v>28338</v>
      </c>
      <c r="BJ66" s="185"/>
      <c r="BK66" s="185">
        <f>232985+70400</f>
        <v>303385</v>
      </c>
      <c r="BL66" s="185">
        <v>704</v>
      </c>
      <c r="BM66" s="185">
        <v>24458</v>
      </c>
      <c r="BN66" s="185">
        <v>105627</v>
      </c>
      <c r="BO66" s="185"/>
      <c r="BP66" s="185">
        <v>43922</v>
      </c>
      <c r="BQ66" s="185"/>
      <c r="BR66" s="185">
        <f>70229+6000</f>
        <v>76229</v>
      </c>
      <c r="BS66" s="185"/>
      <c r="BT66" s="185"/>
      <c r="BU66" s="185"/>
      <c r="BV66" s="185">
        <v>41381</v>
      </c>
      <c r="BW66" s="185">
        <f>27817</f>
        <v>27817</v>
      </c>
      <c r="BX66" s="185">
        <v>43840</v>
      </c>
      <c r="BY66" s="185"/>
      <c r="BZ66" s="185"/>
      <c r="CA66" s="185"/>
      <c r="CB66" s="185"/>
      <c r="CC66" s="185"/>
      <c r="CD66" s="305" t="s">
        <v>221</v>
      </c>
      <c r="CE66" s="295">
        <f t="shared" si="0"/>
        <v>3560333</v>
      </c>
      <c r="CF66" s="2"/>
      <c r="CG66" s="2"/>
      <c r="CH66" s="2"/>
      <c r="CI66" s="2"/>
      <c r="CJ66" s="2"/>
      <c r="CK66" s="2"/>
      <c r="CL66" s="2"/>
    </row>
    <row r="67" spans="1:90" ht="12.65" customHeight="1" x14ac:dyDescent="0.3">
      <c r="A67" s="302" t="s">
        <v>6</v>
      </c>
      <c r="B67" s="295"/>
      <c r="C67" s="295">
        <f>ROUND(C51+C52,0)</f>
        <v>41752</v>
      </c>
      <c r="D67" s="295">
        <f>ROUND(D51+D52,0)</f>
        <v>0</v>
      </c>
      <c r="E67" s="295">
        <f t="shared" ref="E67:BP67" si="3">ROUND(E51+E52,0)</f>
        <v>224797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191655</v>
      </c>
      <c r="P67" s="295">
        <f t="shared" si="3"/>
        <v>372919</v>
      </c>
      <c r="Q67" s="295">
        <f t="shared" si="3"/>
        <v>0</v>
      </c>
      <c r="R67" s="295">
        <f t="shared" si="3"/>
        <v>0</v>
      </c>
      <c r="S67" s="295">
        <f t="shared" si="3"/>
        <v>33304</v>
      </c>
      <c r="T67" s="295">
        <f t="shared" si="3"/>
        <v>0</v>
      </c>
      <c r="U67" s="295">
        <f t="shared" si="3"/>
        <v>45362</v>
      </c>
      <c r="V67" s="295">
        <f t="shared" si="3"/>
        <v>7151</v>
      </c>
      <c r="W67" s="295">
        <f t="shared" si="3"/>
        <v>11665</v>
      </c>
      <c r="X67" s="295">
        <f t="shared" si="3"/>
        <v>12081</v>
      </c>
      <c r="Y67" s="295">
        <f t="shared" si="3"/>
        <v>104935</v>
      </c>
      <c r="Z67" s="295">
        <f t="shared" si="3"/>
        <v>0</v>
      </c>
      <c r="AA67" s="295">
        <f t="shared" si="3"/>
        <v>7059</v>
      </c>
      <c r="AB67" s="295">
        <f t="shared" si="3"/>
        <v>18145</v>
      </c>
      <c r="AC67" s="295">
        <f t="shared" si="3"/>
        <v>28629</v>
      </c>
      <c r="AD67" s="295">
        <f t="shared" si="3"/>
        <v>0</v>
      </c>
      <c r="AE67" s="295">
        <f t="shared" si="3"/>
        <v>202186</v>
      </c>
      <c r="AF67" s="295">
        <f t="shared" si="3"/>
        <v>0</v>
      </c>
      <c r="AG67" s="295">
        <f t="shared" si="3"/>
        <v>148422</v>
      </c>
      <c r="AH67" s="295">
        <f t="shared" si="3"/>
        <v>0</v>
      </c>
      <c r="AI67" s="295">
        <f t="shared" si="3"/>
        <v>0</v>
      </c>
      <c r="AJ67" s="295">
        <f t="shared" si="3"/>
        <v>23144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110304</v>
      </c>
      <c r="AZ67" s="295">
        <f>ROUND(AZ51+AZ52,0)</f>
        <v>0</v>
      </c>
      <c r="BA67" s="295">
        <f>ROUND(BA51+BA52,0)</f>
        <v>29948</v>
      </c>
      <c r="BB67" s="295">
        <f t="shared" si="3"/>
        <v>3472</v>
      </c>
      <c r="BC67" s="295">
        <f t="shared" si="3"/>
        <v>0</v>
      </c>
      <c r="BD67" s="295">
        <f t="shared" si="3"/>
        <v>65243</v>
      </c>
      <c r="BE67" s="295">
        <f t="shared" si="3"/>
        <v>304366</v>
      </c>
      <c r="BF67" s="295">
        <f t="shared" si="3"/>
        <v>8679</v>
      </c>
      <c r="BG67" s="295">
        <f t="shared" si="3"/>
        <v>0</v>
      </c>
      <c r="BH67" s="295">
        <f t="shared" si="3"/>
        <v>43210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20043</v>
      </c>
      <c r="BM67" s="295">
        <f t="shared" si="3"/>
        <v>6365</v>
      </c>
      <c r="BN67" s="295">
        <f t="shared" si="3"/>
        <v>82508</v>
      </c>
      <c r="BO67" s="295">
        <f t="shared" si="3"/>
        <v>0</v>
      </c>
      <c r="BP67" s="295">
        <f t="shared" si="3"/>
        <v>6365</v>
      </c>
      <c r="BQ67" s="295">
        <f t="shared" ref="BQ67:CC67" si="4">ROUND(BQ51+BQ52,0)</f>
        <v>0</v>
      </c>
      <c r="BR67" s="295">
        <f t="shared" si="4"/>
        <v>6365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31314</v>
      </c>
      <c r="BW67" s="295">
        <f t="shared" si="4"/>
        <v>3472</v>
      </c>
      <c r="BX67" s="295">
        <f t="shared" si="4"/>
        <v>3472</v>
      </c>
      <c r="BY67" s="295">
        <f t="shared" si="4"/>
        <v>3472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584432</v>
      </c>
      <c r="CD67" s="305" t="s">
        <v>221</v>
      </c>
      <c r="CE67" s="295">
        <f t="shared" si="0"/>
        <v>2786236</v>
      </c>
      <c r="CF67" s="2"/>
      <c r="CG67" s="2"/>
      <c r="CH67" s="2"/>
      <c r="CI67" s="2"/>
      <c r="CJ67" s="2"/>
      <c r="CK67" s="2"/>
      <c r="CL67" s="2"/>
    </row>
    <row r="68" spans="1:90" ht="12.65" customHeight="1" x14ac:dyDescent="0.3">
      <c r="A68" s="302" t="s">
        <v>240</v>
      </c>
      <c r="B68" s="295"/>
      <c r="C68" s="300">
        <v>12620</v>
      </c>
      <c r="D68" s="300"/>
      <c r="E68" s="300">
        <v>62012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>
        <v>26509</v>
      </c>
      <c r="P68" s="185">
        <f>33206+41517</f>
        <v>74723</v>
      </c>
      <c r="Q68" s="185"/>
      <c r="R68" s="185"/>
      <c r="S68" s="185">
        <v>65608</v>
      </c>
      <c r="T68" s="185"/>
      <c r="U68" s="185"/>
      <c r="V68" s="185"/>
      <c r="W68" s="185"/>
      <c r="X68" s="185"/>
      <c r="Y68" s="185">
        <v>31009</v>
      </c>
      <c r="Z68" s="185"/>
      <c r="AA68" s="185"/>
      <c r="AB68" s="185">
        <v>130114</v>
      </c>
      <c r="AC68" s="185">
        <v>466</v>
      </c>
      <c r="AD68" s="185"/>
      <c r="AE68" s="185">
        <v>21870</v>
      </c>
      <c r="AF68" s="185"/>
      <c r="AG68" s="185">
        <v>28076</v>
      </c>
      <c r="AH68" s="185"/>
      <c r="AI68" s="185"/>
      <c r="AJ68" s="185"/>
      <c r="AK68" s="185"/>
      <c r="AL68" s="185"/>
      <c r="AM68" s="185"/>
      <c r="AN68" s="185"/>
      <c r="AO68" s="185"/>
      <c r="AP68" s="185">
        <v>8000</v>
      </c>
      <c r="AQ68" s="185"/>
      <c r="AR68" s="185"/>
      <c r="AS68" s="185"/>
      <c r="AT68" s="185"/>
      <c r="AU68" s="185"/>
      <c r="AV68" s="185"/>
      <c r="AW68" s="185"/>
      <c r="AX68" s="185"/>
      <c r="AY68" s="185">
        <v>3234</v>
      </c>
      <c r="AZ68" s="185"/>
      <c r="BA68" s="185"/>
      <c r="BB68" s="185">
        <v>2083</v>
      </c>
      <c r="BC68" s="185"/>
      <c r="BD68" s="185">
        <v>6739</v>
      </c>
      <c r="BE68" s="185">
        <v>9191</v>
      </c>
      <c r="BF68" s="185">
        <v>103</v>
      </c>
      <c r="BG68" s="185"/>
      <c r="BH68" s="185">
        <v>678</v>
      </c>
      <c r="BI68" s="185">
        <v>42606</v>
      </c>
      <c r="BJ68" s="185"/>
      <c r="BK68" s="185">
        <v>54923</v>
      </c>
      <c r="BL68" s="185">
        <v>3532</v>
      </c>
      <c r="BM68" s="185"/>
      <c r="BN68" s="185">
        <v>9940</v>
      </c>
      <c r="BO68" s="185"/>
      <c r="BP68" s="185"/>
      <c r="BQ68" s="185"/>
      <c r="BR68" s="185"/>
      <c r="BS68" s="185"/>
      <c r="BT68" s="185"/>
      <c r="BU68" s="185"/>
      <c r="BV68" s="185">
        <v>8943</v>
      </c>
      <c r="BW68" s="185"/>
      <c r="BX68" s="185"/>
      <c r="BY68" s="185"/>
      <c r="BZ68" s="185"/>
      <c r="CA68" s="185"/>
      <c r="CB68" s="185"/>
      <c r="CC68" s="185"/>
      <c r="CD68" s="305" t="s">
        <v>221</v>
      </c>
      <c r="CE68" s="295">
        <f t="shared" si="0"/>
        <v>602979</v>
      </c>
      <c r="CF68" s="2"/>
      <c r="CG68" s="2"/>
      <c r="CH68" s="2"/>
      <c r="CI68" s="2"/>
      <c r="CJ68" s="2"/>
      <c r="CK68" s="2"/>
      <c r="CL68" s="2"/>
    </row>
    <row r="69" spans="1:90" ht="12.65" customHeight="1" x14ac:dyDescent="0.3">
      <c r="A69" s="302" t="s">
        <v>241</v>
      </c>
      <c r="B69" s="295"/>
      <c r="C69" s="300">
        <v>1485</v>
      </c>
      <c r="D69" s="300"/>
      <c r="E69" s="185">
        <f>809+4887</f>
        <v>5696</v>
      </c>
      <c r="F69" s="185"/>
      <c r="G69" s="300"/>
      <c r="H69" s="300"/>
      <c r="I69" s="185"/>
      <c r="J69" s="185"/>
      <c r="K69" s="185"/>
      <c r="L69" s="185"/>
      <c r="M69" s="300"/>
      <c r="N69" s="300"/>
      <c r="O69" s="300">
        <v>9530</v>
      </c>
      <c r="P69" s="185">
        <f>13672+1405</f>
        <v>15077</v>
      </c>
      <c r="Q69" s="185"/>
      <c r="R69" s="224">
        <v>12</v>
      </c>
      <c r="S69" s="185">
        <v>89926</v>
      </c>
      <c r="T69" s="300"/>
      <c r="U69" s="185">
        <v>7734</v>
      </c>
      <c r="V69" s="185"/>
      <c r="W69" s="300">
        <v>240</v>
      </c>
      <c r="X69" s="185"/>
      <c r="Y69" s="185">
        <f>5217+180</f>
        <v>5397</v>
      </c>
      <c r="Z69" s="185"/>
      <c r="AA69" s="185">
        <v>10730</v>
      </c>
      <c r="AB69" s="185">
        <f>2477+5734</f>
        <v>8211</v>
      </c>
      <c r="AC69" s="185">
        <v>1829</v>
      </c>
      <c r="AD69" s="185"/>
      <c r="AE69" s="185">
        <f>34084+5216+599</f>
        <v>39899</v>
      </c>
      <c r="AF69" s="185"/>
      <c r="AG69" s="185">
        <f>2227+975+58756+22707-3</f>
        <v>84662</v>
      </c>
      <c r="AH69" s="185"/>
      <c r="AI69" s="185"/>
      <c r="AJ69" s="185">
        <v>370</v>
      </c>
      <c r="AK69" s="185"/>
      <c r="AL69" s="185"/>
      <c r="AM69" s="185"/>
      <c r="AN69" s="185"/>
      <c r="AO69" s="300"/>
      <c r="AP69" s="185">
        <v>1038</v>
      </c>
      <c r="AQ69" s="300"/>
      <c r="AR69" s="300"/>
      <c r="AS69" s="300"/>
      <c r="AT69" s="300"/>
      <c r="AU69" s="185"/>
      <c r="AV69" s="185">
        <f>5830+5481</f>
        <v>11311</v>
      </c>
      <c r="AW69" s="185"/>
      <c r="AX69" s="185"/>
      <c r="AY69" s="185">
        <f>1348+3076</f>
        <v>4424</v>
      </c>
      <c r="AZ69" s="185"/>
      <c r="BA69" s="185"/>
      <c r="BB69" s="185">
        <v>4614</v>
      </c>
      <c r="BC69" s="185"/>
      <c r="BD69" s="185">
        <v>2755</v>
      </c>
      <c r="BE69" s="185">
        <v>625</v>
      </c>
      <c r="BF69" s="185">
        <v>3594</v>
      </c>
      <c r="BG69" s="185"/>
      <c r="BH69" s="224">
        <f>3915+199</f>
        <v>4114</v>
      </c>
      <c r="BI69" s="185">
        <v>134062</v>
      </c>
      <c r="BJ69" s="185"/>
      <c r="BK69" s="185">
        <f>1952+6466</f>
        <v>8418</v>
      </c>
      <c r="BL69" s="185"/>
      <c r="BM69" s="185">
        <v>41055</v>
      </c>
      <c r="BN69" s="185">
        <f>192428+6166</f>
        <v>198594</v>
      </c>
      <c r="BO69" s="185">
        <v>1719</v>
      </c>
      <c r="BP69" s="185">
        <v>18410</v>
      </c>
      <c r="BQ69" s="185"/>
      <c r="BR69" s="185">
        <f>77956+3720</f>
        <v>81676</v>
      </c>
      <c r="BS69" s="185"/>
      <c r="BT69" s="185"/>
      <c r="BU69" s="185"/>
      <c r="BV69" s="185">
        <v>632</v>
      </c>
      <c r="BW69" s="185">
        <f>8097+11308</f>
        <v>19405</v>
      </c>
      <c r="BX69" s="185">
        <v>8304</v>
      </c>
      <c r="BY69" s="185">
        <v>3803</v>
      </c>
      <c r="BZ69" s="185"/>
      <c r="CA69" s="185"/>
      <c r="CB69" s="185"/>
      <c r="CC69" s="185"/>
      <c r="CD69" s="308">
        <v>1525046</v>
      </c>
      <c r="CE69" s="295">
        <f t="shared" si="0"/>
        <v>2354397</v>
      </c>
      <c r="CF69" s="2"/>
      <c r="CG69" s="2"/>
      <c r="CH69" s="2"/>
      <c r="CI69" s="2"/>
      <c r="CJ69" s="2"/>
      <c r="CK69" s="2"/>
      <c r="CL69" s="2"/>
    </row>
    <row r="70" spans="1:90" ht="12.65" customHeight="1" x14ac:dyDescent="0.3">
      <c r="A70" s="302" t="s">
        <v>242</v>
      </c>
      <c r="B70" s="295"/>
      <c r="C70" s="300">
        <v>6400</v>
      </c>
      <c r="D70" s="300"/>
      <c r="E70" s="300">
        <v>1452</v>
      </c>
      <c r="F70" s="185"/>
      <c r="G70" s="300"/>
      <c r="H70" s="300"/>
      <c r="I70" s="300"/>
      <c r="J70" s="185"/>
      <c r="K70" s="185"/>
      <c r="L70" s="185"/>
      <c r="M70" s="300"/>
      <c r="N70" s="300"/>
      <c r="O70" s="300">
        <v>3675</v>
      </c>
      <c r="P70" s="300">
        <v>6890</v>
      </c>
      <c r="Q70" s="300"/>
      <c r="R70" s="300"/>
      <c r="S70" s="300">
        <v>5745</v>
      </c>
      <c r="T70" s="300"/>
      <c r="U70" s="185">
        <v>30000</v>
      </c>
      <c r="V70" s="300"/>
      <c r="W70" s="300"/>
      <c r="X70" s="185"/>
      <c r="Y70" s="185">
        <v>260</v>
      </c>
      <c r="Z70" s="185"/>
      <c r="AA70" s="185"/>
      <c r="AB70" s="185">
        <f>5363+409</f>
        <v>5772</v>
      </c>
      <c r="AC70" s="185"/>
      <c r="AD70" s="185"/>
      <c r="AE70" s="185">
        <f>12841+11945+2846</f>
        <v>27632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f>365138+9521</f>
        <v>374659</v>
      </c>
      <c r="AW70" s="185"/>
      <c r="AX70" s="185"/>
      <c r="AY70" s="185">
        <f>1370</f>
        <v>1370</v>
      </c>
      <c r="AZ70" s="185">
        <f>361912</f>
        <v>361912</v>
      </c>
      <c r="BA70" s="185"/>
      <c r="BB70" s="185">
        <v>8586</v>
      </c>
      <c r="BC70" s="185"/>
      <c r="BD70" s="185"/>
      <c r="BE70" s="185"/>
      <c r="BF70" s="185"/>
      <c r="BG70" s="185"/>
      <c r="BH70" s="185">
        <v>19994</v>
      </c>
      <c r="BI70" s="185"/>
      <c r="BJ70" s="185"/>
      <c r="BK70" s="185">
        <v>60</v>
      </c>
      <c r="BL70" s="185"/>
      <c r="BM70" s="185"/>
      <c r="BN70" s="185">
        <v>50000</v>
      </c>
      <c r="BO70" s="185"/>
      <c r="BP70" s="185">
        <v>15000</v>
      </c>
      <c r="BQ70" s="185"/>
      <c r="BR70" s="185">
        <v>26475</v>
      </c>
      <c r="BS70" s="185"/>
      <c r="BT70" s="185"/>
      <c r="BU70" s="185"/>
      <c r="BV70" s="185">
        <v>7364</v>
      </c>
      <c r="BW70" s="185">
        <f>9300+237924</f>
        <v>247224</v>
      </c>
      <c r="BX70" s="185"/>
      <c r="BY70" s="185">
        <v>32696</v>
      </c>
      <c r="BZ70" s="185"/>
      <c r="CA70" s="185"/>
      <c r="CB70" s="185"/>
      <c r="CC70" s="185"/>
      <c r="CD70" s="308">
        <f>114162+28828+7023336</f>
        <v>7166326</v>
      </c>
      <c r="CE70" s="295">
        <f t="shared" si="0"/>
        <v>8399492</v>
      </c>
      <c r="CF70" s="2"/>
      <c r="CG70" s="2"/>
      <c r="CH70" s="2"/>
      <c r="CI70" s="2"/>
      <c r="CJ70" s="2"/>
      <c r="CK70" s="2"/>
      <c r="CL70" s="2"/>
    </row>
    <row r="71" spans="1:90" ht="12.65" customHeight="1" x14ac:dyDescent="0.3">
      <c r="A71" s="302" t="s">
        <v>243</v>
      </c>
      <c r="B71" s="295"/>
      <c r="C71" s="295">
        <f>SUM(C61:C68)+C69-C70</f>
        <v>1647811</v>
      </c>
      <c r="D71" s="295">
        <f t="shared" ref="D71:AI71" si="5">SUM(D61:D69)-D70</f>
        <v>0</v>
      </c>
      <c r="E71" s="295">
        <f t="shared" si="5"/>
        <v>4340584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2732607</v>
      </c>
      <c r="P71" s="295">
        <f t="shared" si="5"/>
        <v>7161253</v>
      </c>
      <c r="Q71" s="295">
        <f t="shared" si="5"/>
        <v>24850</v>
      </c>
      <c r="R71" s="295">
        <f t="shared" si="5"/>
        <v>621996</v>
      </c>
      <c r="S71" s="295">
        <f t="shared" si="5"/>
        <v>4558505</v>
      </c>
      <c r="T71" s="295">
        <f t="shared" si="5"/>
        <v>0</v>
      </c>
      <c r="U71" s="295">
        <f t="shared" si="5"/>
        <v>2631338</v>
      </c>
      <c r="V71" s="295">
        <f t="shared" si="5"/>
        <v>7151</v>
      </c>
      <c r="W71" s="295">
        <f t="shared" si="5"/>
        <v>567098</v>
      </c>
      <c r="X71" s="295">
        <f t="shared" si="5"/>
        <v>268899</v>
      </c>
      <c r="Y71" s="295">
        <f t="shared" si="5"/>
        <v>2946082</v>
      </c>
      <c r="Z71" s="295">
        <f t="shared" si="5"/>
        <v>0</v>
      </c>
      <c r="AA71" s="295">
        <f t="shared" si="5"/>
        <v>883989</v>
      </c>
      <c r="AB71" s="295">
        <f t="shared" si="5"/>
        <v>4477623</v>
      </c>
      <c r="AC71" s="295">
        <f t="shared" si="5"/>
        <v>1129274</v>
      </c>
      <c r="AD71" s="295">
        <f t="shared" si="5"/>
        <v>0</v>
      </c>
      <c r="AE71" s="295">
        <f t="shared" si="5"/>
        <v>4169056</v>
      </c>
      <c r="AF71" s="295">
        <f t="shared" si="5"/>
        <v>0</v>
      </c>
      <c r="AG71" s="295">
        <f t="shared" si="5"/>
        <v>6204542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102459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947831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-125021</v>
      </c>
      <c r="AW71" s="295">
        <f t="shared" si="6"/>
        <v>0</v>
      </c>
      <c r="AX71" s="295">
        <f t="shared" si="6"/>
        <v>0</v>
      </c>
      <c r="AY71" s="295">
        <f t="shared" si="6"/>
        <v>1605471</v>
      </c>
      <c r="AZ71" s="295">
        <f t="shared" si="6"/>
        <v>-361912</v>
      </c>
      <c r="BA71" s="295">
        <f t="shared" si="6"/>
        <v>258709</v>
      </c>
      <c r="BB71" s="295">
        <f t="shared" si="6"/>
        <v>638418</v>
      </c>
      <c r="BC71" s="295">
        <f t="shared" si="6"/>
        <v>0</v>
      </c>
      <c r="BD71" s="295">
        <f t="shared" si="6"/>
        <v>616850</v>
      </c>
      <c r="BE71" s="295">
        <f t="shared" si="6"/>
        <v>1630252</v>
      </c>
      <c r="BF71" s="295">
        <f t="shared" si="6"/>
        <v>808165</v>
      </c>
      <c r="BG71" s="295">
        <f t="shared" si="6"/>
        <v>0</v>
      </c>
      <c r="BH71" s="295">
        <f t="shared" si="6"/>
        <v>1892249</v>
      </c>
      <c r="BI71" s="295">
        <f t="shared" si="6"/>
        <v>830674</v>
      </c>
      <c r="BJ71" s="295">
        <f t="shared" si="6"/>
        <v>0</v>
      </c>
      <c r="BK71" s="295">
        <f t="shared" si="6"/>
        <v>1467707</v>
      </c>
      <c r="BL71" s="295">
        <f t="shared" si="6"/>
        <v>594211</v>
      </c>
      <c r="BM71" s="295">
        <f t="shared" si="6"/>
        <v>547807</v>
      </c>
      <c r="BN71" s="295">
        <f t="shared" si="6"/>
        <v>1304031</v>
      </c>
      <c r="BO71" s="295">
        <f t="shared" si="6"/>
        <v>101262</v>
      </c>
      <c r="BP71" s="295">
        <f t="shared" ref="BP71:CC71" si="7">SUM(BP61:BP69)-BP70</f>
        <v>784773</v>
      </c>
      <c r="BQ71" s="295">
        <f t="shared" si="7"/>
        <v>0</v>
      </c>
      <c r="BR71" s="295">
        <f t="shared" si="7"/>
        <v>852230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584201</v>
      </c>
      <c r="BW71" s="295">
        <f t="shared" si="7"/>
        <v>1731762</v>
      </c>
      <c r="BX71" s="295">
        <f t="shared" si="7"/>
        <v>391420</v>
      </c>
      <c r="BY71" s="295">
        <f t="shared" si="7"/>
        <v>1049000</v>
      </c>
      <c r="BZ71" s="295">
        <f t="shared" si="7"/>
        <v>0</v>
      </c>
      <c r="CA71" s="295">
        <f t="shared" si="7"/>
        <v>0</v>
      </c>
      <c r="CB71" s="295">
        <f t="shared" si="7"/>
        <v>0</v>
      </c>
      <c r="CC71" s="295">
        <f t="shared" si="7"/>
        <v>584432</v>
      </c>
      <c r="CD71" s="301">
        <f>CD69-CD70</f>
        <v>-5641280</v>
      </c>
      <c r="CE71" s="295">
        <f>SUM(CE61:CE69)-CE70</f>
        <v>57568359</v>
      </c>
      <c r="CF71" s="2"/>
      <c r="CG71" s="2"/>
      <c r="CH71" s="2"/>
      <c r="CI71" s="2"/>
      <c r="CJ71" s="2"/>
      <c r="CK71" s="2"/>
      <c r="CL71" s="2"/>
    </row>
    <row r="72" spans="1:90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2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>
        <v>1239883</v>
      </c>
      <c r="CF72" s="2"/>
      <c r="CG72" s="2"/>
      <c r="CH72" s="2"/>
      <c r="CI72" s="2"/>
      <c r="CJ72" s="2"/>
      <c r="CK72" s="2"/>
      <c r="CL72" s="2"/>
    </row>
    <row r="73" spans="1:90" ht="12.65" customHeight="1" x14ac:dyDescent="0.3">
      <c r="A73" s="302" t="s">
        <v>245</v>
      </c>
      <c r="B73" s="295"/>
      <c r="C73" s="300">
        <v>1573253</v>
      </c>
      <c r="D73" s="300"/>
      <c r="E73" s="185">
        <f>517148+2311975+162397-3</f>
        <v>2991517</v>
      </c>
      <c r="F73" s="185"/>
      <c r="G73" s="300"/>
      <c r="H73" s="300"/>
      <c r="I73" s="185"/>
      <c r="J73" s="185">
        <v>462516</v>
      </c>
      <c r="K73" s="185"/>
      <c r="L73" s="185">
        <v>207443</v>
      </c>
      <c r="M73" s="300"/>
      <c r="N73" s="300"/>
      <c r="O73" s="300">
        <v>2357986</v>
      </c>
      <c r="P73" s="185">
        <f>4294148+51388</f>
        <v>4345536</v>
      </c>
      <c r="Q73" s="185">
        <v>379818</v>
      </c>
      <c r="R73" s="185">
        <v>1164928</v>
      </c>
      <c r="S73" s="185">
        <f>4774212+1330358</f>
        <v>6104570</v>
      </c>
      <c r="T73" s="185"/>
      <c r="U73" s="185">
        <f>1679929+42772</f>
        <v>1722701</v>
      </c>
      <c r="V73" s="185">
        <v>47389</v>
      </c>
      <c r="W73" s="185">
        <v>41692</v>
      </c>
      <c r="X73" s="185">
        <v>305351</v>
      </c>
      <c r="Y73" s="185">
        <f>436780+140383</f>
        <v>577163</v>
      </c>
      <c r="Z73" s="185"/>
      <c r="AA73" s="185">
        <v>39265</v>
      </c>
      <c r="AB73" s="185">
        <v>3675480</v>
      </c>
      <c r="AC73" s="185">
        <v>1176056</v>
      </c>
      <c r="AD73" s="185"/>
      <c r="AE73" s="185">
        <v>372471</v>
      </c>
      <c r="AF73" s="185"/>
      <c r="AG73" s="185">
        <f>104604+124115</f>
        <v>228719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27773854</v>
      </c>
      <c r="CF73" s="2"/>
      <c r="CG73" s="2"/>
      <c r="CH73" s="2"/>
      <c r="CI73" s="2"/>
      <c r="CJ73" s="2"/>
      <c r="CK73" s="2"/>
      <c r="CL73" s="2"/>
    </row>
    <row r="74" spans="1:90" ht="12.65" customHeight="1" x14ac:dyDescent="0.3">
      <c r="A74" s="302" t="s">
        <v>246</v>
      </c>
      <c r="B74" s="295"/>
      <c r="C74" s="300">
        <v>901729</v>
      </c>
      <c r="D74" s="300"/>
      <c r="E74" s="185">
        <f>323485+2343064+280011+39006-2</f>
        <v>2985564</v>
      </c>
      <c r="F74" s="185"/>
      <c r="G74" s="300"/>
      <c r="H74" s="300"/>
      <c r="I74" s="300"/>
      <c r="J74" s="185">
        <v>0</v>
      </c>
      <c r="K74" s="185"/>
      <c r="L74" s="185"/>
      <c r="M74" s="300"/>
      <c r="N74" s="300"/>
      <c r="O74" s="300">
        <v>484371</v>
      </c>
      <c r="P74" s="185">
        <f>10249517+2537487</f>
        <v>12787004</v>
      </c>
      <c r="Q74" s="185">
        <v>1091162</v>
      </c>
      <c r="R74" s="185">
        <v>3039076</v>
      </c>
      <c r="S74" s="185">
        <f>10679131+327365</f>
        <v>11006496</v>
      </c>
      <c r="T74" s="185"/>
      <c r="U74" s="185">
        <f>9644271+90559</f>
        <v>9734830</v>
      </c>
      <c r="V74" s="185">
        <v>473130</v>
      </c>
      <c r="W74" s="185">
        <v>5972038</v>
      </c>
      <c r="X74" s="185">
        <v>8366211</v>
      </c>
      <c r="Y74" s="185">
        <f>5525980+3291967+1076844</f>
        <v>9894791</v>
      </c>
      <c r="Z74" s="185"/>
      <c r="AA74" s="185">
        <v>2719752</v>
      </c>
      <c r="AB74" s="185">
        <v>14271620</v>
      </c>
      <c r="AC74" s="185">
        <f>913827+1096023+187049</f>
        <v>2196899</v>
      </c>
      <c r="AD74" s="185"/>
      <c r="AE74" s="185">
        <f>3672217+229183+289297</f>
        <v>4190697</v>
      </c>
      <c r="AF74" s="185"/>
      <c r="AG74" s="185">
        <f>7213106+9471+4544961</f>
        <v>11767538</v>
      </c>
      <c r="AH74" s="185"/>
      <c r="AI74" s="185"/>
      <c r="AJ74" s="185">
        <v>124301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102007209</v>
      </c>
      <c r="CF74" s="2"/>
      <c r="CG74" s="2"/>
      <c r="CH74" s="2"/>
      <c r="CI74" s="2"/>
      <c r="CJ74" s="2"/>
      <c r="CK74" s="2"/>
      <c r="CL74" s="2"/>
    </row>
    <row r="75" spans="1:90" ht="12.65" customHeight="1" x14ac:dyDescent="0.3">
      <c r="A75" s="302" t="s">
        <v>247</v>
      </c>
      <c r="B75" s="295"/>
      <c r="C75" s="295">
        <f t="shared" ref="C75:AV75" si="9">SUM(C73:C74)</f>
        <v>2474982</v>
      </c>
      <c r="D75" s="295">
        <f t="shared" si="9"/>
        <v>0</v>
      </c>
      <c r="E75" s="295">
        <f t="shared" si="9"/>
        <v>5977081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462516</v>
      </c>
      <c r="K75" s="295">
        <f t="shared" si="9"/>
        <v>0</v>
      </c>
      <c r="L75" s="295">
        <f t="shared" si="9"/>
        <v>207443</v>
      </c>
      <c r="M75" s="295">
        <f t="shared" si="9"/>
        <v>0</v>
      </c>
      <c r="N75" s="295">
        <f t="shared" si="9"/>
        <v>0</v>
      </c>
      <c r="O75" s="295">
        <f t="shared" si="9"/>
        <v>2842357</v>
      </c>
      <c r="P75" s="295">
        <f t="shared" si="9"/>
        <v>17132540</v>
      </c>
      <c r="Q75" s="295">
        <f t="shared" si="9"/>
        <v>1470980</v>
      </c>
      <c r="R75" s="295">
        <f t="shared" si="9"/>
        <v>4204004</v>
      </c>
      <c r="S75" s="295">
        <f t="shared" si="9"/>
        <v>17111066</v>
      </c>
      <c r="T75" s="295">
        <f t="shared" si="9"/>
        <v>0</v>
      </c>
      <c r="U75" s="295">
        <f t="shared" si="9"/>
        <v>11457531</v>
      </c>
      <c r="V75" s="295">
        <f t="shared" si="9"/>
        <v>520519</v>
      </c>
      <c r="W75" s="295">
        <f t="shared" si="9"/>
        <v>6013730</v>
      </c>
      <c r="X75" s="295">
        <f t="shared" si="9"/>
        <v>8671562</v>
      </c>
      <c r="Y75" s="295">
        <f t="shared" si="9"/>
        <v>10471954</v>
      </c>
      <c r="Z75" s="295">
        <f t="shared" si="9"/>
        <v>0</v>
      </c>
      <c r="AA75" s="295">
        <f t="shared" si="9"/>
        <v>2759017</v>
      </c>
      <c r="AB75" s="295">
        <f t="shared" si="9"/>
        <v>17947100</v>
      </c>
      <c r="AC75" s="295">
        <f t="shared" si="9"/>
        <v>3372955</v>
      </c>
      <c r="AD75" s="295">
        <f t="shared" si="9"/>
        <v>0</v>
      </c>
      <c r="AE75" s="295">
        <f t="shared" si="9"/>
        <v>4563168</v>
      </c>
      <c r="AF75" s="295">
        <f t="shared" si="9"/>
        <v>0</v>
      </c>
      <c r="AG75" s="295">
        <f t="shared" si="9"/>
        <v>11996257</v>
      </c>
      <c r="AH75" s="295">
        <f t="shared" si="9"/>
        <v>0</v>
      </c>
      <c r="AI75" s="295">
        <f t="shared" si="9"/>
        <v>0</v>
      </c>
      <c r="AJ75" s="295">
        <f t="shared" si="9"/>
        <v>124301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129781063</v>
      </c>
      <c r="CF75" s="2"/>
      <c r="CG75" s="2"/>
      <c r="CH75" s="2"/>
      <c r="CI75" s="2"/>
      <c r="CJ75" s="2"/>
      <c r="CK75" s="2"/>
      <c r="CL75" s="2"/>
    </row>
    <row r="76" spans="1:90" ht="12.65" customHeight="1" x14ac:dyDescent="0.3">
      <c r="A76" s="302" t="s">
        <v>248</v>
      </c>
      <c r="B76" s="295"/>
      <c r="C76" s="300">
        <v>1804</v>
      </c>
      <c r="D76" s="300"/>
      <c r="E76" s="185">
        <v>9713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>
        <v>8281</v>
      </c>
      <c r="P76" s="185">
        <f>11113+5000</f>
        <v>16113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300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f>20252+5000</f>
        <v>25252</v>
      </c>
      <c r="CD76" s="305" t="s">
        <v>221</v>
      </c>
      <c r="CE76" s="295">
        <f t="shared" si="8"/>
        <v>120387</v>
      </c>
      <c r="CF76" s="295">
        <f>BE59-CE76</f>
        <v>0</v>
      </c>
      <c r="CG76" s="2"/>
      <c r="CH76" s="2"/>
      <c r="CI76" s="2"/>
      <c r="CJ76" s="2"/>
      <c r="CK76" s="2"/>
      <c r="CL76" s="2"/>
    </row>
    <row r="77" spans="1:90" ht="12.65" customHeight="1" x14ac:dyDescent="0.3">
      <c r="A77" s="302" t="s">
        <v>249</v>
      </c>
      <c r="B77" s="295"/>
      <c r="C77" s="300">
        <f>3175+1102.93</f>
        <v>4277.93</v>
      </c>
      <c r="D77" s="300"/>
      <c r="E77" s="300">
        <f>6239+1558.09</f>
        <v>7797.09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>
        <f>3681+872.28</f>
        <v>4553.28</v>
      </c>
      <c r="P77" s="300">
        <f>1080+1394.13</f>
        <v>2474.13</v>
      </c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>
        <f>467+1254.95</f>
        <v>1721.95</v>
      </c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>
        <f>43461+10536</f>
        <v>53997</v>
      </c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74821.38</v>
      </c>
      <c r="CF77" s="295">
        <f>AY59-CE77</f>
        <v>-53996.990000000005</v>
      </c>
      <c r="CG77" s="2"/>
      <c r="CH77" s="2"/>
      <c r="CI77" s="2"/>
      <c r="CJ77" s="2"/>
      <c r="CK77" s="2"/>
      <c r="CL77" s="2"/>
    </row>
    <row r="78" spans="1:90" ht="12.65" customHeight="1" x14ac:dyDescent="0.3">
      <c r="A78" s="302" t="s">
        <v>250</v>
      </c>
      <c r="B78" s="295"/>
      <c r="C78" s="300">
        <v>1317</v>
      </c>
      <c r="D78" s="300"/>
      <c r="E78" s="300">
        <v>3687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>
        <v>2897</v>
      </c>
      <c r="P78" s="300">
        <v>2370</v>
      </c>
      <c r="Q78" s="300"/>
      <c r="R78" s="300"/>
      <c r="S78" s="300"/>
      <c r="T78" s="300"/>
      <c r="U78" s="300">
        <v>1053</v>
      </c>
      <c r="V78" s="300">
        <v>527</v>
      </c>
      <c r="W78" s="300">
        <v>527</v>
      </c>
      <c r="X78" s="300">
        <v>527</v>
      </c>
      <c r="Y78" s="300">
        <v>1317</v>
      </c>
      <c r="Z78" s="300"/>
      <c r="AA78" s="300">
        <v>67</v>
      </c>
      <c r="AB78" s="300">
        <v>171</v>
      </c>
      <c r="AC78" s="300">
        <v>271</v>
      </c>
      <c r="AD78" s="300"/>
      <c r="AE78" s="300">
        <v>2633</v>
      </c>
      <c r="AF78" s="300"/>
      <c r="AG78" s="300">
        <v>2897</v>
      </c>
      <c r="AH78" s="300"/>
      <c r="AI78" s="300"/>
      <c r="AJ78" s="300"/>
      <c r="AK78" s="300"/>
      <c r="AL78" s="300"/>
      <c r="AM78" s="300"/>
      <c r="AN78" s="300"/>
      <c r="AO78" s="300"/>
      <c r="AP78" s="300">
        <v>790</v>
      </c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>
        <v>283</v>
      </c>
      <c r="BB78" s="300">
        <v>33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263</v>
      </c>
      <c r="BI78" s="300"/>
      <c r="BJ78" s="305" t="s">
        <v>221</v>
      </c>
      <c r="BK78" s="300"/>
      <c r="BL78" s="300">
        <v>189</v>
      </c>
      <c r="BM78" s="300">
        <v>60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>
        <v>296</v>
      </c>
      <c r="BW78" s="300">
        <v>33</v>
      </c>
      <c r="BX78" s="300">
        <v>33</v>
      </c>
      <c r="BY78" s="300">
        <v>33</v>
      </c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22274</v>
      </c>
      <c r="CF78" s="295"/>
      <c r="CG78" s="2"/>
      <c r="CH78" s="2"/>
      <c r="CI78" s="2"/>
      <c r="CJ78" s="2"/>
      <c r="CK78" s="2"/>
      <c r="CL78" s="2"/>
    </row>
    <row r="79" spans="1:90" ht="12.65" customHeight="1" x14ac:dyDescent="0.3">
      <c r="A79" s="302" t="s">
        <v>251</v>
      </c>
      <c r="B79" s="295"/>
      <c r="C79" s="225">
        <v>16658</v>
      </c>
      <c r="D79" s="225"/>
      <c r="E79" s="300">
        <f>49975</f>
        <v>49975</v>
      </c>
      <c r="F79" s="300"/>
      <c r="G79" s="300"/>
      <c r="H79" s="300"/>
      <c r="I79" s="300"/>
      <c r="J79" s="300">
        <v>19435</v>
      </c>
      <c r="K79" s="300"/>
      <c r="L79" s="300"/>
      <c r="M79" s="300"/>
      <c r="N79" s="300"/>
      <c r="O79" s="300">
        <v>38869</v>
      </c>
      <c r="P79" s="300">
        <v>49975</v>
      </c>
      <c r="Q79" s="300"/>
      <c r="R79" s="300"/>
      <c r="S79" s="300"/>
      <c r="T79" s="300"/>
      <c r="U79" s="300">
        <v>8329</v>
      </c>
      <c r="V79" s="300"/>
      <c r="W79" s="300"/>
      <c r="X79" s="300"/>
      <c r="Y79" s="300">
        <v>11106</v>
      </c>
      <c r="Z79" s="300"/>
      <c r="AA79" s="300"/>
      <c r="AB79" s="300"/>
      <c r="AC79" s="300"/>
      <c r="AD79" s="300"/>
      <c r="AE79" s="300">
        <v>54821</v>
      </c>
      <c r="AF79" s="300"/>
      <c r="AG79" s="300">
        <v>49975</v>
      </c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>
        <v>1264</v>
      </c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300407</v>
      </c>
      <c r="CF79" s="295">
        <f>BA59</f>
        <v>0</v>
      </c>
      <c r="CG79" s="2"/>
      <c r="CH79" s="2"/>
      <c r="CI79" s="2"/>
      <c r="CJ79" s="2"/>
      <c r="CK79" s="2"/>
      <c r="CL79" s="2"/>
    </row>
    <row r="80" spans="1:90" ht="12.65" customHeight="1" x14ac:dyDescent="0.3">
      <c r="A80" s="302" t="s">
        <v>252</v>
      </c>
      <c r="B80" s="295"/>
      <c r="C80" s="187">
        <f>19777.5/2080</f>
        <v>9.5084134615384617</v>
      </c>
      <c r="D80" s="187"/>
      <c r="E80" s="187">
        <f>30867/2080</f>
        <v>14.839903846153845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30467.5/2080</f>
        <v>14.647836538461538</v>
      </c>
      <c r="P80" s="187">
        <f>47932.274/2080</f>
        <v>23.044362499999998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29541.584/2080</f>
        <v>14.202684615384614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76.243200961538463</v>
      </c>
      <c r="CF80" s="310"/>
      <c r="CG80" s="2"/>
      <c r="CH80" s="2"/>
      <c r="CI80" s="2"/>
      <c r="CJ80" s="2"/>
      <c r="CK80" s="2"/>
      <c r="CL80" s="2"/>
    </row>
    <row r="81" spans="1:90" ht="21" customHeight="1" x14ac:dyDescent="0.3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:90" ht="12.65" customHeight="1" x14ac:dyDescent="0.3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:90" ht="12.65" customHeight="1" x14ac:dyDescent="0.3">
      <c r="A83" s="295" t="s">
        <v>255</v>
      </c>
      <c r="B83" s="312" t="s">
        <v>256</v>
      </c>
      <c r="C83" s="315" t="s">
        <v>1269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:90" ht="12.65" customHeight="1" x14ac:dyDescent="0.3">
      <c r="A84" s="295" t="s">
        <v>257</v>
      </c>
      <c r="B84" s="312" t="s">
        <v>256</v>
      </c>
      <c r="C84" s="229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:90" ht="12.65" customHeight="1" x14ac:dyDescent="0.3">
      <c r="A85" s="295" t="s">
        <v>1250</v>
      </c>
      <c r="B85" s="312"/>
      <c r="C85" s="270" t="s">
        <v>1271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:90" ht="12.65" customHeight="1" x14ac:dyDescent="0.3">
      <c r="A86" s="295" t="s">
        <v>1251</v>
      </c>
      <c r="B86" s="312" t="s">
        <v>256</v>
      </c>
      <c r="C86" s="27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:90" ht="12.65" customHeight="1" x14ac:dyDescent="0.3">
      <c r="A87" s="295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:90" ht="12.65" customHeight="1" x14ac:dyDescent="0.3">
      <c r="A88" s="295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:90" ht="12.65" customHeight="1" x14ac:dyDescent="0.3">
      <c r="A89" s="295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:90" ht="12.65" customHeight="1" x14ac:dyDescent="0.3">
      <c r="A90" s="295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:90" ht="12.65" customHeight="1" x14ac:dyDescent="0.3">
      <c r="A91" s="295" t="s">
        <v>262</v>
      </c>
      <c r="B91" s="312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:90" ht="12.65" customHeight="1" x14ac:dyDescent="0.3">
      <c r="A92" s="295" t="s">
        <v>263</v>
      </c>
      <c r="B92" s="312" t="s">
        <v>256</v>
      </c>
      <c r="C92" s="269" t="s">
        <v>1277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:90" ht="12.65" customHeight="1" x14ac:dyDescent="0.3">
      <c r="A93" s="295" t="s">
        <v>264</v>
      </c>
      <c r="B93" s="312" t="s">
        <v>256</v>
      </c>
      <c r="C93" s="269" t="s">
        <v>1278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:90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:90" ht="12.65" customHeight="1" x14ac:dyDescent="0.3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:90" ht="12.65" customHeight="1" x14ac:dyDescent="0.3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:90" ht="12.65" customHeight="1" x14ac:dyDescent="0.3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:90" ht="12.65" customHeight="1" x14ac:dyDescent="0.3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:90" ht="12.65" customHeight="1" x14ac:dyDescent="0.3">
      <c r="A99" s="295" t="s">
        <v>268</v>
      </c>
      <c r="B99" s="312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:90" ht="12.65" customHeight="1" x14ac:dyDescent="0.3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:90" ht="12.65" customHeight="1" x14ac:dyDescent="0.3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:90" ht="12.65" customHeight="1" x14ac:dyDescent="0.3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:90" ht="12.65" customHeight="1" x14ac:dyDescent="0.3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:90" ht="12.65" customHeight="1" x14ac:dyDescent="0.3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:90" ht="12.65" customHeight="1" x14ac:dyDescent="0.3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:90" ht="12.65" customHeight="1" x14ac:dyDescent="0.3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:90" ht="12.65" customHeight="1" x14ac:dyDescent="0.3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:90" ht="21.75" customHeight="1" x14ac:dyDescent="0.3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:90" ht="13.5" customHeight="1" x14ac:dyDescent="0.3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:90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:90" ht="12.65" customHeight="1" x14ac:dyDescent="0.3">
      <c r="A111" s="295" t="s">
        <v>278</v>
      </c>
      <c r="B111" s="312" t="s">
        <v>256</v>
      </c>
      <c r="C111" s="189">
        <f>1410-364-2</f>
        <v>1044</v>
      </c>
      <c r="D111" s="174">
        <f>3239-165</f>
        <v>3074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:90" ht="12.65" customHeight="1" x14ac:dyDescent="0.3">
      <c r="A112" s="295" t="s">
        <v>279</v>
      </c>
      <c r="B112" s="312" t="s">
        <v>256</v>
      </c>
      <c r="C112" s="189">
        <v>12</v>
      </c>
      <c r="D112" s="174">
        <v>165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1:90" ht="12.65" customHeight="1" x14ac:dyDescent="0.3">
      <c r="A113" s="295" t="s">
        <v>280</v>
      </c>
      <c r="B113" s="312" t="s">
        <v>256</v>
      </c>
      <c r="C113" s="189">
        <v>0</v>
      </c>
      <c r="D113" s="174">
        <v>0</v>
      </c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1:90" ht="12.65" customHeight="1" x14ac:dyDescent="0.3">
      <c r="A114" s="295" t="s">
        <v>281</v>
      </c>
      <c r="B114" s="312" t="s">
        <v>256</v>
      </c>
      <c r="C114" s="189">
        <v>354</v>
      </c>
      <c r="D114" s="174">
        <v>652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1:90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1:90" ht="12.65" customHeight="1" x14ac:dyDescent="0.3">
      <c r="A116" s="295" t="s">
        <v>283</v>
      </c>
      <c r="B116" s="312" t="s">
        <v>256</v>
      </c>
      <c r="C116" s="189">
        <v>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1:90" ht="12.65" customHeight="1" x14ac:dyDescent="0.3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1:90" ht="12.65" customHeight="1" x14ac:dyDescent="0.3">
      <c r="A118" s="295" t="s">
        <v>1238</v>
      </c>
      <c r="B118" s="312" t="s">
        <v>256</v>
      </c>
      <c r="C118" s="189">
        <v>13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1:90" ht="12.65" customHeight="1" x14ac:dyDescent="0.3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1:90" ht="12.65" customHeight="1" x14ac:dyDescent="0.3">
      <c r="A120" s="295" t="s">
        <v>286</v>
      </c>
      <c r="B120" s="312" t="s">
        <v>256</v>
      </c>
      <c r="C120" s="189">
        <v>8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1:90" ht="12.65" customHeight="1" x14ac:dyDescent="0.3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1:90" ht="12.65" customHeight="1" x14ac:dyDescent="0.3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</row>
    <row r="123" spans="1:90" ht="12.65" customHeight="1" x14ac:dyDescent="0.3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</row>
    <row r="124" spans="1:90" ht="12.65" customHeight="1" x14ac:dyDescent="0.3">
      <c r="A124" s="295" t="s">
        <v>289</v>
      </c>
      <c r="B124" s="312"/>
      <c r="C124" s="189">
        <v>2</v>
      </c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</row>
    <row r="125" spans="1:90" ht="12.65" customHeight="1" x14ac:dyDescent="0.3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</row>
    <row r="126" spans="1:90" ht="12.65" customHeight="1" x14ac:dyDescent="0.3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</row>
    <row r="127" spans="1:90" ht="12.65" customHeight="1" x14ac:dyDescent="0.3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</row>
    <row r="128" spans="1:90" ht="12.65" customHeight="1" x14ac:dyDescent="0.3">
      <c r="A128" s="295" t="s">
        <v>292</v>
      </c>
      <c r="B128" s="312" t="s">
        <v>256</v>
      </c>
      <c r="C128" s="189">
        <v>42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</row>
    <row r="129" spans="1:90" ht="12.65" customHeight="1" x14ac:dyDescent="0.3">
      <c r="A129" s="295" t="s">
        <v>293</v>
      </c>
      <c r="B129" s="312" t="s">
        <v>256</v>
      </c>
      <c r="C129" s="189">
        <v>8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</row>
    <row r="130" spans="1:90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</row>
    <row r="131" spans="1:90" ht="12.65" customHeight="1" x14ac:dyDescent="0.3">
      <c r="A131" s="295" t="s">
        <v>294</v>
      </c>
      <c r="B131" s="312" t="s">
        <v>256</v>
      </c>
      <c r="C131" s="189">
        <v>207443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</row>
    <row r="132" spans="1:90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</row>
    <row r="133" spans="1:90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</row>
    <row r="134" spans="1:90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</row>
    <row r="135" spans="1:90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</row>
    <row r="136" spans="1:90" ht="18" customHeight="1" x14ac:dyDescent="0.3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</row>
    <row r="137" spans="1:90" ht="12.65" customHeight="1" x14ac:dyDescent="0.3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</row>
    <row r="138" spans="1:90" ht="12.65" customHeight="1" x14ac:dyDescent="0.3">
      <c r="A138" s="295" t="s">
        <v>277</v>
      </c>
      <c r="B138" s="174">
        <v>419</v>
      </c>
      <c r="C138" s="189">
        <v>241</v>
      </c>
      <c r="D138" s="174">
        <f>1398-660-354</f>
        <v>384</v>
      </c>
      <c r="E138" s="295">
        <f>SUM(B138:D138)</f>
        <v>1044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</row>
    <row r="139" spans="1:90" ht="12.65" customHeight="1" x14ac:dyDescent="0.3">
      <c r="A139" s="295" t="s">
        <v>215</v>
      </c>
      <c r="B139" s="174">
        <f>1375-165+98</f>
        <v>1308</v>
      </c>
      <c r="C139" s="189">
        <v>612</v>
      </c>
      <c r="D139" s="174">
        <v>1154</v>
      </c>
      <c r="E139" s="295">
        <f>SUM(B139:D139)</f>
        <v>3074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</row>
    <row r="140" spans="1:90" ht="12.65" customHeight="1" x14ac:dyDescent="0.3">
      <c r="A140" s="295" t="s">
        <v>298</v>
      </c>
      <c r="B140" s="174">
        <v>21545</v>
      </c>
      <c r="C140" s="174">
        <v>9572</v>
      </c>
      <c r="D140" s="174">
        <f>75913-31117</f>
        <v>44796</v>
      </c>
      <c r="E140" s="295">
        <f>SUM(B140:D140)</f>
        <v>75913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</row>
    <row r="141" spans="1:90" ht="12.65" customHeight="1" x14ac:dyDescent="0.3">
      <c r="A141" s="295" t="s">
        <v>245</v>
      </c>
      <c r="B141" s="174">
        <f>1381604+12680068-207443</f>
        <v>13854229</v>
      </c>
      <c r="C141" s="189">
        <f>512255+108371+2266355+543688</f>
        <v>3430669</v>
      </c>
      <c r="D141" s="174">
        <f>27773854-17492341</f>
        <v>10281513</v>
      </c>
      <c r="E141" s="295">
        <f>SUM(B141:D141)</f>
        <v>27566411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</row>
    <row r="142" spans="1:90" ht="12.65" customHeight="1" x14ac:dyDescent="0.3">
      <c r="A142" s="295" t="s">
        <v>246</v>
      </c>
      <c r="B142" s="174">
        <f>3281735+29500969</f>
        <v>32782704</v>
      </c>
      <c r="C142" s="189">
        <f>1526467+521366+7701182+2405954</f>
        <v>12154969</v>
      </c>
      <c r="D142" s="174">
        <f>102007209-44937673</f>
        <v>57069536</v>
      </c>
      <c r="E142" s="295">
        <f>SUM(B142:D142)</f>
        <v>102007209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</row>
    <row r="143" spans="1:90" ht="12.65" customHeight="1" x14ac:dyDescent="0.3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</row>
    <row r="144" spans="1:90" ht="12.65" customHeight="1" x14ac:dyDescent="0.3">
      <c r="A144" s="295" t="s">
        <v>277</v>
      </c>
      <c r="B144" s="174">
        <v>11</v>
      </c>
      <c r="C144" s="189">
        <v>1</v>
      </c>
      <c r="D144" s="174">
        <v>0</v>
      </c>
      <c r="E144" s="295">
        <f>SUM(B144:D144)</f>
        <v>12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</row>
    <row r="145" spans="1:90" ht="12.65" customHeight="1" x14ac:dyDescent="0.3">
      <c r="A145" s="295" t="s">
        <v>215</v>
      </c>
      <c r="B145" s="174">
        <v>164</v>
      </c>
      <c r="C145" s="189">
        <v>1</v>
      </c>
      <c r="D145" s="174">
        <v>0</v>
      </c>
      <c r="E145" s="295">
        <f>SUM(B145:D145)</f>
        <v>165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</row>
    <row r="146" spans="1:90" ht="12.65" customHeight="1" x14ac:dyDescent="0.3">
      <c r="A146" s="295" t="s">
        <v>298</v>
      </c>
      <c r="B146" s="174">
        <v>0</v>
      </c>
      <c r="C146" s="189">
        <v>0</v>
      </c>
      <c r="D146" s="174">
        <v>0</v>
      </c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</row>
    <row r="147" spans="1:90" ht="12.65" customHeight="1" x14ac:dyDescent="0.3">
      <c r="A147" s="295" t="s">
        <v>245</v>
      </c>
      <c r="B147" s="174">
        <f>207443-1246</f>
        <v>206197</v>
      </c>
      <c r="C147" s="189">
        <v>1246</v>
      </c>
      <c r="D147" s="174">
        <v>0</v>
      </c>
      <c r="E147" s="295">
        <f>SUM(B147:D147)</f>
        <v>207443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</row>
    <row r="148" spans="1:90" ht="12.65" customHeight="1" x14ac:dyDescent="0.3">
      <c r="A148" s="295" t="s">
        <v>246</v>
      </c>
      <c r="B148" s="174">
        <v>0</v>
      </c>
      <c r="C148" s="189">
        <v>0</v>
      </c>
      <c r="D148" s="174">
        <v>0</v>
      </c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</row>
    <row r="149" spans="1:90" ht="12.65" customHeight="1" x14ac:dyDescent="0.3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</row>
    <row r="150" spans="1:90" ht="12.65" customHeight="1" x14ac:dyDescent="0.3">
      <c r="A150" s="295" t="s">
        <v>277</v>
      </c>
      <c r="B150" s="174">
        <v>0</v>
      </c>
      <c r="C150" s="189">
        <v>0</v>
      </c>
      <c r="D150" s="174">
        <v>0</v>
      </c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</row>
    <row r="151" spans="1:90" ht="12.65" customHeight="1" x14ac:dyDescent="0.3">
      <c r="A151" s="295" t="s">
        <v>215</v>
      </c>
      <c r="B151" s="174">
        <v>0</v>
      </c>
      <c r="C151" s="189">
        <v>0</v>
      </c>
      <c r="D151" s="174">
        <v>0</v>
      </c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</row>
    <row r="152" spans="1:90" ht="12.65" customHeight="1" x14ac:dyDescent="0.3">
      <c r="A152" s="295" t="s">
        <v>298</v>
      </c>
      <c r="B152" s="174">
        <v>0</v>
      </c>
      <c r="C152" s="189">
        <v>0</v>
      </c>
      <c r="D152" s="174">
        <v>0</v>
      </c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</row>
    <row r="153" spans="1:90" ht="12.65" customHeight="1" x14ac:dyDescent="0.3">
      <c r="A153" s="295" t="s">
        <v>245</v>
      </c>
      <c r="B153" s="174">
        <v>0</v>
      </c>
      <c r="C153" s="189">
        <v>0</v>
      </c>
      <c r="D153" s="174">
        <v>0</v>
      </c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</row>
    <row r="154" spans="1:90" ht="12.65" customHeight="1" x14ac:dyDescent="0.3">
      <c r="A154" s="295" t="s">
        <v>246</v>
      </c>
      <c r="B154" s="174">
        <v>0</v>
      </c>
      <c r="C154" s="189">
        <v>0</v>
      </c>
      <c r="D154" s="174">
        <v>0</v>
      </c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</row>
    <row r="155" spans="1:90" ht="12.65" customHeight="1" x14ac:dyDescent="0.3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</row>
    <row r="156" spans="1:90" ht="12.65" customHeight="1" x14ac:dyDescent="0.3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</row>
    <row r="157" spans="1:90" ht="12.65" customHeight="1" x14ac:dyDescent="0.3">
      <c r="A157" s="301" t="s">
        <v>304</v>
      </c>
      <c r="B157" s="174">
        <f>840633+4669076+237924</f>
        <v>5747633</v>
      </c>
      <c r="C157" s="174">
        <f>1500041+2731626+1741975</f>
        <v>5973642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</row>
    <row r="158" spans="1:90" ht="12.65" customHeight="1" x14ac:dyDescent="0.3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</row>
    <row r="159" spans="1:90" ht="12.65" customHeight="1" x14ac:dyDescent="0.3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</row>
    <row r="160" spans="1:90" ht="12.65" customHeight="1" x14ac:dyDescent="0.3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</row>
    <row r="161" spans="1:90" ht="12.65" customHeight="1" x14ac:dyDescent="0.3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</row>
    <row r="162" spans="1:90" ht="12.65" customHeight="1" x14ac:dyDescent="0.3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</row>
    <row r="163" spans="1:90" ht="21.75" customHeight="1" x14ac:dyDescent="0.3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</row>
    <row r="164" spans="1:90" ht="11.5" customHeight="1" x14ac:dyDescent="0.3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</row>
    <row r="165" spans="1:90" ht="11.5" customHeight="1" x14ac:dyDescent="0.3">
      <c r="A165" s="295" t="s">
        <v>307</v>
      </c>
      <c r="B165" s="312" t="s">
        <v>256</v>
      </c>
      <c r="C165" s="189">
        <v>2148390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</row>
    <row r="166" spans="1:90" ht="11.5" customHeight="1" x14ac:dyDescent="0.3">
      <c r="A166" s="295" t="s">
        <v>308</v>
      </c>
      <c r="B166" s="312" t="s">
        <v>256</v>
      </c>
      <c r="C166" s="189">
        <v>82592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</row>
    <row r="167" spans="1:90" ht="11.5" customHeight="1" x14ac:dyDescent="0.3">
      <c r="A167" s="301" t="s">
        <v>309</v>
      </c>
      <c r="B167" s="312" t="s">
        <v>256</v>
      </c>
      <c r="C167" s="189">
        <v>146254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</row>
    <row r="168" spans="1:90" ht="11.5" customHeight="1" x14ac:dyDescent="0.3">
      <c r="A168" s="295" t="s">
        <v>310</v>
      </c>
      <c r="B168" s="312" t="s">
        <v>256</v>
      </c>
      <c r="C168" s="189">
        <f>3012913+262991+11731+231607+98904</f>
        <v>3618146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</row>
    <row r="169" spans="1:90" ht="11.5" customHeight="1" x14ac:dyDescent="0.3">
      <c r="A169" s="295" t="s">
        <v>311</v>
      </c>
      <c r="B169" s="312" t="s">
        <v>256</v>
      </c>
      <c r="C169" s="189">
        <v>12596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</row>
    <row r="170" spans="1:90" ht="11.5" customHeight="1" x14ac:dyDescent="0.3">
      <c r="A170" s="295" t="s">
        <v>312</v>
      </c>
      <c r="B170" s="312" t="s">
        <v>256</v>
      </c>
      <c r="C170" s="189">
        <v>967674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</row>
    <row r="171" spans="1:90" ht="11.5" customHeight="1" x14ac:dyDescent="0.3">
      <c r="A171" s="295" t="s">
        <v>313</v>
      </c>
      <c r="B171" s="312" t="s">
        <v>256</v>
      </c>
      <c r="C171" s="189">
        <v>76834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</row>
    <row r="172" spans="1:90" ht="11.5" customHeight="1" x14ac:dyDescent="0.3">
      <c r="A172" s="295" t="s">
        <v>313</v>
      </c>
      <c r="B172" s="312" t="s">
        <v>256</v>
      </c>
      <c r="C172" s="189">
        <f>5502+39981-6594+9720+35945+443540</f>
        <v>528094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</row>
    <row r="173" spans="1:90" ht="11.5" customHeight="1" x14ac:dyDescent="0.3">
      <c r="A173" s="295" t="s">
        <v>203</v>
      </c>
      <c r="B173" s="295"/>
      <c r="C173" s="303"/>
      <c r="D173" s="295">
        <f>SUM(C165:C172)</f>
        <v>7580580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</row>
    <row r="174" spans="1:90" ht="11.5" customHeight="1" x14ac:dyDescent="0.3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</row>
    <row r="175" spans="1:90" ht="11.5" customHeight="1" x14ac:dyDescent="0.3">
      <c r="A175" s="295" t="s">
        <v>315</v>
      </c>
      <c r="B175" s="312" t="s">
        <v>256</v>
      </c>
      <c r="C175" s="189">
        <v>137586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</row>
    <row r="176" spans="1:90" ht="11.5" customHeight="1" x14ac:dyDescent="0.3">
      <c r="A176" s="295" t="s">
        <v>316</v>
      </c>
      <c r="B176" s="312" t="s">
        <v>256</v>
      </c>
      <c r="C176" s="189">
        <v>465393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</row>
    <row r="177" spans="1:90" ht="11.5" customHeight="1" x14ac:dyDescent="0.3">
      <c r="A177" s="295" t="s">
        <v>203</v>
      </c>
      <c r="B177" s="295"/>
      <c r="C177" s="303"/>
      <c r="D177" s="295">
        <f>SUM(C175:C176)</f>
        <v>602979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</row>
    <row r="178" spans="1:90" ht="11.5" customHeight="1" x14ac:dyDescent="0.3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</row>
    <row r="179" spans="1:90" ht="11.5" customHeight="1" x14ac:dyDescent="0.3">
      <c r="A179" s="295" t="s">
        <v>318</v>
      </c>
      <c r="B179" s="312" t="s">
        <v>256</v>
      </c>
      <c r="C179" s="189">
        <v>177060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</row>
    <row r="180" spans="1:90" ht="11.5" customHeight="1" x14ac:dyDescent="0.3">
      <c r="A180" s="295" t="s">
        <v>319</v>
      </c>
      <c r="B180" s="312" t="s">
        <v>256</v>
      </c>
      <c r="C180" s="189">
        <v>147749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</row>
    <row r="181" spans="1:90" ht="11.5" customHeight="1" x14ac:dyDescent="0.3">
      <c r="A181" s="295" t="s">
        <v>203</v>
      </c>
      <c r="B181" s="295"/>
      <c r="C181" s="303"/>
      <c r="D181" s="295">
        <f>SUM(C179:C180)</f>
        <v>324809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</row>
    <row r="182" spans="1:90" ht="11.5" customHeight="1" x14ac:dyDescent="0.3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</row>
    <row r="183" spans="1:90" ht="11.5" customHeight="1" x14ac:dyDescent="0.3">
      <c r="A183" s="295" t="s">
        <v>321</v>
      </c>
      <c r="B183" s="312" t="s">
        <v>256</v>
      </c>
      <c r="C183" s="189">
        <f>4568</f>
        <v>4568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</row>
    <row r="184" spans="1:90" ht="11.5" customHeight="1" x14ac:dyDescent="0.3">
      <c r="A184" s="295" t="s">
        <v>322</v>
      </c>
      <c r="B184" s="312" t="s">
        <v>256</v>
      </c>
      <c r="C184" s="189">
        <f>60179+658713-30780</f>
        <v>688112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</row>
    <row r="185" spans="1:90" ht="11.5" customHeight="1" x14ac:dyDescent="0.3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</row>
    <row r="186" spans="1:90" ht="11.5" customHeight="1" x14ac:dyDescent="0.3">
      <c r="A186" s="295" t="s">
        <v>203</v>
      </c>
      <c r="B186" s="295"/>
      <c r="C186" s="303"/>
      <c r="D186" s="295">
        <f>SUM(C183:C185)</f>
        <v>692680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</row>
    <row r="187" spans="1:90" ht="11.5" customHeight="1" x14ac:dyDescent="0.3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</row>
    <row r="188" spans="1:90" ht="11.5" customHeight="1" x14ac:dyDescent="0.3">
      <c r="A188" s="295" t="s">
        <v>324</v>
      </c>
      <c r="B188" s="312" t="s">
        <v>256</v>
      </c>
      <c r="C188" s="189">
        <f>507557-959</f>
        <v>506598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</row>
    <row r="189" spans="1:90" ht="11.5" customHeight="1" x14ac:dyDescent="0.3">
      <c r="A189" s="295" t="s">
        <v>325</v>
      </c>
      <c r="B189" s="312" t="s">
        <v>256</v>
      </c>
      <c r="C189" s="189">
        <v>959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</row>
    <row r="190" spans="1:90" ht="11.5" customHeight="1" x14ac:dyDescent="0.3">
      <c r="A190" s="295" t="s">
        <v>203</v>
      </c>
      <c r="B190" s="295"/>
      <c r="C190" s="303"/>
      <c r="D190" s="295">
        <f>SUM(C188:C189)</f>
        <v>507557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</row>
    <row r="191" spans="1:90" ht="11.5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</row>
    <row r="192" spans="1:90" ht="18" customHeight="1" x14ac:dyDescent="0.3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</row>
    <row r="193" spans="1:90" ht="12.65" customHeight="1" x14ac:dyDescent="0.3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</row>
    <row r="194" spans="1:90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</row>
    <row r="195" spans="1:90" ht="12.65" customHeight="1" x14ac:dyDescent="0.3">
      <c r="A195" s="295" t="s">
        <v>332</v>
      </c>
      <c r="B195" s="174">
        <v>1813305</v>
      </c>
      <c r="C195" s="189"/>
      <c r="D195" s="174"/>
      <c r="E195" s="295">
        <f t="shared" ref="E195:E203" si="10">SUM(B195:C195)-D195</f>
        <v>1813305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</row>
    <row r="196" spans="1:90" ht="12.65" customHeight="1" x14ac:dyDescent="0.3">
      <c r="A196" s="295" t="s">
        <v>333</v>
      </c>
      <c r="B196" s="174">
        <v>3741283</v>
      </c>
      <c r="C196" s="189"/>
      <c r="D196" s="174">
        <f>3635+44175</f>
        <v>47810</v>
      </c>
      <c r="E196" s="295">
        <f t="shared" si="10"/>
        <v>3693473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</row>
    <row r="197" spans="1:90" ht="12.65" customHeight="1" x14ac:dyDescent="0.3">
      <c r="A197" s="295" t="s">
        <v>334</v>
      </c>
      <c r="B197" s="174">
        <v>17930954.82</v>
      </c>
      <c r="C197" s="189">
        <f>607323+488013.55+2</f>
        <v>1095338.55</v>
      </c>
      <c r="D197" s="174">
        <v>523018</v>
      </c>
      <c r="E197" s="295">
        <f t="shared" si="10"/>
        <v>18503275.370000001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</row>
    <row r="198" spans="1:90" ht="12.65" customHeight="1" x14ac:dyDescent="0.3">
      <c r="A198" s="295" t="s">
        <v>335</v>
      </c>
      <c r="B198" s="174">
        <v>15339337.35</v>
      </c>
      <c r="C198" s="189">
        <v>482573</v>
      </c>
      <c r="D198" s="174">
        <v>28382</v>
      </c>
      <c r="E198" s="295">
        <f t="shared" si="10"/>
        <v>15793528.35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</row>
    <row r="199" spans="1:90" ht="12.65" customHeight="1" x14ac:dyDescent="0.3">
      <c r="A199" s="295" t="s">
        <v>336</v>
      </c>
      <c r="B199" s="174">
        <v>1111042.2</v>
      </c>
      <c r="C199" s="189"/>
      <c r="D199" s="174">
        <v>55152</v>
      </c>
      <c r="E199" s="295">
        <f t="shared" si="10"/>
        <v>1055890.2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</row>
    <row r="200" spans="1:90" ht="12.65" customHeight="1" x14ac:dyDescent="0.3">
      <c r="A200" s="295" t="s">
        <v>337</v>
      </c>
      <c r="B200" s="174">
        <v>15714510.579999998</v>
      </c>
      <c r="C200" s="189">
        <f>375452+348141-2</f>
        <v>723591</v>
      </c>
      <c r="D200" s="174">
        <f>364351+235338+185978</f>
        <v>785667</v>
      </c>
      <c r="E200" s="295">
        <f t="shared" si="10"/>
        <v>15652434.579999998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</row>
    <row r="201" spans="1:90" ht="12.65" customHeight="1" x14ac:dyDescent="0.3">
      <c r="A201" s="295" t="s">
        <v>338</v>
      </c>
      <c r="B201" s="174">
        <v>0</v>
      </c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</row>
    <row r="202" spans="1:90" ht="12.65" customHeight="1" x14ac:dyDescent="0.3">
      <c r="A202" s="295" t="s">
        <v>339</v>
      </c>
      <c r="B202" s="174">
        <v>0</v>
      </c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</row>
    <row r="203" spans="1:90" ht="12.65" customHeight="1" x14ac:dyDescent="0.3">
      <c r="A203" s="295" t="s">
        <v>340</v>
      </c>
      <c r="B203" s="174">
        <v>1148208</v>
      </c>
      <c r="C203" s="189">
        <v>434773</v>
      </c>
      <c r="D203" s="174">
        <v>1511833</v>
      </c>
      <c r="E203" s="295">
        <f t="shared" si="10"/>
        <v>71148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</row>
    <row r="204" spans="1:90" ht="12.65" customHeight="1" x14ac:dyDescent="0.3">
      <c r="A204" s="295" t="s">
        <v>203</v>
      </c>
      <c r="B204" s="295">
        <f>SUM(B195:B203)</f>
        <v>56798640.950000003</v>
      </c>
      <c r="C204" s="303">
        <f>SUM(C195:C203)</f>
        <v>2736275.55</v>
      </c>
      <c r="D204" s="295">
        <f>SUM(D195:D203)</f>
        <v>2951862</v>
      </c>
      <c r="E204" s="295">
        <f>SUM(E195:E203)</f>
        <v>56583054.5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</row>
    <row r="205" spans="1:90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</row>
    <row r="206" spans="1:90" ht="12.65" customHeight="1" x14ac:dyDescent="0.3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</row>
    <row r="207" spans="1:90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</row>
    <row r="208" spans="1:90" ht="12.65" customHeight="1" x14ac:dyDescent="0.3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</row>
    <row r="209" spans="1:90" ht="12.65" customHeight="1" x14ac:dyDescent="0.3">
      <c r="A209" s="295" t="s">
        <v>333</v>
      </c>
      <c r="B209" s="174">
        <v>1858766.23</v>
      </c>
      <c r="C209" s="189">
        <v>104222</v>
      </c>
      <c r="D209" s="174">
        <v>47810</v>
      </c>
      <c r="E209" s="295">
        <f t="shared" ref="E209:E216" si="11">SUM(B209:C209)-D209</f>
        <v>1915178.23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</row>
    <row r="210" spans="1:90" ht="12.65" customHeight="1" x14ac:dyDescent="0.3">
      <c r="A210" s="295" t="s">
        <v>334</v>
      </c>
      <c r="B210" s="174">
        <v>4697415.040000001</v>
      </c>
      <c r="C210" s="189">
        <v>751965</v>
      </c>
      <c r="D210" s="174">
        <f>523018-67</f>
        <v>522951</v>
      </c>
      <c r="E210" s="295">
        <f t="shared" si="11"/>
        <v>4926429.040000001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</row>
    <row r="211" spans="1:90" ht="12.65" customHeight="1" x14ac:dyDescent="0.3">
      <c r="A211" s="295" t="s">
        <v>335</v>
      </c>
      <c r="B211" s="174">
        <v>11885209.51</v>
      </c>
      <c r="C211" s="189">
        <v>492229</v>
      </c>
      <c r="D211" s="174">
        <v>28384</v>
      </c>
      <c r="E211" s="295">
        <f t="shared" si="11"/>
        <v>12349054.51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</row>
    <row r="212" spans="1:90" ht="12.65" customHeight="1" x14ac:dyDescent="0.3">
      <c r="A212" s="295" t="s">
        <v>336</v>
      </c>
      <c r="B212" s="174">
        <v>965192.74</v>
      </c>
      <c r="C212" s="189">
        <v>14303</v>
      </c>
      <c r="D212" s="174">
        <v>55152</v>
      </c>
      <c r="E212" s="295">
        <f t="shared" si="11"/>
        <v>924343.74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</row>
    <row r="213" spans="1:90" ht="12.65" customHeight="1" x14ac:dyDescent="0.3">
      <c r="A213" s="295" t="s">
        <v>337</v>
      </c>
      <c r="B213" s="174">
        <v>11067202.390000001</v>
      </c>
      <c r="C213" s="174">
        <f>1053390+142489+227636</f>
        <v>1423515</v>
      </c>
      <c r="D213" s="174">
        <f>785667-904</f>
        <v>784763</v>
      </c>
      <c r="E213" s="295">
        <f t="shared" si="11"/>
        <v>11705954.390000001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</row>
    <row r="214" spans="1:90" ht="12.65" customHeight="1" x14ac:dyDescent="0.3">
      <c r="A214" s="295" t="s">
        <v>338</v>
      </c>
      <c r="B214" s="174">
        <v>0</v>
      </c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</row>
    <row r="215" spans="1:90" ht="12.65" customHeight="1" x14ac:dyDescent="0.3">
      <c r="A215" s="295" t="s">
        <v>339</v>
      </c>
      <c r="B215" s="174">
        <v>0</v>
      </c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</row>
    <row r="216" spans="1:90" ht="12.65" customHeight="1" x14ac:dyDescent="0.3">
      <c r="A216" s="295" t="s">
        <v>340</v>
      </c>
      <c r="B216" s="174">
        <v>0</v>
      </c>
      <c r="C216" s="189" t="s">
        <v>1279</v>
      </c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</row>
    <row r="217" spans="1:90" ht="12.65" customHeight="1" x14ac:dyDescent="0.3">
      <c r="A217" s="295" t="s">
        <v>203</v>
      </c>
      <c r="B217" s="295">
        <f>SUM(B208:B216)</f>
        <v>30473785.91</v>
      </c>
      <c r="C217" s="303">
        <f>SUM(C208:C216)</f>
        <v>2786234</v>
      </c>
      <c r="D217" s="295">
        <f>SUM(D208:D216)</f>
        <v>1439060</v>
      </c>
      <c r="E217" s="295">
        <f>SUM(E208:E216)</f>
        <v>31820959.91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</row>
    <row r="218" spans="1:90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</row>
    <row r="219" spans="1:90" ht="21.75" customHeight="1" x14ac:dyDescent="0.3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</row>
    <row r="220" spans="1:90" ht="12.65" customHeight="1" x14ac:dyDescent="0.3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</row>
    <row r="221" spans="1:90" ht="12.65" customHeight="1" x14ac:dyDescent="0.3">
      <c r="A221" s="325" t="s">
        <v>1254</v>
      </c>
      <c r="B221" s="311"/>
      <c r="C221" s="189">
        <v>2093459</v>
      </c>
      <c r="D221" s="312">
        <f>C221</f>
        <v>2093459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</row>
    <row r="222" spans="1:90" ht="12.65" customHeight="1" x14ac:dyDescent="0.3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</row>
    <row r="223" spans="1:90" ht="12.65" customHeight="1" x14ac:dyDescent="0.3">
      <c r="A223" s="295" t="s">
        <v>344</v>
      </c>
      <c r="B223" s="312" t="s">
        <v>256</v>
      </c>
      <c r="C223" s="189">
        <v>23393383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</row>
    <row r="224" spans="1:90" ht="12.65" customHeight="1" x14ac:dyDescent="0.3">
      <c r="A224" s="295" t="s">
        <v>345</v>
      </c>
      <c r="B224" s="312" t="s">
        <v>256</v>
      </c>
      <c r="C224" s="189">
        <v>7143453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</row>
    <row r="225" spans="1:90" ht="12.65" customHeight="1" x14ac:dyDescent="0.3">
      <c r="A225" s="295" t="s">
        <v>346</v>
      </c>
      <c r="B225" s="312" t="s">
        <v>256</v>
      </c>
      <c r="C225" s="189">
        <v>758000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</row>
    <row r="226" spans="1:90" ht="12.65" customHeight="1" x14ac:dyDescent="0.3">
      <c r="A226" s="295" t="s">
        <v>347</v>
      </c>
      <c r="B226" s="312" t="s">
        <v>256</v>
      </c>
      <c r="C226" s="189">
        <f>569160</f>
        <v>569160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</row>
    <row r="227" spans="1:90" ht="12.65" customHeight="1" x14ac:dyDescent="0.3">
      <c r="A227" s="295" t="s">
        <v>348</v>
      </c>
      <c r="B227" s="312" t="s">
        <v>256</v>
      </c>
      <c r="C227" s="189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</row>
    <row r="228" spans="1:90" ht="12.65" customHeight="1" x14ac:dyDescent="0.3">
      <c r="A228" s="295" t="s">
        <v>349</v>
      </c>
      <c r="B228" s="312" t="s">
        <v>256</v>
      </c>
      <c r="C228" s="189">
        <f>59611524-36071092</f>
        <v>23540432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</row>
    <row r="229" spans="1:90" ht="12.65" customHeight="1" x14ac:dyDescent="0.3">
      <c r="A229" s="295" t="s">
        <v>350</v>
      </c>
      <c r="B229" s="295"/>
      <c r="C229" s="303"/>
      <c r="D229" s="295">
        <f>SUM(C223:C228)</f>
        <v>55404428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</row>
    <row r="230" spans="1:90" ht="12.65" customHeight="1" x14ac:dyDescent="0.3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</row>
    <row r="231" spans="1:90" ht="12.65" customHeight="1" x14ac:dyDescent="0.3">
      <c r="A231" s="302" t="s">
        <v>352</v>
      </c>
      <c r="B231" s="312" t="s">
        <v>256</v>
      </c>
      <c r="C231" s="189">
        <v>529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</row>
    <row r="232" spans="1:90" ht="12.65" customHeight="1" x14ac:dyDescent="0.3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</row>
    <row r="233" spans="1:90" ht="12.65" customHeight="1" x14ac:dyDescent="0.3">
      <c r="A233" s="302" t="s">
        <v>353</v>
      </c>
      <c r="B233" s="312" t="s">
        <v>256</v>
      </c>
      <c r="C233" s="189">
        <v>156137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</row>
    <row r="234" spans="1:90" ht="12.65" customHeight="1" x14ac:dyDescent="0.3">
      <c r="A234" s="302" t="s">
        <v>354</v>
      </c>
      <c r="B234" s="312" t="s">
        <v>256</v>
      </c>
      <c r="C234" s="189">
        <f>631933+1888</f>
        <v>633821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</row>
    <row r="235" spans="1:90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</row>
    <row r="236" spans="1:90" ht="12.65" customHeight="1" x14ac:dyDescent="0.3">
      <c r="A236" s="302" t="s">
        <v>355</v>
      </c>
      <c r="B236" s="295"/>
      <c r="C236" s="303"/>
      <c r="D236" s="295">
        <f>SUM(C233:C235)</f>
        <v>789958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</row>
    <row r="237" spans="1:90" ht="12.65" customHeight="1" x14ac:dyDescent="0.3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</row>
    <row r="238" spans="1:90" ht="12.65" customHeight="1" x14ac:dyDescent="0.3">
      <c r="A238" s="295" t="s">
        <v>357</v>
      </c>
      <c r="B238" s="312" t="s">
        <v>256</v>
      </c>
      <c r="C238" s="189">
        <f>850000+324737+1775</f>
        <v>1176512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</row>
    <row r="239" spans="1:90" ht="12.65" customHeight="1" x14ac:dyDescent="0.3">
      <c r="A239" s="295" t="s">
        <v>356</v>
      </c>
      <c r="B239" s="312" t="s">
        <v>256</v>
      </c>
      <c r="C239" s="189">
        <v>147167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</row>
    <row r="240" spans="1:90" ht="12.65" customHeight="1" x14ac:dyDescent="0.3">
      <c r="A240" s="295" t="s">
        <v>358</v>
      </c>
      <c r="B240" s="295"/>
      <c r="C240" s="303"/>
      <c r="D240" s="295">
        <f>SUM(C238:C239)</f>
        <v>1323679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</row>
    <row r="241" spans="1:90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</row>
    <row r="242" spans="1:90" ht="12.65" customHeight="1" x14ac:dyDescent="0.3">
      <c r="A242" s="295" t="s">
        <v>359</v>
      </c>
      <c r="B242" s="295"/>
      <c r="C242" s="303"/>
      <c r="D242" s="295">
        <f>D221+D229+D236+D240</f>
        <v>59611524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</row>
    <row r="243" spans="1:90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</row>
    <row r="244" spans="1:90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</row>
    <row r="245" spans="1:90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</row>
    <row r="246" spans="1:90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</row>
    <row r="247" spans="1:90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</row>
    <row r="248" spans="1:90" ht="11.25" customHeight="1" x14ac:dyDescent="0.3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</row>
    <row r="249" spans="1:90" ht="12.65" customHeight="1" x14ac:dyDescent="0.3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</row>
    <row r="250" spans="1:90" ht="12.65" customHeight="1" x14ac:dyDescent="0.3">
      <c r="A250" s="295" t="s">
        <v>362</v>
      </c>
      <c r="B250" s="312" t="s">
        <v>256</v>
      </c>
      <c r="C250" s="189">
        <v>10181956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</row>
    <row r="251" spans="1:90" ht="12.65" customHeight="1" x14ac:dyDescent="0.3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</row>
    <row r="252" spans="1:90" ht="12.65" customHeight="1" x14ac:dyDescent="0.3">
      <c r="A252" s="295" t="s">
        <v>364</v>
      </c>
      <c r="B252" s="312" t="s">
        <v>256</v>
      </c>
      <c r="C252" s="189">
        <v>18553644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</row>
    <row r="253" spans="1:90" ht="12.65" customHeight="1" x14ac:dyDescent="0.3">
      <c r="A253" s="295" t="s">
        <v>365</v>
      </c>
      <c r="B253" s="312" t="s">
        <v>256</v>
      </c>
      <c r="C253" s="189">
        <f>5349492+5551326</f>
        <v>10900818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</row>
    <row r="254" spans="1:90" ht="12.65" customHeight="1" x14ac:dyDescent="0.3">
      <c r="A254" s="295" t="s">
        <v>1240</v>
      </c>
      <c r="B254" s="312" t="s">
        <v>256</v>
      </c>
      <c r="C254" s="189">
        <v>43584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</row>
    <row r="255" spans="1:90" ht="12.65" customHeight="1" x14ac:dyDescent="0.3">
      <c r="A255" s="295" t="s">
        <v>366</v>
      </c>
      <c r="B255" s="312" t="s">
        <v>256</v>
      </c>
      <c r="C255" s="189">
        <v>875749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</row>
    <row r="256" spans="1:90" ht="12.65" customHeight="1" x14ac:dyDescent="0.3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</row>
    <row r="257" spans="1:90" ht="12.65" customHeight="1" x14ac:dyDescent="0.3">
      <c r="A257" s="295" t="s">
        <v>368</v>
      </c>
      <c r="B257" s="312" t="s">
        <v>256</v>
      </c>
      <c r="C257" s="189">
        <v>2082242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</row>
    <row r="258" spans="1:90" ht="12.65" customHeight="1" x14ac:dyDescent="0.3">
      <c r="A258" s="295" t="s">
        <v>369</v>
      </c>
      <c r="B258" s="312" t="s">
        <v>256</v>
      </c>
      <c r="C258" s="189">
        <v>965711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</row>
    <row r="259" spans="1:90" ht="12.65" customHeight="1" x14ac:dyDescent="0.3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</row>
    <row r="260" spans="1:90" ht="11.25" customHeight="1" x14ac:dyDescent="0.3">
      <c r="A260" s="295" t="s">
        <v>371</v>
      </c>
      <c r="B260" s="295"/>
      <c r="C260" s="303"/>
      <c r="D260" s="295">
        <f>SUM(C250:C252)-C253+SUM(C254:C259)</f>
        <v>21802068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</row>
    <row r="261" spans="1:90" ht="12.65" customHeight="1" x14ac:dyDescent="0.3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</row>
    <row r="262" spans="1:90" ht="12.65" customHeight="1" x14ac:dyDescent="0.3">
      <c r="A262" s="295" t="s">
        <v>362</v>
      </c>
      <c r="B262" s="312" t="s">
        <v>256</v>
      </c>
      <c r="C262" s="189">
        <v>24670769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</row>
    <row r="263" spans="1:90" ht="12.65" customHeight="1" x14ac:dyDescent="0.3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</row>
    <row r="264" spans="1:90" ht="12.65" customHeight="1" x14ac:dyDescent="0.3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</row>
    <row r="265" spans="1:90" ht="11.25" customHeight="1" x14ac:dyDescent="0.3">
      <c r="A265" s="295" t="s">
        <v>374</v>
      </c>
      <c r="B265" s="295"/>
      <c r="C265" s="303"/>
      <c r="D265" s="295">
        <f>SUM(C262:C264)</f>
        <v>24670769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</row>
    <row r="266" spans="1:90" ht="12.65" customHeight="1" x14ac:dyDescent="0.3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</row>
    <row r="267" spans="1:90" ht="12.65" customHeight="1" x14ac:dyDescent="0.3">
      <c r="A267" s="295" t="s">
        <v>332</v>
      </c>
      <c r="B267" s="312" t="s">
        <v>256</v>
      </c>
      <c r="C267" s="189">
        <v>1813305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</row>
    <row r="268" spans="1:90" ht="12.65" customHeight="1" x14ac:dyDescent="0.3">
      <c r="A268" s="295" t="s">
        <v>333</v>
      </c>
      <c r="B268" s="312" t="s">
        <v>256</v>
      </c>
      <c r="C268" s="189">
        <v>3693473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</row>
    <row r="269" spans="1:90" ht="12.65" customHeight="1" x14ac:dyDescent="0.3">
      <c r="A269" s="295" t="s">
        <v>334</v>
      </c>
      <c r="B269" s="312" t="s">
        <v>256</v>
      </c>
      <c r="C269" s="189">
        <f>13889860+4613415</f>
        <v>18503275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</row>
    <row r="270" spans="1:90" ht="12.65" customHeight="1" x14ac:dyDescent="0.3">
      <c r="A270" s="295" t="s">
        <v>376</v>
      </c>
      <c r="B270" s="312" t="s">
        <v>256</v>
      </c>
      <c r="C270" s="189">
        <f>15793528</f>
        <v>15793528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</row>
    <row r="271" spans="1:90" ht="12.65" customHeight="1" x14ac:dyDescent="0.3">
      <c r="A271" s="295" t="s">
        <v>377</v>
      </c>
      <c r="B271" s="312" t="s">
        <v>256</v>
      </c>
      <c r="C271" s="189">
        <v>1055891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</row>
    <row r="272" spans="1:90" ht="12.65" customHeight="1" x14ac:dyDescent="0.3">
      <c r="A272" s="295" t="s">
        <v>378</v>
      </c>
      <c r="B272" s="312" t="s">
        <v>256</v>
      </c>
      <c r="C272" s="189">
        <f>13721506+1930929</f>
        <v>15652435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</row>
    <row r="273" spans="1:90" ht="12.65" customHeight="1" x14ac:dyDescent="0.3">
      <c r="A273" s="295" t="s">
        <v>339</v>
      </c>
      <c r="B273" s="312" t="s">
        <v>256</v>
      </c>
      <c r="C273" s="189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</row>
    <row r="274" spans="1:90" ht="12.65" customHeight="1" x14ac:dyDescent="0.3">
      <c r="A274" s="295" t="s">
        <v>340</v>
      </c>
      <c r="B274" s="312" t="s">
        <v>256</v>
      </c>
      <c r="C274" s="189">
        <v>71148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</row>
    <row r="275" spans="1:90" ht="12.65" customHeight="1" x14ac:dyDescent="0.3">
      <c r="A275" s="295" t="s">
        <v>379</v>
      </c>
      <c r="B275" s="295"/>
      <c r="C275" s="303"/>
      <c r="D275" s="295">
        <f>SUM(C267:C274)</f>
        <v>56583055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</row>
    <row r="276" spans="1:90" ht="12.65" customHeight="1" x14ac:dyDescent="0.3">
      <c r="A276" s="295" t="s">
        <v>380</v>
      </c>
      <c r="B276" s="312" t="s">
        <v>256</v>
      </c>
      <c r="C276" s="189">
        <v>31820960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</row>
    <row r="277" spans="1:90" ht="12.65" customHeight="1" x14ac:dyDescent="0.3">
      <c r="A277" s="295" t="s">
        <v>381</v>
      </c>
      <c r="B277" s="295"/>
      <c r="C277" s="303"/>
      <c r="D277" s="295">
        <f>D275-C276</f>
        <v>24762095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</row>
    <row r="278" spans="1:90" ht="12.65" customHeight="1" x14ac:dyDescent="0.3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</row>
    <row r="279" spans="1:90" ht="12.65" customHeight="1" x14ac:dyDescent="0.3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</row>
    <row r="280" spans="1:90" ht="12.65" customHeight="1" x14ac:dyDescent="0.3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</row>
    <row r="281" spans="1:90" ht="12.65" customHeight="1" x14ac:dyDescent="0.3">
      <c r="A281" s="295" t="s">
        <v>385</v>
      </c>
      <c r="B281" s="312" t="s">
        <v>256</v>
      </c>
      <c r="C281" s="189">
        <v>536983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</row>
    <row r="282" spans="1:90" ht="12.65" customHeight="1" x14ac:dyDescent="0.3">
      <c r="A282" s="295" t="s">
        <v>373</v>
      </c>
      <c r="B282" s="312" t="s">
        <v>256</v>
      </c>
      <c r="C282" s="189">
        <v>-300000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</row>
    <row r="283" spans="1:90" ht="12.65" customHeight="1" x14ac:dyDescent="0.3">
      <c r="A283" s="295" t="s">
        <v>386</v>
      </c>
      <c r="B283" s="295"/>
      <c r="C283" s="303"/>
      <c r="D283" s="295">
        <f>C279-C280+C281+C282</f>
        <v>236983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</row>
    <row r="284" spans="1:90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</row>
    <row r="285" spans="1:90" ht="12.65" customHeight="1" x14ac:dyDescent="0.3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</row>
    <row r="286" spans="1:90" ht="12.65" customHeight="1" x14ac:dyDescent="0.3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</row>
    <row r="287" spans="1:90" ht="12.65" customHeight="1" x14ac:dyDescent="0.3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</row>
    <row r="288" spans="1:90" ht="12.65" customHeight="1" x14ac:dyDescent="0.3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</row>
    <row r="289" spans="1:90" ht="12.65" customHeight="1" x14ac:dyDescent="0.3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</row>
    <row r="290" spans="1:90" ht="12.65" customHeight="1" x14ac:dyDescent="0.3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</row>
    <row r="291" spans="1:90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</row>
    <row r="292" spans="1:90" ht="12.65" customHeight="1" x14ac:dyDescent="0.3">
      <c r="A292" s="295" t="s">
        <v>393</v>
      </c>
      <c r="B292" s="295"/>
      <c r="C292" s="303"/>
      <c r="D292" s="295">
        <f>D260+D265+D277+D283+D290</f>
        <v>71471915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</row>
    <row r="293" spans="1:90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</row>
    <row r="294" spans="1:90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</row>
    <row r="295" spans="1:90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</row>
    <row r="296" spans="1:90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</row>
    <row r="297" spans="1:90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</row>
    <row r="298" spans="1:90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</row>
    <row r="299" spans="1:90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</row>
    <row r="300" spans="1:90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</row>
    <row r="301" spans="1:90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</row>
    <row r="302" spans="1:90" ht="14.25" customHeight="1" x14ac:dyDescent="0.3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</row>
    <row r="303" spans="1:90" ht="12.65" customHeight="1" x14ac:dyDescent="0.3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</row>
    <row r="304" spans="1:90" ht="12.65" customHeight="1" x14ac:dyDescent="0.3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</row>
    <row r="305" spans="1:90" ht="12.65" customHeight="1" x14ac:dyDescent="0.3">
      <c r="A305" s="295" t="s">
        <v>397</v>
      </c>
      <c r="B305" s="312" t="s">
        <v>256</v>
      </c>
      <c r="C305" s="189">
        <v>2302675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</row>
    <row r="306" spans="1:90" ht="12.65" customHeight="1" x14ac:dyDescent="0.3">
      <c r="A306" s="295" t="s">
        <v>398</v>
      </c>
      <c r="B306" s="312" t="s">
        <v>256</v>
      </c>
      <c r="C306" s="189">
        <v>3567948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</row>
    <row r="307" spans="1:90" ht="12.65" customHeight="1" x14ac:dyDescent="0.3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</row>
    <row r="308" spans="1:90" ht="12.65" customHeight="1" x14ac:dyDescent="0.3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</row>
    <row r="309" spans="1:90" ht="12.65" customHeight="1" x14ac:dyDescent="0.3">
      <c r="A309" s="295" t="s">
        <v>1241</v>
      </c>
      <c r="B309" s="312" t="s">
        <v>256</v>
      </c>
      <c r="C309" s="189">
        <v>-192000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</row>
    <row r="310" spans="1:90" ht="12.65" customHeight="1" x14ac:dyDescent="0.3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</row>
    <row r="311" spans="1:90" ht="12.65" customHeight="1" x14ac:dyDescent="0.3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</row>
    <row r="312" spans="1:90" ht="12.65" customHeight="1" x14ac:dyDescent="0.3">
      <c r="A312" s="295" t="s">
        <v>403</v>
      </c>
      <c r="B312" s="312" t="s">
        <v>256</v>
      </c>
      <c r="C312" s="189">
        <v>258676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</row>
    <row r="313" spans="1:90" ht="12.65" customHeight="1" x14ac:dyDescent="0.3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</row>
    <row r="314" spans="1:90" ht="12.65" customHeight="1" x14ac:dyDescent="0.3">
      <c r="A314" s="295" t="s">
        <v>405</v>
      </c>
      <c r="B314" s="295"/>
      <c r="C314" s="303"/>
      <c r="D314" s="295">
        <f>SUM(C304:C313)</f>
        <v>5937299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</row>
    <row r="315" spans="1:90" ht="12.65" customHeight="1" x14ac:dyDescent="0.3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</row>
    <row r="316" spans="1:90" ht="12.65" customHeight="1" x14ac:dyDescent="0.3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</row>
    <row r="317" spans="1:90" ht="12.65" customHeight="1" x14ac:dyDescent="0.3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</row>
    <row r="318" spans="1:90" ht="12.65" customHeight="1" x14ac:dyDescent="0.3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</row>
    <row r="319" spans="1:90" ht="12.65" customHeight="1" x14ac:dyDescent="0.3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</row>
    <row r="320" spans="1:90" ht="12.65" customHeight="1" x14ac:dyDescent="0.3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</row>
    <row r="321" spans="1:90" ht="12.65" customHeight="1" x14ac:dyDescent="0.3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</row>
    <row r="322" spans="1:90" ht="12.65" customHeight="1" x14ac:dyDescent="0.3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</row>
    <row r="323" spans="1:90" ht="12.65" customHeight="1" x14ac:dyDescent="0.3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</row>
    <row r="324" spans="1:90" ht="12.65" customHeight="1" x14ac:dyDescent="0.3">
      <c r="A324" s="302" t="s">
        <v>415</v>
      </c>
      <c r="B324" s="312" t="s">
        <v>256</v>
      </c>
      <c r="C324" s="189">
        <v>799475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</row>
    <row r="325" spans="1:90" ht="12.65" customHeight="1" x14ac:dyDescent="0.3">
      <c r="A325" s="295" t="s">
        <v>416</v>
      </c>
      <c r="B325" s="312" t="s">
        <v>256</v>
      </c>
      <c r="C325" s="189">
        <v>11608141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</row>
    <row r="326" spans="1:90" ht="12.65" customHeight="1" x14ac:dyDescent="0.3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</row>
    <row r="327" spans="1:90" ht="19.5" customHeight="1" x14ac:dyDescent="0.3">
      <c r="A327" s="295" t="s">
        <v>418</v>
      </c>
      <c r="B327" s="312" t="s">
        <v>256</v>
      </c>
      <c r="C327" s="189">
        <v>10079801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</row>
    <row r="328" spans="1:90" ht="12.65" customHeight="1" x14ac:dyDescent="0.3">
      <c r="A328" s="295" t="s">
        <v>203</v>
      </c>
      <c r="B328" s="295"/>
      <c r="C328" s="303"/>
      <c r="D328" s="295">
        <f>SUM(C321:C327)</f>
        <v>22487417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</row>
    <row r="329" spans="1:90" ht="12.65" customHeight="1" x14ac:dyDescent="0.3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</row>
    <row r="330" spans="1:90" ht="12.65" customHeight="1" x14ac:dyDescent="0.3">
      <c r="A330" s="295" t="s">
        <v>420</v>
      </c>
      <c r="B330" s="295"/>
      <c r="C330" s="303"/>
      <c r="D330" s="295">
        <f>D328-D329</f>
        <v>22487417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</row>
    <row r="331" spans="1:90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</row>
    <row r="332" spans="1:90" ht="12.65" customHeight="1" x14ac:dyDescent="0.3">
      <c r="A332" s="295" t="s">
        <v>421</v>
      </c>
      <c r="B332" s="312" t="s">
        <v>256</v>
      </c>
      <c r="C332" s="222"/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</row>
    <row r="333" spans="1:90" ht="12.65" customHeight="1" x14ac:dyDescent="0.3">
      <c r="A333" s="295"/>
      <c r="B333" s="312"/>
      <c r="C333" s="230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</row>
    <row r="334" spans="1:90" ht="12.65" customHeight="1" x14ac:dyDescent="0.3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</row>
    <row r="335" spans="1:90" ht="12.65" customHeight="1" x14ac:dyDescent="0.3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</row>
    <row r="336" spans="1:90" ht="12.65" customHeight="1" x14ac:dyDescent="0.3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</row>
    <row r="337" spans="1:90" ht="12.65" customHeight="1" x14ac:dyDescent="0.3">
      <c r="A337" s="295" t="s">
        <v>422</v>
      </c>
      <c r="B337" s="312" t="s">
        <v>256</v>
      </c>
      <c r="C337" s="222">
        <v>43047199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</row>
    <row r="338" spans="1:90" ht="12.65" customHeight="1" x14ac:dyDescent="0.3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</row>
    <row r="339" spans="1:90" ht="12.65" customHeight="1" x14ac:dyDescent="0.3">
      <c r="A339" s="295" t="s">
        <v>424</v>
      </c>
      <c r="B339" s="295"/>
      <c r="C339" s="303"/>
      <c r="D339" s="295">
        <f>D314+D319+D330+C332+C336+C337</f>
        <v>71471915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</row>
    <row r="340" spans="1:90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</row>
    <row r="341" spans="1:90" ht="12.65" customHeight="1" x14ac:dyDescent="0.3">
      <c r="A341" s="295" t="s">
        <v>425</v>
      </c>
      <c r="B341" s="295"/>
      <c r="C341" s="303"/>
      <c r="D341" s="295">
        <f>D292</f>
        <v>71471915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</row>
    <row r="342" spans="1:90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</row>
    <row r="343" spans="1:90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</row>
    <row r="344" spans="1:90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</row>
    <row r="345" spans="1:90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</row>
    <row r="346" spans="1:90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</row>
    <row r="347" spans="1:90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</row>
    <row r="348" spans="1:90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</row>
    <row r="349" spans="1:90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</row>
    <row r="350" spans="1:90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</row>
    <row r="351" spans="1:90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</row>
    <row r="352" spans="1:90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</row>
    <row r="353" spans="1:90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</row>
    <row r="354" spans="1:90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</row>
    <row r="355" spans="1:90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</row>
    <row r="356" spans="1:90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</row>
    <row r="357" spans="1:90" ht="12.65" customHeight="1" x14ac:dyDescent="0.3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</row>
    <row r="358" spans="1:90" ht="12.65" customHeight="1" x14ac:dyDescent="0.3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</row>
    <row r="359" spans="1:90" ht="12.65" customHeight="1" x14ac:dyDescent="0.3">
      <c r="A359" s="295" t="s">
        <v>428</v>
      </c>
      <c r="B359" s="312" t="s">
        <v>256</v>
      </c>
      <c r="C359" s="189">
        <v>27773854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</row>
    <row r="360" spans="1:90" ht="12.65" customHeight="1" x14ac:dyDescent="0.3">
      <c r="A360" s="295" t="s">
        <v>429</v>
      </c>
      <c r="B360" s="312" t="s">
        <v>256</v>
      </c>
      <c r="C360" s="189">
        <v>102007209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</row>
    <row r="361" spans="1:90" ht="12.65" customHeight="1" x14ac:dyDescent="0.3">
      <c r="A361" s="295" t="s">
        <v>430</v>
      </c>
      <c r="B361" s="295"/>
      <c r="C361" s="303"/>
      <c r="D361" s="295">
        <f>SUM(C359:C360)</f>
        <v>129781063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</row>
    <row r="362" spans="1:90" ht="12.65" customHeight="1" x14ac:dyDescent="0.3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</row>
    <row r="363" spans="1:90" ht="12.65" customHeight="1" x14ac:dyDescent="0.3">
      <c r="A363" s="295" t="s">
        <v>1254</v>
      </c>
      <c r="B363" s="316"/>
      <c r="C363" s="189">
        <v>2093459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</row>
    <row r="364" spans="1:90" ht="12.65" customHeight="1" x14ac:dyDescent="0.3">
      <c r="A364" s="295" t="s">
        <v>432</v>
      </c>
      <c r="B364" s="312" t="s">
        <v>256</v>
      </c>
      <c r="C364" s="189">
        <v>55404428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</row>
    <row r="365" spans="1:90" ht="12.65" customHeight="1" x14ac:dyDescent="0.3">
      <c r="A365" s="295" t="s">
        <v>433</v>
      </c>
      <c r="B365" s="312" t="s">
        <v>256</v>
      </c>
      <c r="C365" s="189">
        <v>789958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</row>
    <row r="366" spans="1:90" ht="12.65" customHeight="1" x14ac:dyDescent="0.3">
      <c r="A366" s="295" t="s">
        <v>434</v>
      </c>
      <c r="B366" s="312" t="s">
        <v>256</v>
      </c>
      <c r="C366" s="189">
        <v>1323679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</row>
    <row r="367" spans="1:90" ht="12.65" customHeight="1" x14ac:dyDescent="0.3">
      <c r="A367" s="295" t="s">
        <v>359</v>
      </c>
      <c r="B367" s="295"/>
      <c r="C367" s="303"/>
      <c r="D367" s="295">
        <f>SUM(C363:C366)</f>
        <v>59611524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</row>
    <row r="368" spans="1:90" ht="12.65" customHeight="1" x14ac:dyDescent="0.3">
      <c r="A368" s="295" t="s">
        <v>435</v>
      </c>
      <c r="B368" s="295"/>
      <c r="C368" s="303"/>
      <c r="D368" s="295">
        <f>D361-D367</f>
        <v>70169539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</row>
    <row r="369" spans="1:90" ht="12.65" customHeight="1" x14ac:dyDescent="0.3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</row>
    <row r="370" spans="1:90" ht="12.65" customHeight="1" x14ac:dyDescent="0.3">
      <c r="A370" s="295" t="s">
        <v>437</v>
      </c>
      <c r="B370" s="312" t="s">
        <v>256</v>
      </c>
      <c r="C370" s="189">
        <v>8399492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</row>
    <row r="371" spans="1:90" ht="12.65" customHeight="1" x14ac:dyDescent="0.3">
      <c r="A371" s="295" t="s">
        <v>438</v>
      </c>
      <c r="B371" s="312" t="s">
        <v>256</v>
      </c>
      <c r="C371" s="189">
        <v>1239883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</row>
    <row r="372" spans="1:90" ht="12.65" customHeight="1" x14ac:dyDescent="0.3">
      <c r="A372" s="295" t="s">
        <v>439</v>
      </c>
      <c r="B372" s="295"/>
      <c r="C372" s="303"/>
      <c r="D372" s="295">
        <f>SUM(C370:C371)</f>
        <v>9639375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</row>
    <row r="373" spans="1:90" ht="12.65" customHeight="1" x14ac:dyDescent="0.3">
      <c r="A373" s="295" t="s">
        <v>440</v>
      </c>
      <c r="B373" s="295"/>
      <c r="C373" s="303"/>
      <c r="D373" s="295">
        <f>D368+D372</f>
        <v>79808914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</row>
    <row r="374" spans="1:90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</row>
    <row r="375" spans="1:90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</row>
    <row r="376" spans="1:90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</row>
    <row r="377" spans="1:90" ht="12.65" customHeight="1" x14ac:dyDescent="0.3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</row>
    <row r="378" spans="1:90" ht="12.65" customHeight="1" x14ac:dyDescent="0.3">
      <c r="A378" s="295" t="s">
        <v>442</v>
      </c>
      <c r="B378" s="312" t="s">
        <v>256</v>
      </c>
      <c r="C378" s="189">
        <v>31519203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</row>
    <row r="379" spans="1:90" ht="12.65" customHeight="1" x14ac:dyDescent="0.3">
      <c r="A379" s="295" t="s">
        <v>3</v>
      </c>
      <c r="B379" s="312" t="s">
        <v>256</v>
      </c>
      <c r="C379" s="189">
        <v>7580580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</row>
    <row r="380" spans="1:90" ht="12.65" customHeight="1" x14ac:dyDescent="0.3">
      <c r="A380" s="295" t="s">
        <v>236</v>
      </c>
      <c r="B380" s="312" t="s">
        <v>256</v>
      </c>
      <c r="C380" s="189">
        <v>5343108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</row>
    <row r="381" spans="1:90" ht="12.65" customHeight="1" x14ac:dyDescent="0.3">
      <c r="A381" s="295" t="s">
        <v>443</v>
      </c>
      <c r="B381" s="312" t="s">
        <v>256</v>
      </c>
      <c r="C381" s="189">
        <v>11471442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</row>
    <row r="382" spans="1:90" ht="12.65" customHeight="1" x14ac:dyDescent="0.3">
      <c r="A382" s="295" t="s">
        <v>444</v>
      </c>
      <c r="B382" s="312" t="s">
        <v>256</v>
      </c>
      <c r="C382" s="189">
        <v>749575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</row>
    <row r="383" spans="1:90" ht="12.65" customHeight="1" x14ac:dyDescent="0.3">
      <c r="A383" s="295" t="s">
        <v>445</v>
      </c>
      <c r="B383" s="312" t="s">
        <v>256</v>
      </c>
      <c r="C383" s="189">
        <v>3560333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</row>
    <row r="384" spans="1:90" ht="12.65" customHeight="1" x14ac:dyDescent="0.3">
      <c r="A384" s="295" t="s">
        <v>6</v>
      </c>
      <c r="B384" s="312" t="s">
        <v>256</v>
      </c>
      <c r="C384" s="189">
        <v>2786234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</row>
    <row r="385" spans="1:90" ht="12.65" customHeight="1" x14ac:dyDescent="0.3">
      <c r="A385" s="295" t="s">
        <v>446</v>
      </c>
      <c r="B385" s="312" t="s">
        <v>256</v>
      </c>
      <c r="C385" s="189">
        <v>602979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</row>
    <row r="386" spans="1:90" ht="12.65" customHeight="1" x14ac:dyDescent="0.3">
      <c r="A386" s="295" t="s">
        <v>447</v>
      </c>
      <c r="B386" s="312" t="s">
        <v>256</v>
      </c>
      <c r="C386" s="189">
        <v>324809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</row>
    <row r="387" spans="1:90" ht="12.65" customHeight="1" x14ac:dyDescent="0.3">
      <c r="A387" s="295" t="s">
        <v>448</v>
      </c>
      <c r="B387" s="312" t="s">
        <v>256</v>
      </c>
      <c r="C387" s="189">
        <v>692680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</row>
    <row r="388" spans="1:90" ht="12.65" customHeight="1" x14ac:dyDescent="0.3">
      <c r="A388" s="295" t="s">
        <v>449</v>
      </c>
      <c r="B388" s="312" t="s">
        <v>256</v>
      </c>
      <c r="C388" s="189">
        <v>507557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</row>
    <row r="389" spans="1:90" ht="12.65" customHeight="1" x14ac:dyDescent="0.3">
      <c r="A389" s="295" t="s">
        <v>451</v>
      </c>
      <c r="B389" s="312" t="s">
        <v>256</v>
      </c>
      <c r="C389" s="189">
        <v>829351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</row>
    <row r="390" spans="1:90" ht="12.65" customHeight="1" x14ac:dyDescent="0.3">
      <c r="A390" s="295" t="s">
        <v>452</v>
      </c>
      <c r="B390" s="295"/>
      <c r="C390" s="303"/>
      <c r="D390" s="295">
        <f>SUM(C378:C389)</f>
        <v>65967851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</row>
    <row r="391" spans="1:90" ht="12.65" customHeight="1" x14ac:dyDescent="0.3">
      <c r="A391" s="295" t="s">
        <v>453</v>
      </c>
      <c r="B391" s="295"/>
      <c r="C391" s="303"/>
      <c r="D391" s="295">
        <f>D373-D390</f>
        <v>13841063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</row>
    <row r="392" spans="1:90" ht="12.65" customHeight="1" x14ac:dyDescent="0.3">
      <c r="A392" s="295" t="s">
        <v>454</v>
      </c>
      <c r="B392" s="312" t="s">
        <v>256</v>
      </c>
      <c r="C392" s="189">
        <f>-1526273-1239883</f>
        <v>-2766156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</row>
    <row r="393" spans="1:90" ht="12.65" customHeight="1" x14ac:dyDescent="0.3">
      <c r="A393" s="295" t="s">
        <v>455</v>
      </c>
      <c r="B393" s="295"/>
      <c r="C393" s="303"/>
      <c r="D393" s="295">
        <f>D391+C392</f>
        <v>11074907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</row>
    <row r="394" spans="1:90" ht="12.65" customHeight="1" x14ac:dyDescent="0.3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</row>
    <row r="395" spans="1:90" ht="12.65" customHeight="1" x14ac:dyDescent="0.3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</row>
    <row r="396" spans="1:90" ht="13.5" customHeight="1" x14ac:dyDescent="0.3">
      <c r="A396" s="295" t="s">
        <v>458</v>
      </c>
      <c r="B396" s="295"/>
      <c r="C396" s="303"/>
      <c r="D396" s="295">
        <f>D393+C394-C395</f>
        <v>11074907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</row>
    <row r="397" spans="1:90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</row>
    <row r="398" spans="1:90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</row>
    <row r="399" spans="1:90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</row>
    <row r="400" spans="1:90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</row>
    <row r="401" spans="1:90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</row>
    <row r="402" spans="1:90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</row>
    <row r="403" spans="1:90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</row>
    <row r="404" spans="1:90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</row>
    <row r="405" spans="1:90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</row>
    <row r="406" spans="1:90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</row>
    <row r="407" spans="1:90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</row>
    <row r="408" spans="1:90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</row>
    <row r="409" spans="1:90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</row>
    <row r="410" spans="1:90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</row>
    <row r="411" spans="1:90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</row>
    <row r="412" spans="1:90" ht="12.65" customHeight="1" x14ac:dyDescent="0.3">
      <c r="A412" s="2" t="str">
        <f>C84&amp;"   "&amp;"H-"&amp;FIXED(C83,0,TRUE)&amp;"     FYE "&amp;C82</f>
        <v>Public Hospital District #1-A of Whitman County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</row>
    <row r="413" spans="1:90" ht="12.65" customHeight="1" x14ac:dyDescent="0.3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</row>
    <row r="414" spans="1:90" ht="12.65" customHeight="1" x14ac:dyDescent="0.3">
      <c r="A414" s="2" t="s">
        <v>463</v>
      </c>
      <c r="B414" s="2">
        <f>C111</f>
        <v>1044</v>
      </c>
      <c r="C414" s="2">
        <f>E138</f>
        <v>1044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</row>
    <row r="415" spans="1:90" ht="12.65" customHeight="1" x14ac:dyDescent="0.3">
      <c r="A415" s="2" t="s">
        <v>464</v>
      </c>
      <c r="B415" s="2">
        <f>D111</f>
        <v>3074</v>
      </c>
      <c r="C415" s="2">
        <f>E139</f>
        <v>3074</v>
      </c>
      <c r="D415" s="2">
        <f>SUM(C59:H59)+N59</f>
        <v>3074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</row>
    <row r="416" spans="1:90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</row>
    <row r="417" spans="1:90" ht="12.65" customHeight="1" x14ac:dyDescent="0.3">
      <c r="A417" s="2" t="s">
        <v>465</v>
      </c>
      <c r="B417" s="2">
        <f>C112</f>
        <v>12</v>
      </c>
      <c r="C417" s="2">
        <f>E144</f>
        <v>12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</row>
    <row r="418" spans="1:90" ht="12.65" customHeight="1" x14ac:dyDescent="0.3">
      <c r="A418" s="2" t="s">
        <v>466</v>
      </c>
      <c r="B418" s="2">
        <f>D112</f>
        <v>165</v>
      </c>
      <c r="C418" s="2">
        <f>E145</f>
        <v>165</v>
      </c>
      <c r="D418" s="2">
        <f>K59+L59</f>
        <v>165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</row>
    <row r="419" spans="1:90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</row>
    <row r="420" spans="1:90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</row>
    <row r="421" spans="1:90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</row>
    <row r="422" spans="1:90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</row>
    <row r="423" spans="1:90" ht="12.65" customHeight="1" x14ac:dyDescent="0.3">
      <c r="A423" s="2" t="s">
        <v>469</v>
      </c>
      <c r="B423" s="2">
        <f>C114</f>
        <v>354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</row>
    <row r="424" spans="1:90" ht="12.65" customHeight="1" x14ac:dyDescent="0.3">
      <c r="A424" s="2" t="s">
        <v>1243</v>
      </c>
      <c r="B424" s="2">
        <f>D114</f>
        <v>652</v>
      </c>
      <c r="C424" s="2"/>
      <c r="D424" s="2">
        <f>J59</f>
        <v>652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</row>
    <row r="425" spans="1:90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</row>
    <row r="426" spans="1:90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</row>
    <row r="427" spans="1:90" ht="12.65" customHeight="1" x14ac:dyDescent="0.3">
      <c r="A427" s="2" t="s">
        <v>473</v>
      </c>
      <c r="B427" s="2">
        <f t="shared" ref="B427:B437" si="12">C378</f>
        <v>31519203</v>
      </c>
      <c r="C427" s="2">
        <f t="shared" ref="C427:C434" si="13">CE61</f>
        <v>31519203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</row>
    <row r="428" spans="1:90" ht="12.65" customHeight="1" x14ac:dyDescent="0.3">
      <c r="A428" s="2" t="s">
        <v>3</v>
      </c>
      <c r="B428" s="2">
        <f t="shared" si="12"/>
        <v>7580580</v>
      </c>
      <c r="C428" s="2">
        <f t="shared" si="13"/>
        <v>7580578</v>
      </c>
      <c r="D428" s="2">
        <f>D173</f>
        <v>7580580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</row>
    <row r="429" spans="1:90" ht="12.65" customHeight="1" x14ac:dyDescent="0.3">
      <c r="A429" s="2" t="s">
        <v>236</v>
      </c>
      <c r="B429" s="2">
        <f t="shared" si="12"/>
        <v>5343108</v>
      </c>
      <c r="C429" s="2">
        <f t="shared" si="13"/>
        <v>5343108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</row>
    <row r="430" spans="1:90" ht="12.65" customHeight="1" x14ac:dyDescent="0.3">
      <c r="A430" s="2" t="s">
        <v>237</v>
      </c>
      <c r="B430" s="2">
        <f t="shared" si="12"/>
        <v>11471442</v>
      </c>
      <c r="C430" s="2">
        <f t="shared" si="13"/>
        <v>11471442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</row>
    <row r="431" spans="1:90" ht="12.65" customHeight="1" x14ac:dyDescent="0.3">
      <c r="A431" s="2" t="s">
        <v>444</v>
      </c>
      <c r="B431" s="2">
        <f t="shared" si="12"/>
        <v>749575</v>
      </c>
      <c r="C431" s="2">
        <f t="shared" si="13"/>
        <v>749575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</row>
    <row r="432" spans="1:90" ht="12.65" customHeight="1" x14ac:dyDescent="0.3">
      <c r="A432" s="2" t="s">
        <v>445</v>
      </c>
      <c r="B432" s="2">
        <f t="shared" si="12"/>
        <v>3560333</v>
      </c>
      <c r="C432" s="2">
        <f t="shared" si="13"/>
        <v>3560333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</row>
    <row r="433" spans="1:90" ht="12.65" customHeight="1" x14ac:dyDescent="0.3">
      <c r="A433" s="2" t="s">
        <v>6</v>
      </c>
      <c r="B433" s="2">
        <f t="shared" si="12"/>
        <v>2786234</v>
      </c>
      <c r="C433" s="2">
        <f t="shared" si="13"/>
        <v>2786236</v>
      </c>
      <c r="D433" s="2">
        <f>C217</f>
        <v>2786234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</row>
    <row r="434" spans="1:90" ht="12.65" customHeight="1" x14ac:dyDescent="0.3">
      <c r="A434" s="2" t="s">
        <v>474</v>
      </c>
      <c r="B434" s="2">
        <f t="shared" si="12"/>
        <v>602979</v>
      </c>
      <c r="C434" s="2">
        <f t="shared" si="13"/>
        <v>602979</v>
      </c>
      <c r="D434" s="2">
        <f>D177</f>
        <v>602979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</row>
    <row r="435" spans="1:90" ht="12.65" customHeight="1" x14ac:dyDescent="0.3">
      <c r="A435" s="2" t="s">
        <v>447</v>
      </c>
      <c r="B435" s="2">
        <f t="shared" si="12"/>
        <v>324809</v>
      </c>
      <c r="C435" s="2"/>
      <c r="D435" s="2">
        <f>D181</f>
        <v>324809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</row>
    <row r="436" spans="1:90" ht="12.65" customHeight="1" x14ac:dyDescent="0.3">
      <c r="A436" s="2" t="s">
        <v>475</v>
      </c>
      <c r="B436" s="2">
        <f t="shared" si="12"/>
        <v>692680</v>
      </c>
      <c r="C436" s="2"/>
      <c r="D436" s="2">
        <f>D186</f>
        <v>692680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</row>
    <row r="437" spans="1:90" ht="12.65" customHeight="1" x14ac:dyDescent="0.3">
      <c r="A437" s="2" t="s">
        <v>449</v>
      </c>
      <c r="B437" s="2">
        <f t="shared" si="12"/>
        <v>507557</v>
      </c>
      <c r="C437" s="2"/>
      <c r="D437" s="2">
        <f>D190</f>
        <v>507557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</row>
    <row r="438" spans="1:90" ht="12.65" customHeight="1" x14ac:dyDescent="0.3">
      <c r="A438" s="2" t="s">
        <v>476</v>
      </c>
      <c r="B438" s="2">
        <f>C386+C387+C388</f>
        <v>1525046</v>
      </c>
      <c r="C438" s="2">
        <f>CD69</f>
        <v>1525046</v>
      </c>
      <c r="D438" s="2">
        <f>D181+D186+D190</f>
        <v>1525046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</row>
    <row r="439" spans="1:90" ht="12.65" customHeight="1" x14ac:dyDescent="0.3">
      <c r="A439" s="2" t="s">
        <v>451</v>
      </c>
      <c r="B439" s="2">
        <f>C389</f>
        <v>829351</v>
      </c>
      <c r="C439" s="2">
        <f>SUM(C69:CC69)</f>
        <v>829351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</row>
    <row r="440" spans="1:90" ht="12.65" customHeight="1" x14ac:dyDescent="0.3">
      <c r="A440" s="2" t="s">
        <v>477</v>
      </c>
      <c r="B440" s="2">
        <f>B438+B439</f>
        <v>2354397</v>
      </c>
      <c r="C440" s="2">
        <f>CE69</f>
        <v>2354397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</row>
    <row r="441" spans="1:90" ht="12.65" customHeight="1" x14ac:dyDescent="0.3">
      <c r="A441" s="2" t="s">
        <v>478</v>
      </c>
      <c r="B441" s="2">
        <f>D390</f>
        <v>65967851</v>
      </c>
      <c r="C441" s="2">
        <f>SUM(C427:C437)+C440</f>
        <v>65967851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</row>
    <row r="442" spans="1:90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</row>
    <row r="443" spans="1:90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</row>
    <row r="444" spans="1:90" ht="12.65" customHeight="1" x14ac:dyDescent="0.3">
      <c r="A444" s="2" t="s">
        <v>1256</v>
      </c>
      <c r="B444" s="2">
        <f>D221</f>
        <v>2093459</v>
      </c>
      <c r="C444" s="2">
        <f>C363</f>
        <v>2093459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</row>
    <row r="445" spans="1:90" ht="12.65" customHeight="1" x14ac:dyDescent="0.3">
      <c r="A445" s="2" t="s">
        <v>343</v>
      </c>
      <c r="B445" s="2">
        <f>D229</f>
        <v>55404428</v>
      </c>
      <c r="C445" s="2">
        <f>C364</f>
        <v>55404428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</row>
    <row r="446" spans="1:90" ht="12.65" customHeight="1" x14ac:dyDescent="0.3">
      <c r="A446" s="2" t="s">
        <v>351</v>
      </c>
      <c r="B446" s="2">
        <f>D236</f>
        <v>789958</v>
      </c>
      <c r="C446" s="2">
        <f>C365</f>
        <v>789958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</row>
    <row r="447" spans="1:90" ht="12.65" customHeight="1" x14ac:dyDescent="0.3">
      <c r="A447" s="2" t="s">
        <v>356</v>
      </c>
      <c r="B447" s="2">
        <f>D240</f>
        <v>1323679</v>
      </c>
      <c r="C447" s="2">
        <f>C366</f>
        <v>1323679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</row>
    <row r="448" spans="1:90" ht="12.65" customHeight="1" x14ac:dyDescent="0.3">
      <c r="A448" s="2" t="s">
        <v>358</v>
      </c>
      <c r="B448" s="2">
        <f>D242</f>
        <v>59611524</v>
      </c>
      <c r="C448" s="2">
        <f>D367</f>
        <v>59611524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</row>
    <row r="449" spans="1:90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</row>
    <row r="450" spans="1:90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</row>
    <row r="451" spans="1:90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</row>
    <row r="452" spans="1:90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</row>
    <row r="453" spans="1:90" ht="12.65" customHeight="1" x14ac:dyDescent="0.3">
      <c r="A453" s="322" t="s">
        <v>484</v>
      </c>
      <c r="B453" s="2">
        <f>C231</f>
        <v>529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</row>
    <row r="454" spans="1:90" ht="12.65" customHeight="1" x14ac:dyDescent="0.3">
      <c r="A454" s="2" t="s">
        <v>168</v>
      </c>
      <c r="B454" s="2">
        <f>C233</f>
        <v>156137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</row>
    <row r="455" spans="1:90" ht="12.65" customHeight="1" x14ac:dyDescent="0.3">
      <c r="A455" s="2" t="s">
        <v>131</v>
      </c>
      <c r="B455" s="2">
        <f>C234</f>
        <v>633821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</row>
    <row r="456" spans="1:90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</row>
    <row r="457" spans="1:90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</row>
    <row r="458" spans="1:90" ht="12.65" customHeight="1" x14ac:dyDescent="0.3">
      <c r="A458" s="2" t="s">
        <v>487</v>
      </c>
      <c r="B458" s="2">
        <f>C370</f>
        <v>8399492</v>
      </c>
      <c r="C458" s="2">
        <f>CE70</f>
        <v>8399492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</row>
    <row r="459" spans="1:90" ht="12.65" customHeight="1" x14ac:dyDescent="0.3">
      <c r="A459" s="2" t="s">
        <v>244</v>
      </c>
      <c r="B459" s="2">
        <f>C371</f>
        <v>1239883</v>
      </c>
      <c r="C459" s="2">
        <f>CE72</f>
        <v>1239883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</row>
    <row r="460" spans="1:90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</row>
    <row r="461" spans="1:90" ht="12.65" customHeight="1" x14ac:dyDescent="0.3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</row>
    <row r="462" spans="1:90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</row>
    <row r="463" spans="1:90" ht="12.65" customHeight="1" x14ac:dyDescent="0.3">
      <c r="A463" s="2" t="s">
        <v>245</v>
      </c>
      <c r="B463" s="2">
        <f>C359</f>
        <v>27773854</v>
      </c>
      <c r="C463" s="2">
        <f>CE73</f>
        <v>27773854</v>
      </c>
      <c r="D463" s="2">
        <f>E141+E147+E153</f>
        <v>27773854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</row>
    <row r="464" spans="1:90" ht="12.65" customHeight="1" x14ac:dyDescent="0.3">
      <c r="A464" s="2" t="s">
        <v>246</v>
      </c>
      <c r="B464" s="2">
        <f>C360</f>
        <v>102007209</v>
      </c>
      <c r="C464" s="2">
        <f>CE74</f>
        <v>102007209</v>
      </c>
      <c r="D464" s="2">
        <f>E142+E148+E154</f>
        <v>102007209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</row>
    <row r="465" spans="1:90" ht="12.65" customHeight="1" x14ac:dyDescent="0.3">
      <c r="A465" s="2" t="s">
        <v>247</v>
      </c>
      <c r="B465" s="2">
        <f>D361</f>
        <v>129781063</v>
      </c>
      <c r="C465" s="2">
        <f>CE75</f>
        <v>129781063</v>
      </c>
      <c r="D465" s="2">
        <f>D463+D464</f>
        <v>129781063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</row>
    <row r="466" spans="1:90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</row>
    <row r="467" spans="1:90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</row>
    <row r="468" spans="1:90" ht="12.65" customHeight="1" x14ac:dyDescent="0.3">
      <c r="A468" s="2" t="s">
        <v>332</v>
      </c>
      <c r="B468" s="2">
        <f t="shared" ref="B468:B475" si="14">C267</f>
        <v>1813305</v>
      </c>
      <c r="C468" s="2">
        <f>E195</f>
        <v>1813305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</row>
    <row r="469" spans="1:90" ht="12.65" customHeight="1" x14ac:dyDescent="0.3">
      <c r="A469" s="2" t="s">
        <v>333</v>
      </c>
      <c r="B469" s="2">
        <f t="shared" si="14"/>
        <v>3693473</v>
      </c>
      <c r="C469" s="2">
        <f>E196</f>
        <v>3693473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</row>
    <row r="470" spans="1:90" ht="12.65" customHeight="1" x14ac:dyDescent="0.3">
      <c r="A470" s="2" t="s">
        <v>334</v>
      </c>
      <c r="B470" s="2">
        <f t="shared" si="14"/>
        <v>18503275</v>
      </c>
      <c r="C470" s="2">
        <f>E197</f>
        <v>18503275.370000001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</row>
    <row r="471" spans="1:90" ht="12.65" customHeight="1" x14ac:dyDescent="0.3">
      <c r="A471" s="2" t="s">
        <v>494</v>
      </c>
      <c r="B471" s="2">
        <f t="shared" si="14"/>
        <v>15793528</v>
      </c>
      <c r="C471" s="2">
        <f>E198</f>
        <v>15793528.35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</row>
    <row r="472" spans="1:90" ht="12.65" customHeight="1" x14ac:dyDescent="0.3">
      <c r="A472" s="2" t="s">
        <v>377</v>
      </c>
      <c r="B472" s="2">
        <f t="shared" si="14"/>
        <v>1055891</v>
      </c>
      <c r="C472" s="2">
        <f>E199</f>
        <v>1055890.2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</row>
    <row r="473" spans="1:90" ht="12.65" customHeight="1" x14ac:dyDescent="0.3">
      <c r="A473" s="2" t="s">
        <v>495</v>
      </c>
      <c r="B473" s="2">
        <f t="shared" si="14"/>
        <v>15652435</v>
      </c>
      <c r="C473" s="2">
        <f>SUM(E200:E201)</f>
        <v>15652434.579999998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</row>
    <row r="474" spans="1:90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</row>
    <row r="475" spans="1:90" ht="12.65" customHeight="1" x14ac:dyDescent="0.3">
      <c r="A475" s="2" t="s">
        <v>340</v>
      </c>
      <c r="B475" s="2">
        <f t="shared" si="14"/>
        <v>71148</v>
      </c>
      <c r="C475" s="2">
        <f>E203</f>
        <v>71148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</row>
    <row r="476" spans="1:90" ht="12.65" customHeight="1" x14ac:dyDescent="0.3">
      <c r="A476" s="2" t="s">
        <v>203</v>
      </c>
      <c r="B476" s="2">
        <f>D275</f>
        <v>56583055</v>
      </c>
      <c r="C476" s="2">
        <f>E204</f>
        <v>56583054.5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</row>
    <row r="477" spans="1:90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</row>
    <row r="478" spans="1:90" ht="12.65" customHeight="1" x14ac:dyDescent="0.3">
      <c r="A478" s="2" t="s">
        <v>496</v>
      </c>
      <c r="B478" s="2">
        <f>C276</f>
        <v>31820960</v>
      </c>
      <c r="C478" s="2">
        <f>E217</f>
        <v>31820959.91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</row>
    <row r="479" spans="1:90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</row>
    <row r="480" spans="1:90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</row>
    <row r="481" spans="1:90" ht="12.65" customHeight="1" x14ac:dyDescent="0.3">
      <c r="A481" s="2" t="s">
        <v>498</v>
      </c>
      <c r="B481" s="2"/>
      <c r="C481" s="2">
        <f>D341</f>
        <v>71471915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</row>
    <row r="482" spans="1:90" ht="12.65" customHeight="1" x14ac:dyDescent="0.3">
      <c r="A482" s="2" t="s">
        <v>499</v>
      </c>
      <c r="B482" s="2"/>
      <c r="C482" s="2">
        <f>D339</f>
        <v>71471915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</row>
    <row r="483" spans="1:90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</row>
    <row r="484" spans="1:90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</row>
    <row r="485" spans="1:90" ht="12.65" customHeight="1" x14ac:dyDescent="0.3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</row>
    <row r="486" spans="1:90" ht="12.65" customHeight="1" x14ac:dyDescent="0.3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</row>
    <row r="487" spans="1:90" ht="12.65" customHeight="1" x14ac:dyDescent="0.3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</row>
    <row r="488" spans="1:90" ht="12.65" customHeight="1" x14ac:dyDescent="0.3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</row>
    <row r="489" spans="1:90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</row>
    <row r="490" spans="1:90" ht="12.65" customHeight="1" x14ac:dyDescent="0.3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</row>
    <row r="491" spans="1:90" ht="12.65" customHeight="1" x14ac:dyDescent="0.3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</row>
    <row r="492" spans="1:90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</row>
    <row r="493" spans="1:90" ht="12.65" customHeight="1" x14ac:dyDescent="0.3">
      <c r="A493" s="2" t="str">
        <f>C83</f>
        <v>172</v>
      </c>
      <c r="B493" s="331" t="str">
        <f>RIGHT('[1]Prior Year'!C83,4)</f>
        <v>172</v>
      </c>
      <c r="C493" s="331" t="str">
        <f>RIGHT(C82,4)</f>
        <v>2020</v>
      </c>
      <c r="D493" s="331" t="str">
        <f>RIGHT('[1]Prior Year'!C83,4)</f>
        <v>172</v>
      </c>
      <c r="E493" s="331" t="str">
        <f>RIGHT(C82,4)</f>
        <v>2020</v>
      </c>
      <c r="F493" s="331" t="str">
        <f>RIGHT('[1]Prior Year'!C83,4)</f>
        <v>172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</row>
    <row r="494" spans="1:90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</row>
    <row r="495" spans="1:90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</row>
    <row r="496" spans="1:90" ht="12.65" customHeight="1" x14ac:dyDescent="0.3">
      <c r="A496" s="2" t="s">
        <v>512</v>
      </c>
      <c r="B496" s="333">
        <f>'[1]Prior Year'!C71</f>
        <v>1662774</v>
      </c>
      <c r="C496" s="333">
        <f>C71</f>
        <v>1647811</v>
      </c>
      <c r="D496" s="333">
        <f>'[1]Prior Year'!C59</f>
        <v>600</v>
      </c>
      <c r="E496" s="2">
        <f>C59</f>
        <v>683</v>
      </c>
      <c r="F496" s="334">
        <f t="shared" ref="F496:G511" si="15">IF(B496=0,"",IF(D496=0,"",B496/D496))</f>
        <v>2771.29</v>
      </c>
      <c r="G496" s="334">
        <f t="shared" si="15"/>
        <v>2412.6076134699852</v>
      </c>
      <c r="H496" s="335" t="str">
        <f>IF(B496=0,"",IF(C496=0,"",IF(D496=0,"",IF(E496=0,"",IF(G496/F496-1&lt;-0.25,G496/F496-1,IF(G496/F496-1&gt;0.25,G496/F496-1,""))))))</f>
        <v/>
      </c>
      <c r="I496" s="266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</row>
    <row r="497" spans="1:90" ht="12.65" customHeight="1" x14ac:dyDescent="0.3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6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</row>
    <row r="498" spans="1:90" ht="12.65" customHeight="1" x14ac:dyDescent="0.3">
      <c r="A498" s="2" t="s">
        <v>514</v>
      </c>
      <c r="B498" s="333">
        <f>'[1]Prior Year'!E71</f>
        <v>4488628</v>
      </c>
      <c r="C498" s="333">
        <f>E71</f>
        <v>4340584</v>
      </c>
      <c r="D498" s="333">
        <f>'[1]Prior Year'!E59</f>
        <v>2851</v>
      </c>
      <c r="E498" s="2">
        <f>E59</f>
        <v>2391</v>
      </c>
      <c r="F498" s="334">
        <f t="shared" si="15"/>
        <v>1574.4047702560506</v>
      </c>
      <c r="G498" s="334">
        <f t="shared" si="15"/>
        <v>1815.3843580092012</v>
      </c>
      <c r="H498" s="335" t="str">
        <f t="shared" si="16"/>
        <v/>
      </c>
      <c r="I498" s="266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</row>
    <row r="499" spans="1:90" ht="12.65" customHeight="1" x14ac:dyDescent="0.3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6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</row>
    <row r="500" spans="1:90" ht="12.65" customHeight="1" x14ac:dyDescent="0.3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6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</row>
    <row r="501" spans="1:90" ht="12.65" customHeight="1" x14ac:dyDescent="0.3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6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</row>
    <row r="502" spans="1:90" ht="12.65" customHeight="1" x14ac:dyDescent="0.3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6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</row>
    <row r="503" spans="1:90" ht="12.65" customHeight="1" x14ac:dyDescent="0.3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711</v>
      </c>
      <c r="E503" s="2">
        <f>J59</f>
        <v>652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6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</row>
    <row r="504" spans="1:90" ht="12.65" customHeight="1" x14ac:dyDescent="0.3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6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</row>
    <row r="505" spans="1:90" ht="12.65" customHeight="1" x14ac:dyDescent="0.3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181</v>
      </c>
      <c r="E505" s="2">
        <f>L59</f>
        <v>165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6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</row>
    <row r="506" spans="1:90" ht="12.65" customHeight="1" x14ac:dyDescent="0.3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6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</row>
    <row r="507" spans="1:90" ht="12.65" customHeight="1" x14ac:dyDescent="0.3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6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</row>
    <row r="508" spans="1:90" ht="12.65" customHeight="1" x14ac:dyDescent="0.3">
      <c r="A508" s="2" t="s">
        <v>524</v>
      </c>
      <c r="B508" s="333">
        <f>'[1]Prior Year'!O71</f>
        <v>2731315</v>
      </c>
      <c r="C508" s="333">
        <f>O71</f>
        <v>2732607</v>
      </c>
      <c r="D508" s="333">
        <f>'[1]Prior Year'!O59</f>
        <v>358</v>
      </c>
      <c r="E508" s="2">
        <f>O59</f>
        <v>354</v>
      </c>
      <c r="F508" s="334">
        <f t="shared" si="15"/>
        <v>7629.3715083798879</v>
      </c>
      <c r="G508" s="334">
        <f t="shared" si="15"/>
        <v>7719.2288135593217</v>
      </c>
      <c r="H508" s="335" t="str">
        <f t="shared" si="16"/>
        <v/>
      </c>
      <c r="I508" s="266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</row>
    <row r="509" spans="1:90" ht="12.65" customHeight="1" x14ac:dyDescent="0.3">
      <c r="A509" s="2" t="s">
        <v>525</v>
      </c>
      <c r="B509" s="333">
        <f>'[1]Prior Year'!P71</f>
        <v>7222692</v>
      </c>
      <c r="C509" s="333">
        <f>P71</f>
        <v>7161253</v>
      </c>
      <c r="D509" s="333">
        <f>'[1]Prior Year'!P59</f>
        <v>215571</v>
      </c>
      <c r="E509" s="2">
        <f>P59</f>
        <v>216756</v>
      </c>
      <c r="F509" s="334">
        <f t="shared" si="15"/>
        <v>33.504933409410356</v>
      </c>
      <c r="G509" s="334">
        <f t="shared" si="15"/>
        <v>33.038314971673216</v>
      </c>
      <c r="H509" s="335" t="str">
        <f t="shared" si="16"/>
        <v/>
      </c>
      <c r="I509" s="266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</row>
    <row r="510" spans="1:90" ht="12.65" customHeight="1" x14ac:dyDescent="0.3">
      <c r="A510" s="2" t="s">
        <v>526</v>
      </c>
      <c r="B510" s="333">
        <f>'[1]Prior Year'!Q71</f>
        <v>0</v>
      </c>
      <c r="C510" s="333">
        <f>Q71</f>
        <v>24850</v>
      </c>
      <c r="D510" s="333">
        <f>'[1]Prior Year'!Q59</f>
        <v>105830</v>
      </c>
      <c r="E510" s="2">
        <f>Q59</f>
        <v>99278</v>
      </c>
      <c r="F510" s="334" t="str">
        <f t="shared" si="15"/>
        <v/>
      </c>
      <c r="G510" s="334">
        <f t="shared" si="15"/>
        <v>0.25030721811478879</v>
      </c>
      <c r="H510" s="335" t="str">
        <f t="shared" si="16"/>
        <v/>
      </c>
      <c r="I510" s="266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</row>
    <row r="511" spans="1:90" ht="12.65" customHeight="1" x14ac:dyDescent="0.3">
      <c r="A511" s="2" t="s">
        <v>527</v>
      </c>
      <c r="B511" s="333">
        <f>'[1]Prior Year'!R71</f>
        <v>478914</v>
      </c>
      <c r="C511" s="333">
        <f>R71</f>
        <v>621996</v>
      </c>
      <c r="D511" s="333">
        <f>'[1]Prior Year'!R59</f>
        <v>161700</v>
      </c>
      <c r="E511" s="2">
        <f>R59</f>
        <v>166440</v>
      </c>
      <c r="F511" s="334">
        <f t="shared" si="15"/>
        <v>2.9617439703153989</v>
      </c>
      <c r="G511" s="334">
        <f t="shared" si="15"/>
        <v>3.7370583994232156</v>
      </c>
      <c r="H511" s="335">
        <f t="shared" si="16"/>
        <v>0.26177631722341377</v>
      </c>
      <c r="I511" s="266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</row>
    <row r="512" spans="1:90" ht="12.65" customHeight="1" x14ac:dyDescent="0.3">
      <c r="A512" s="2" t="s">
        <v>528</v>
      </c>
      <c r="B512" s="333">
        <f>'[1]Prior Year'!S71</f>
        <v>4870749</v>
      </c>
      <c r="C512" s="333">
        <f>S71</f>
        <v>4558505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6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</row>
    <row r="513" spans="1:90" ht="12.65" customHeight="1" x14ac:dyDescent="0.3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6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</row>
    <row r="514" spans="1:90" ht="12.65" customHeight="1" x14ac:dyDescent="0.3">
      <c r="A514" s="2" t="s">
        <v>530</v>
      </c>
      <c r="B514" s="333">
        <f>'[1]Prior Year'!U71</f>
        <v>2643619</v>
      </c>
      <c r="C514" s="333">
        <f>U71</f>
        <v>2631338</v>
      </c>
      <c r="D514" s="333">
        <f>'[1]Prior Year'!U59</f>
        <v>110516</v>
      </c>
      <c r="E514" s="2">
        <f>U59</f>
        <v>110012</v>
      </c>
      <c r="F514" s="334">
        <f t="shared" si="17"/>
        <v>23.920690216801187</v>
      </c>
      <c r="G514" s="334">
        <f t="shared" si="17"/>
        <v>23.918645238701231</v>
      </c>
      <c r="H514" s="335" t="str">
        <f t="shared" si="16"/>
        <v/>
      </c>
      <c r="I514" s="266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</row>
    <row r="515" spans="1:90" ht="12.65" customHeight="1" x14ac:dyDescent="0.3">
      <c r="A515" s="2" t="s">
        <v>531</v>
      </c>
      <c r="B515" s="333">
        <f>'[1]Prior Year'!V71</f>
        <v>7486</v>
      </c>
      <c r="C515" s="333">
        <f>V71</f>
        <v>7151</v>
      </c>
      <c r="D515" s="333">
        <f>'[1]Prior Year'!V59</f>
        <v>3574</v>
      </c>
      <c r="E515" s="2">
        <f>V59</f>
        <v>3412</v>
      </c>
      <c r="F515" s="334">
        <f t="shared" si="17"/>
        <v>2.0945719082260772</v>
      </c>
      <c r="G515" s="334">
        <f t="shared" si="17"/>
        <v>2.0958382180539274</v>
      </c>
      <c r="H515" s="335" t="str">
        <f t="shared" si="16"/>
        <v/>
      </c>
      <c r="I515" s="266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</row>
    <row r="516" spans="1:90" ht="12.65" customHeight="1" x14ac:dyDescent="0.3">
      <c r="A516" s="2" t="s">
        <v>532</v>
      </c>
      <c r="B516" s="333">
        <f>'[1]Prior Year'!W71</f>
        <v>587180</v>
      </c>
      <c r="C516" s="333">
        <f>W71</f>
        <v>567098</v>
      </c>
      <c r="D516" s="333">
        <f>'[1]Prior Year'!W59</f>
        <v>2866</v>
      </c>
      <c r="E516" s="2">
        <f>W59</f>
        <v>2536</v>
      </c>
      <c r="F516" s="334">
        <f t="shared" si="17"/>
        <v>204.87787857641311</v>
      </c>
      <c r="G516" s="334">
        <f t="shared" si="17"/>
        <v>223.61908517350159</v>
      </c>
      <c r="H516" s="335" t="str">
        <f t="shared" si="16"/>
        <v/>
      </c>
      <c r="I516" s="266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</row>
    <row r="517" spans="1:90" ht="12.65" customHeight="1" x14ac:dyDescent="0.3">
      <c r="A517" s="2" t="s">
        <v>533</v>
      </c>
      <c r="B517" s="333">
        <f>'[1]Prior Year'!X71</f>
        <v>269621</v>
      </c>
      <c r="C517" s="333">
        <f>X71</f>
        <v>268899</v>
      </c>
      <c r="D517" s="333">
        <f>'[1]Prior Year'!X59</f>
        <v>4910</v>
      </c>
      <c r="E517" s="2">
        <f>X59</f>
        <v>4578</v>
      </c>
      <c r="F517" s="334">
        <f t="shared" si="17"/>
        <v>54.912627291242366</v>
      </c>
      <c r="G517" s="334">
        <f t="shared" si="17"/>
        <v>58.737221494102229</v>
      </c>
      <c r="H517" s="335" t="str">
        <f t="shared" si="16"/>
        <v/>
      </c>
      <c r="I517" s="266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</row>
    <row r="518" spans="1:90" ht="12.65" customHeight="1" x14ac:dyDescent="0.3">
      <c r="A518" s="2" t="s">
        <v>534</v>
      </c>
      <c r="B518" s="333">
        <f>'[1]Prior Year'!Y71</f>
        <v>2980818</v>
      </c>
      <c r="C518" s="333">
        <f>Y71</f>
        <v>2946082</v>
      </c>
      <c r="D518" s="333">
        <f>'[1]Prior Year'!Y59</f>
        <v>25356</v>
      </c>
      <c r="E518" s="2">
        <f>Y59</f>
        <v>22572</v>
      </c>
      <c r="F518" s="334">
        <f t="shared" si="17"/>
        <v>117.55868433506862</v>
      </c>
      <c r="G518" s="334">
        <f t="shared" si="17"/>
        <v>130.51931596668439</v>
      </c>
      <c r="H518" s="335" t="str">
        <f t="shared" si="16"/>
        <v/>
      </c>
      <c r="I518" s="266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</row>
    <row r="519" spans="1:90" ht="12.65" customHeight="1" x14ac:dyDescent="0.3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6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</row>
    <row r="520" spans="1:90" ht="12.65" customHeight="1" x14ac:dyDescent="0.3">
      <c r="A520" s="2" t="s">
        <v>536</v>
      </c>
      <c r="B520" s="333">
        <f>'[1]Prior Year'!AA71</f>
        <v>789006</v>
      </c>
      <c r="C520" s="333">
        <f>AA71</f>
        <v>883989</v>
      </c>
      <c r="D520" s="333">
        <f>'[1]Prior Year'!AA59</f>
        <v>803</v>
      </c>
      <c r="E520" s="2">
        <f>AA59</f>
        <v>863</v>
      </c>
      <c r="F520" s="334">
        <f t="shared" si="17"/>
        <v>982.57285180572853</v>
      </c>
      <c r="G520" s="334">
        <f t="shared" si="17"/>
        <v>1024.3209733487834</v>
      </c>
      <c r="H520" s="335" t="str">
        <f t="shared" si="16"/>
        <v/>
      </c>
      <c r="I520" s="266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</row>
    <row r="521" spans="1:90" ht="12.65" customHeight="1" x14ac:dyDescent="0.3">
      <c r="A521" s="2" t="s">
        <v>537</v>
      </c>
      <c r="B521" s="333">
        <f>'[1]Prior Year'!AB71</f>
        <v>4520472</v>
      </c>
      <c r="C521" s="333">
        <f>AB71</f>
        <v>4477623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6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</row>
    <row r="522" spans="1:90" ht="12.65" customHeight="1" x14ac:dyDescent="0.3">
      <c r="A522" s="2" t="s">
        <v>538</v>
      </c>
      <c r="B522" s="333">
        <f>'[1]Prior Year'!AC71</f>
        <v>1372896</v>
      </c>
      <c r="C522" s="333">
        <f>AC71</f>
        <v>1129274</v>
      </c>
      <c r="D522" s="333">
        <f>'[1]Prior Year'!AC59</f>
        <v>13692</v>
      </c>
      <c r="E522" s="2">
        <f>AC59</f>
        <v>13786</v>
      </c>
      <c r="F522" s="334">
        <f t="shared" si="17"/>
        <v>100.26993865030674</v>
      </c>
      <c r="G522" s="334">
        <f t="shared" si="17"/>
        <v>81.914550993761793</v>
      </c>
      <c r="H522" s="335" t="str">
        <f t="shared" si="16"/>
        <v/>
      </c>
      <c r="I522" s="266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</row>
    <row r="523" spans="1:90" ht="12.65" customHeight="1" x14ac:dyDescent="0.3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6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</row>
    <row r="524" spans="1:90" ht="12.65" customHeight="1" x14ac:dyDescent="0.3">
      <c r="A524" s="2" t="s">
        <v>540</v>
      </c>
      <c r="B524" s="333">
        <f>'[1]Prior Year'!AE71</f>
        <v>4415111</v>
      </c>
      <c r="C524" s="333">
        <f>AE71</f>
        <v>4169056</v>
      </c>
      <c r="D524" s="333">
        <f>'[1]Prior Year'!AE59</f>
        <v>38141</v>
      </c>
      <c r="E524" s="2">
        <f>AE59</f>
        <v>28430</v>
      </c>
      <c r="F524" s="334">
        <f t="shared" si="17"/>
        <v>115.75760992108231</v>
      </c>
      <c r="G524" s="334">
        <f t="shared" si="17"/>
        <v>146.64284206823777</v>
      </c>
      <c r="H524" s="335">
        <f t="shared" si="16"/>
        <v>0.26680951833932531</v>
      </c>
      <c r="I524" s="266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</row>
    <row r="525" spans="1:90" ht="12.65" customHeight="1" x14ac:dyDescent="0.3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6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</row>
    <row r="526" spans="1:90" ht="12.65" customHeight="1" x14ac:dyDescent="0.3">
      <c r="A526" s="2" t="s">
        <v>542</v>
      </c>
      <c r="B526" s="333">
        <f>'[1]Prior Year'!AG71</f>
        <v>6277890</v>
      </c>
      <c r="C526" s="333">
        <f>AG71</f>
        <v>6204542</v>
      </c>
      <c r="D526" s="333">
        <f>'[1]Prior Year'!AG59</f>
        <v>12662</v>
      </c>
      <c r="E526" s="2">
        <f>AG59</f>
        <v>11108</v>
      </c>
      <c r="F526" s="334">
        <f t="shared" si="17"/>
        <v>495.80555994313693</v>
      </c>
      <c r="G526" s="334">
        <f t="shared" si="17"/>
        <v>558.56517824990999</v>
      </c>
      <c r="H526" s="335" t="str">
        <f t="shared" si="16"/>
        <v/>
      </c>
      <c r="I526" s="266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</row>
    <row r="527" spans="1:90" ht="12.65" customHeight="1" x14ac:dyDescent="0.3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6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</row>
    <row r="528" spans="1:90" ht="12.65" customHeight="1" x14ac:dyDescent="0.3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6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</row>
    <row r="529" spans="1:90" ht="12.65" customHeight="1" x14ac:dyDescent="0.3">
      <c r="A529" s="2" t="s">
        <v>545</v>
      </c>
      <c r="B529" s="333">
        <f>'[1]Prior Year'!AJ71</f>
        <v>92217</v>
      </c>
      <c r="C529" s="333">
        <f>AJ71</f>
        <v>102459</v>
      </c>
      <c r="D529" s="333">
        <f>'[1]Prior Year'!AJ59</f>
        <v>340</v>
      </c>
      <c r="E529" s="2">
        <f>AJ59</f>
        <v>354</v>
      </c>
      <c r="F529" s="334">
        <f t="shared" si="18"/>
        <v>271.22647058823532</v>
      </c>
      <c r="G529" s="334">
        <f t="shared" si="18"/>
        <v>289.43220338983053</v>
      </c>
      <c r="H529" s="335" t="str">
        <f t="shared" si="16"/>
        <v/>
      </c>
      <c r="I529" s="266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</row>
    <row r="530" spans="1:90" ht="12.65" customHeight="1" x14ac:dyDescent="0.3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6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</row>
    <row r="531" spans="1:90" ht="12.65" customHeight="1" x14ac:dyDescent="0.3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6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</row>
    <row r="532" spans="1:90" ht="12.65" customHeight="1" x14ac:dyDescent="0.3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6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</row>
    <row r="533" spans="1:90" ht="12.65" customHeight="1" x14ac:dyDescent="0.3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6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</row>
    <row r="534" spans="1:90" ht="12.65" customHeight="1" x14ac:dyDescent="0.3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6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</row>
    <row r="535" spans="1:90" ht="12.65" customHeight="1" x14ac:dyDescent="0.3">
      <c r="A535" s="2" t="s">
        <v>550</v>
      </c>
      <c r="B535" s="333">
        <f>'[1]Prior Year'!AP71</f>
        <v>0</v>
      </c>
      <c r="C535" s="333">
        <f>AP71</f>
        <v>947831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6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</row>
    <row r="536" spans="1:90" ht="12.65" customHeight="1" x14ac:dyDescent="0.3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6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</row>
    <row r="537" spans="1:90" ht="12.65" customHeight="1" x14ac:dyDescent="0.3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6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</row>
    <row r="538" spans="1:90" ht="12.65" customHeight="1" x14ac:dyDescent="0.3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6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</row>
    <row r="539" spans="1:90" ht="12.65" customHeight="1" x14ac:dyDescent="0.3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6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</row>
    <row r="540" spans="1:90" ht="12.65" customHeight="1" x14ac:dyDescent="0.3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6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</row>
    <row r="541" spans="1:90" ht="12.65" customHeight="1" x14ac:dyDescent="0.3">
      <c r="A541" s="2" t="s">
        <v>556</v>
      </c>
      <c r="B541" s="333">
        <f>'[1]Prior Year'!AV71</f>
        <v>-9825</v>
      </c>
      <c r="C541" s="333">
        <f>AV71</f>
        <v>-125021</v>
      </c>
      <c r="D541" s="327" t="s">
        <v>529</v>
      </c>
      <c r="E541" s="327" t="s">
        <v>529</v>
      </c>
      <c r="F541" s="334"/>
      <c r="G541" s="334"/>
      <c r="H541" s="335"/>
      <c r="I541" s="266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</row>
    <row r="542" spans="1:90" ht="12.65" customHeight="1" x14ac:dyDescent="0.3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6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</row>
    <row r="543" spans="1:90" ht="12.65" customHeight="1" x14ac:dyDescent="0.3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6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</row>
    <row r="544" spans="1:90" ht="12.65" customHeight="1" x14ac:dyDescent="0.3">
      <c r="A544" s="2" t="s">
        <v>558</v>
      </c>
      <c r="B544" s="333">
        <f>'[1]Prior Year'!AY71</f>
        <v>1861718</v>
      </c>
      <c r="C544" s="333">
        <f>AY71</f>
        <v>1605471</v>
      </c>
      <c r="D544" s="333">
        <f>'[1]Prior Year'!AY59</f>
        <v>21476.37</v>
      </c>
      <c r="E544" s="2">
        <f>AY59</f>
        <v>20824.39</v>
      </c>
      <c r="F544" s="334">
        <f t="shared" ref="F544:G550" si="19">IF(B544=0,"",IF(D544=0,"",B544/D544))</f>
        <v>86.686809735537253</v>
      </c>
      <c r="G544" s="334">
        <f t="shared" si="19"/>
        <v>77.095703643660158</v>
      </c>
      <c r="H544" s="335" t="str">
        <f t="shared" si="16"/>
        <v/>
      </c>
      <c r="I544" s="266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</row>
    <row r="545" spans="1:90" ht="12.65" customHeight="1" x14ac:dyDescent="0.3">
      <c r="A545" s="2" t="s">
        <v>559</v>
      </c>
      <c r="B545" s="333">
        <f>'[1]Prior Year'!AZ71</f>
        <v>-604044</v>
      </c>
      <c r="C545" s="333">
        <f>AZ71</f>
        <v>-361912</v>
      </c>
      <c r="D545" s="333">
        <f>'[1]Prior Year'!AZ59</f>
        <v>89538.42</v>
      </c>
      <c r="E545" s="2">
        <f>AZ59</f>
        <v>55991.189999999995</v>
      </c>
      <c r="F545" s="334">
        <f t="shared" si="19"/>
        <v>-6.7461990059686112</v>
      </c>
      <c r="G545" s="334">
        <f t="shared" si="19"/>
        <v>-6.4637311691357162</v>
      </c>
      <c r="H545" s="335" t="str">
        <f t="shared" si="16"/>
        <v/>
      </c>
      <c r="I545" s="266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</row>
    <row r="546" spans="1:90" ht="12.65" customHeight="1" x14ac:dyDescent="0.3">
      <c r="A546" s="2" t="s">
        <v>560</v>
      </c>
      <c r="B546" s="333">
        <f>'[1]Prior Year'!BA71</f>
        <v>253057</v>
      </c>
      <c r="C546" s="333">
        <f>BA71</f>
        <v>258709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6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</row>
    <row r="547" spans="1:90" ht="12.65" customHeight="1" x14ac:dyDescent="0.3">
      <c r="A547" s="2" t="s">
        <v>561</v>
      </c>
      <c r="B547" s="333">
        <f>'[1]Prior Year'!BB71</f>
        <v>619019</v>
      </c>
      <c r="C547" s="333">
        <f>BB71</f>
        <v>638418</v>
      </c>
      <c r="D547" s="327" t="s">
        <v>529</v>
      </c>
      <c r="E547" s="327" t="s">
        <v>529</v>
      </c>
      <c r="F547" s="334"/>
      <c r="G547" s="334"/>
      <c r="H547" s="335"/>
      <c r="I547" s="266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</row>
    <row r="548" spans="1:90" ht="12.65" customHeight="1" x14ac:dyDescent="0.3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6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</row>
    <row r="549" spans="1:90" ht="12.65" customHeight="1" x14ac:dyDescent="0.3">
      <c r="A549" s="2" t="s">
        <v>563</v>
      </c>
      <c r="B549" s="333">
        <f>'[1]Prior Year'!BD71</f>
        <v>648581</v>
      </c>
      <c r="C549" s="333">
        <f>BD71</f>
        <v>616850</v>
      </c>
      <c r="D549" s="327" t="s">
        <v>529</v>
      </c>
      <c r="E549" s="327" t="s">
        <v>529</v>
      </c>
      <c r="F549" s="334"/>
      <c r="G549" s="334"/>
      <c r="H549" s="335"/>
      <c r="I549" s="266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</row>
    <row r="550" spans="1:90" ht="12.65" customHeight="1" x14ac:dyDescent="0.3">
      <c r="A550" s="2" t="s">
        <v>564</v>
      </c>
      <c r="B550" s="333">
        <f>'[1]Prior Year'!BE71</f>
        <v>1737260</v>
      </c>
      <c r="C550" s="333">
        <f>BE71</f>
        <v>1630252</v>
      </c>
      <c r="D550" s="333">
        <f>'[1]Prior Year'!BE59</f>
        <v>120387</v>
      </c>
      <c r="E550" s="2">
        <f>BE59</f>
        <v>120387</v>
      </c>
      <c r="F550" s="334">
        <f t="shared" si="19"/>
        <v>14.430627891715883</v>
      </c>
      <c r="G550" s="334">
        <f t="shared" si="19"/>
        <v>13.541761153612931</v>
      </c>
      <c r="H550" s="335" t="str">
        <f t="shared" si="16"/>
        <v/>
      </c>
      <c r="I550" s="266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</row>
    <row r="551" spans="1:90" ht="12.65" customHeight="1" x14ac:dyDescent="0.3">
      <c r="A551" s="2" t="s">
        <v>565</v>
      </c>
      <c r="B551" s="333">
        <f>'[1]Prior Year'!BF71</f>
        <v>818723</v>
      </c>
      <c r="C551" s="333">
        <f>BF71</f>
        <v>808165</v>
      </c>
      <c r="D551" s="327" t="s">
        <v>529</v>
      </c>
      <c r="E551" s="327" t="s">
        <v>529</v>
      </c>
      <c r="F551" s="334"/>
      <c r="G551" s="334"/>
      <c r="H551" s="335"/>
      <c r="I551" s="266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</row>
    <row r="552" spans="1:90" ht="12.65" customHeight="1" x14ac:dyDescent="0.3">
      <c r="A552" s="2" t="s">
        <v>566</v>
      </c>
      <c r="B552" s="333">
        <f>'[1]Prior Year'!BG71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</row>
    <row r="553" spans="1:90" ht="12.65" customHeight="1" x14ac:dyDescent="0.3">
      <c r="A553" s="2" t="s">
        <v>567</v>
      </c>
      <c r="B553" s="333">
        <f>'[1]Prior Year'!BH71</f>
        <v>1896207</v>
      </c>
      <c r="C553" s="333">
        <f>BH71</f>
        <v>1892249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</row>
    <row r="554" spans="1:90" ht="12.65" customHeight="1" x14ac:dyDescent="0.3">
      <c r="A554" s="2" t="s">
        <v>568</v>
      </c>
      <c r="B554" s="333">
        <f>'[1]Prior Year'!BI71</f>
        <v>908734</v>
      </c>
      <c r="C554" s="333">
        <f>BI71</f>
        <v>830674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</row>
    <row r="555" spans="1:90" ht="12.65" customHeight="1" x14ac:dyDescent="0.3">
      <c r="A555" s="2" t="s">
        <v>569</v>
      </c>
      <c r="B555" s="333">
        <f>'[1]Prior Year'!BJ71</f>
        <v>0</v>
      </c>
      <c r="C555" s="333">
        <f>BJ71</f>
        <v>0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</row>
    <row r="556" spans="1:90" ht="12.65" customHeight="1" x14ac:dyDescent="0.3">
      <c r="A556" s="2" t="s">
        <v>570</v>
      </c>
      <c r="B556" s="333">
        <f>'[1]Prior Year'!BK71</f>
        <v>1393769</v>
      </c>
      <c r="C556" s="333">
        <f>BK71</f>
        <v>1467707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</row>
    <row r="557" spans="1:90" ht="12.65" customHeight="1" x14ac:dyDescent="0.3">
      <c r="A557" s="2" t="s">
        <v>571</v>
      </c>
      <c r="B557" s="333">
        <f>'[1]Prior Year'!BL71</f>
        <v>636392</v>
      </c>
      <c r="C557" s="333">
        <f>BL71</f>
        <v>594211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</row>
    <row r="558" spans="1:90" ht="12.65" customHeight="1" x14ac:dyDescent="0.3">
      <c r="A558" s="2" t="s">
        <v>572</v>
      </c>
      <c r="B558" s="333">
        <f>'[1]Prior Year'!BM71</f>
        <v>264325</v>
      </c>
      <c r="C558" s="333">
        <f>BM71</f>
        <v>547807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</row>
    <row r="559" spans="1:90" ht="12.65" customHeight="1" x14ac:dyDescent="0.3">
      <c r="A559" s="2" t="s">
        <v>573</v>
      </c>
      <c r="B559" s="333">
        <f>'[1]Prior Year'!BN71</f>
        <v>1534633</v>
      </c>
      <c r="C559" s="333">
        <f>BN71</f>
        <v>1304031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</row>
    <row r="560" spans="1:90" ht="12.65" customHeight="1" x14ac:dyDescent="0.3">
      <c r="A560" s="2" t="s">
        <v>574</v>
      </c>
      <c r="B560" s="333">
        <f>'[1]Prior Year'!BO71</f>
        <v>130780</v>
      </c>
      <c r="C560" s="333">
        <f>BO71</f>
        <v>101262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</row>
    <row r="561" spans="1:90" ht="12.65" customHeight="1" x14ac:dyDescent="0.3">
      <c r="A561" s="2" t="s">
        <v>575</v>
      </c>
      <c r="B561" s="333">
        <f>'[1]Prior Year'!BP71</f>
        <v>865921</v>
      </c>
      <c r="C561" s="333">
        <f>BP71</f>
        <v>784773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</row>
    <row r="562" spans="1:90" ht="12.65" customHeight="1" x14ac:dyDescent="0.3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</row>
    <row r="563" spans="1:90" ht="12.65" customHeight="1" x14ac:dyDescent="0.3">
      <c r="A563" s="2" t="s">
        <v>577</v>
      </c>
      <c r="B563" s="333">
        <f>'[1]Prior Year'!BR71</f>
        <v>972272</v>
      </c>
      <c r="C563" s="333">
        <f>BR71</f>
        <v>852230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</row>
    <row r="564" spans="1:90" ht="12.65" customHeight="1" x14ac:dyDescent="0.3">
      <c r="A564" s="2" t="s">
        <v>1248</v>
      </c>
      <c r="B564" s="333">
        <f>'[1]Prior Year'!BS71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</row>
    <row r="565" spans="1:90" ht="12.65" customHeight="1" x14ac:dyDescent="0.3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</row>
    <row r="566" spans="1:90" ht="12.65" customHeight="1" x14ac:dyDescent="0.3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</row>
    <row r="567" spans="1:90" ht="12.65" customHeight="1" x14ac:dyDescent="0.3">
      <c r="A567" s="2" t="s">
        <v>580</v>
      </c>
      <c r="B567" s="333">
        <f>'[1]Prior Year'!BV71</f>
        <v>603722</v>
      </c>
      <c r="C567" s="333">
        <f>BV71</f>
        <v>584201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</row>
    <row r="568" spans="1:90" ht="12.65" customHeight="1" x14ac:dyDescent="0.3">
      <c r="A568" s="2" t="s">
        <v>581</v>
      </c>
      <c r="B568" s="333">
        <f>'[1]Prior Year'!BW71</f>
        <v>1769561</v>
      </c>
      <c r="C568" s="333">
        <f>BW71</f>
        <v>1731762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</row>
    <row r="569" spans="1:90" ht="12.65" customHeight="1" x14ac:dyDescent="0.3">
      <c r="A569" s="2" t="s">
        <v>582</v>
      </c>
      <c r="B569" s="333">
        <f>'[1]Prior Year'!BX71</f>
        <v>423513</v>
      </c>
      <c r="C569" s="333">
        <f>BX71</f>
        <v>391420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</row>
    <row r="570" spans="1:90" ht="12.65" customHeight="1" x14ac:dyDescent="0.3">
      <c r="A570" s="2" t="s">
        <v>583</v>
      </c>
      <c r="B570" s="333">
        <f>'[1]Prior Year'!BY71</f>
        <v>1047611</v>
      </c>
      <c r="C570" s="333">
        <f>BY71</f>
        <v>1049000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</row>
    <row r="571" spans="1:90" ht="12.65" customHeight="1" x14ac:dyDescent="0.3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</row>
    <row r="572" spans="1:90" ht="12.65" customHeight="1" x14ac:dyDescent="0.3">
      <c r="A572" s="2" t="s">
        <v>585</v>
      </c>
      <c r="B572" s="333">
        <f>'[1]Prior Year'!CA71</f>
        <v>0</v>
      </c>
      <c r="C572" s="333">
        <f>CA71</f>
        <v>0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</row>
    <row r="573" spans="1:90" ht="12.65" customHeight="1" x14ac:dyDescent="0.3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</row>
    <row r="574" spans="1:90" ht="12.65" customHeight="1" x14ac:dyDescent="0.3">
      <c r="A574" s="2" t="s">
        <v>587</v>
      </c>
      <c r="B574" s="333">
        <f>'[1]Prior Year'!CC71</f>
        <v>611098</v>
      </c>
      <c r="C574" s="333">
        <f>CC71</f>
        <v>584432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</row>
    <row r="575" spans="1:90" ht="12.65" customHeight="1" x14ac:dyDescent="0.3">
      <c r="A575" s="2" t="s">
        <v>588</v>
      </c>
      <c r="B575" s="333" t="str">
        <f>'[1]Prior Year'!CD72</f>
        <v>x</v>
      </c>
      <c r="C575" s="333">
        <f>CD71</f>
        <v>-5641280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</row>
    <row r="576" spans="1:90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</row>
    <row r="577" spans="1:90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</row>
    <row r="578" spans="1:90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</row>
    <row r="579" spans="1:90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</row>
    <row r="580" spans="1:90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</row>
    <row r="581" spans="1:90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</row>
    <row r="582" spans="1:90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</row>
    <row r="583" spans="1:90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</row>
    <row r="584" spans="1:90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</row>
    <row r="585" spans="1:90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</row>
    <row r="586" spans="1:90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</row>
    <row r="587" spans="1:90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</row>
    <row r="588" spans="1:90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</row>
    <row r="589" spans="1:90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</row>
    <row r="590" spans="1:90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</row>
    <row r="591" spans="1:90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</row>
    <row r="592" spans="1:90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</row>
    <row r="593" spans="1:90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</row>
    <row r="594" spans="1:90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</row>
    <row r="595" spans="1:90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</row>
    <row r="596" spans="1:90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</row>
    <row r="597" spans="1:90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</row>
    <row r="598" spans="1:90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</row>
    <row r="599" spans="1:90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</row>
    <row r="600" spans="1:90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</row>
    <row r="601" spans="1:90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</row>
    <row r="602" spans="1:90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</row>
    <row r="603" spans="1:90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</row>
    <row r="604" spans="1:90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</row>
    <row r="605" spans="1:90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</row>
    <row r="606" spans="1:90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</row>
    <row r="607" spans="1:90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</row>
    <row r="608" spans="1:90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</row>
    <row r="609" spans="1:90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</row>
    <row r="610" spans="1:90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</row>
    <row r="611" spans="1:90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</row>
    <row r="612" spans="1:90" ht="12.65" customHeight="1" x14ac:dyDescent="0.3">
      <c r="A612" s="336"/>
      <c r="B612" s="2"/>
      <c r="C612" s="327" t="s">
        <v>589</v>
      </c>
      <c r="D612" s="2">
        <f>CE76-(BE76+CD76)</f>
        <v>107236</v>
      </c>
      <c r="E612" s="2">
        <f>SUM(C624:D647)+SUM(C668:D713)</f>
        <v>55983272.749860123</v>
      </c>
      <c r="F612" s="2">
        <f>CE64-(AX64+BD64+BE64+BG64+BJ64+BN64+BP64+BQ64+CB64+CC64+CD64)</f>
        <v>11436232</v>
      </c>
      <c r="G612" s="2">
        <f>CE77-(AX77+AY77+BD77+BE77+BG77+BJ77+BN77+BP77+BQ77+CB77+CC77+CD77)</f>
        <v>74821.38</v>
      </c>
      <c r="H612" s="326">
        <f>CE60-(AX60+AY60+AZ60+BD60+BE60+BG60+BJ60+BN60+BO60+BP60+BQ60+BR60+CB60+CC60+CD60)</f>
        <v>306.03000000000014</v>
      </c>
      <c r="I612" s="2">
        <f>CE78-(AX78+AY78+AZ78+BD78+BE78+BF78+BG78+BJ78+BN78+BO78+BP78+BQ78+BR78+CB78+CC78+CD78)</f>
        <v>22274</v>
      </c>
      <c r="J612" s="2">
        <f>CE79-(AX79+AY79+AZ79+BA79+BD79+BE79+BF79+BG79+BJ79+BN79+BO79+BP79+BQ79+BR79+CB79+CC79+CD79)</f>
        <v>300407</v>
      </c>
      <c r="K612" s="2">
        <f>CE75-(AW75+AX75+AY75+AZ75+BA75+BB75+BC75+BD75+BE75+BF75+BG75+BH75+BI75+BJ75+BK75+BL75+BM75+BN75+BO75+BP75+BQ75+BR75+BS75+BT75+BU75+BV75+BW75+BX75+CB75+CC75+CD75)</f>
        <v>129781063</v>
      </c>
      <c r="L612" s="326">
        <f>CE80-(AW80+AX80+AY80+AZ80+BA80+BB80+BC80+BD80+BE80+BF80+BG80+BH80+BI80+BJ80+BK80+BL80+BM80+BN80+BO80+BP80+BQ80+BR80+BS80+BT80+BU80+BV80+BW80+BX80+BY80+BZ80+CA80+CB80+CC80+CD80)</f>
        <v>76.243200961538463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</row>
    <row r="613" spans="1:90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</row>
    <row r="614" spans="1:90" ht="12.65" customHeight="1" x14ac:dyDescent="0.3">
      <c r="A614" s="336">
        <v>8430</v>
      </c>
      <c r="B614" s="330" t="s">
        <v>140</v>
      </c>
      <c r="C614" s="2">
        <f>BE71</f>
        <v>1630252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</row>
    <row r="615" spans="1:90" ht="12.65" customHeight="1" x14ac:dyDescent="0.3">
      <c r="A615" s="336"/>
      <c r="B615" s="330" t="s">
        <v>601</v>
      </c>
      <c r="C615" s="337">
        <f>CD69-CD70</f>
        <v>-5641280</v>
      </c>
      <c r="D615" s="338">
        <f>SUM(C614:C615)</f>
        <v>-4011028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</row>
    <row r="616" spans="1:90" ht="12.65" customHeight="1" x14ac:dyDescent="0.3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</row>
    <row r="617" spans="1:90" ht="12.65" customHeight="1" x14ac:dyDescent="0.3">
      <c r="A617" s="336">
        <v>8510</v>
      </c>
      <c r="B617" s="339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</row>
    <row r="618" spans="1:90" ht="12.65" customHeight="1" x14ac:dyDescent="0.3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</row>
    <row r="619" spans="1:90" ht="12.65" customHeight="1" x14ac:dyDescent="0.3">
      <c r="A619" s="336">
        <v>8610</v>
      </c>
      <c r="B619" s="339" t="s">
        <v>608</v>
      </c>
      <c r="C619" s="2">
        <f>BN71</f>
        <v>1304031</v>
      </c>
      <c r="D619" s="2">
        <f>(D615/D612)*BN76</f>
        <v>-133344.35096422842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</row>
    <row r="620" spans="1:90" ht="12.65" customHeight="1" x14ac:dyDescent="0.3">
      <c r="A620" s="336">
        <v>8790</v>
      </c>
      <c r="B620" s="339" t="s">
        <v>610</v>
      </c>
      <c r="C620" s="2">
        <f>CC71</f>
        <v>584432</v>
      </c>
      <c r="D620" s="2">
        <f>(D615/D612)*CC76</f>
        <v>-944519.36901786702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</row>
    <row r="621" spans="1:90" ht="12.65" customHeight="1" x14ac:dyDescent="0.3">
      <c r="A621" s="336">
        <v>8630</v>
      </c>
      <c r="B621" s="339" t="s">
        <v>612</v>
      </c>
      <c r="C621" s="2">
        <f>BP71</f>
        <v>784773</v>
      </c>
      <c r="D621" s="2">
        <f>(D615/D612)*BP76</f>
        <v>-10286.029878026035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</row>
    <row r="622" spans="1:90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</row>
    <row r="623" spans="1:90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1585086.2501398784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</row>
    <row r="624" spans="1:90" ht="12.65" customHeight="1" x14ac:dyDescent="0.3">
      <c r="A624" s="336">
        <v>8420</v>
      </c>
      <c r="B624" s="339" t="s">
        <v>139</v>
      </c>
      <c r="C624" s="2">
        <f>BD71</f>
        <v>616850</v>
      </c>
      <c r="D624" s="2">
        <f>(D615/D612)*BD76</f>
        <v>-105441.15718601961</v>
      </c>
      <c r="E624" s="2">
        <f>(E623/E612)*SUM(C624:D624)</f>
        <v>14479.809506070937</v>
      </c>
      <c r="F624" s="2">
        <f>SUM(C624:E624)</f>
        <v>525888.65232005133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</row>
    <row r="625" spans="1:90" ht="12.65" customHeight="1" x14ac:dyDescent="0.3">
      <c r="A625" s="336">
        <v>8320</v>
      </c>
      <c r="B625" s="339" t="s">
        <v>135</v>
      </c>
      <c r="C625" s="2">
        <f>AY71</f>
        <v>1605471</v>
      </c>
      <c r="D625" s="2">
        <f>(D615/D612)*AY76</f>
        <v>-178266.24872244394</v>
      </c>
      <c r="E625" s="2">
        <f>(E623/E612)*SUM(C625:D625)</f>
        <v>40409.260056880325</v>
      </c>
      <c r="F625" s="2">
        <f>(F624/F612)*AY64</f>
        <v>21152.2876943556</v>
      </c>
      <c r="G625" s="2">
        <f>SUM(C625:F625)</f>
        <v>1488766.2990287922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</row>
    <row r="626" spans="1:90" ht="12.65" customHeight="1" x14ac:dyDescent="0.3">
      <c r="A626" s="336">
        <v>8650</v>
      </c>
      <c r="B626" s="339" t="s">
        <v>152</v>
      </c>
      <c r="C626" s="2">
        <f>BR71</f>
        <v>852230</v>
      </c>
      <c r="D626" s="2">
        <f>(D615/D612)*BR76</f>
        <v>-10286.029878026035</v>
      </c>
      <c r="E626" s="2">
        <f>(E623/E612)*SUM(C626:D626)</f>
        <v>23838.43860632203</v>
      </c>
      <c r="F626" s="2">
        <f>(F624/F612)*BR64</f>
        <v>278.15983952441593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</row>
    <row r="627" spans="1:90" ht="12.65" customHeight="1" x14ac:dyDescent="0.3">
      <c r="A627" s="336">
        <v>8620</v>
      </c>
      <c r="B627" s="330" t="s">
        <v>621</v>
      </c>
      <c r="C627" s="2">
        <f>BO71</f>
        <v>101262</v>
      </c>
      <c r="D627" s="2">
        <f>(D615/D612)*BO76</f>
        <v>0</v>
      </c>
      <c r="E627" s="2">
        <f>(E623/E612)*SUM(C627:D627)</f>
        <v>2867.0886137514244</v>
      </c>
      <c r="F627" s="2">
        <f>(F624/F612)*BO64</f>
        <v>1.9773306496197529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</row>
    <row r="628" spans="1:90" ht="12.65" customHeight="1" x14ac:dyDescent="0.3">
      <c r="A628" s="336">
        <v>8330</v>
      </c>
      <c r="B628" s="339" t="s">
        <v>136</v>
      </c>
      <c r="C628" s="2">
        <f>AZ71</f>
        <v>-361912</v>
      </c>
      <c r="D628" s="2">
        <f>(D615/D612)*AZ76</f>
        <v>0</v>
      </c>
      <c r="E628" s="2">
        <f>(E623/E612)*SUM(C628:D628)</f>
        <v>-10247.020347020654</v>
      </c>
      <c r="F628" s="2">
        <f>(F624/F612)*AZ64</f>
        <v>0</v>
      </c>
      <c r="G628" s="2">
        <f>(G625/G612)*AZ77</f>
        <v>1074411.0018908726</v>
      </c>
      <c r="H628" s="2">
        <f>SUM(C626:G628)</f>
        <v>1672443.6160560735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</row>
    <row r="629" spans="1:90" ht="12.65" customHeight="1" x14ac:dyDescent="0.3">
      <c r="A629" s="336">
        <v>8460</v>
      </c>
      <c r="B629" s="339" t="s">
        <v>141</v>
      </c>
      <c r="C629" s="2">
        <f>BF71</f>
        <v>808165</v>
      </c>
      <c r="D629" s="2">
        <f>(D615/D612)*BF76</f>
        <v>-14026.404379126412</v>
      </c>
      <c r="E629" s="2">
        <f>(E623/E612)*SUM(C629:D629)</f>
        <v>22484.897841689417</v>
      </c>
      <c r="F629" s="2">
        <f>(F624/F612)*BF64</f>
        <v>2044.0080785022794</v>
      </c>
      <c r="G629" s="2">
        <f>(G625/G612)*BF77</f>
        <v>0</v>
      </c>
      <c r="H629" s="2">
        <f>(H628/H612)*BF60</f>
        <v>69186.472500310032</v>
      </c>
      <c r="I629" s="2">
        <f>SUM(C629:H629)</f>
        <v>887853.97404137533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</row>
    <row r="630" spans="1:90" ht="12.65" customHeight="1" x14ac:dyDescent="0.3">
      <c r="A630" s="336">
        <v>8350</v>
      </c>
      <c r="B630" s="339" t="s">
        <v>625</v>
      </c>
      <c r="C630" s="2">
        <f>BA71</f>
        <v>258709</v>
      </c>
      <c r="D630" s="2">
        <f>(D615/D612)*BA76</f>
        <v>-48400.446044238874</v>
      </c>
      <c r="E630" s="2">
        <f>(E623/E612)*SUM(C630:D630)</f>
        <v>5954.5857322696556</v>
      </c>
      <c r="F630" s="2">
        <f>(F624/F612)*BA64</f>
        <v>0</v>
      </c>
      <c r="G630" s="2">
        <f>(G625/G612)*BA77</f>
        <v>0</v>
      </c>
      <c r="H630" s="2">
        <f>(H628/H612)*BA60</f>
        <v>4426.6226481241019</v>
      </c>
      <c r="I630" s="2">
        <f>(I629/I612)*BA78</f>
        <v>11280.536708885213</v>
      </c>
      <c r="J630" s="2">
        <f>SUM(C630:I630)</f>
        <v>231970.2990450401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</row>
    <row r="631" spans="1:90" ht="12.65" customHeight="1" x14ac:dyDescent="0.3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</row>
    <row r="632" spans="1:90" ht="12.65" customHeight="1" x14ac:dyDescent="0.3">
      <c r="A632" s="336">
        <v>8360</v>
      </c>
      <c r="B632" s="339" t="s">
        <v>629</v>
      </c>
      <c r="C632" s="2">
        <f>BB71</f>
        <v>638418</v>
      </c>
      <c r="D632" s="2">
        <f>(D615/D612)*BB76</f>
        <v>-5610.5617516505645</v>
      </c>
      <c r="E632" s="2">
        <f>(E623/E612)*SUM(C632:D632)</f>
        <v>17917.03700202495</v>
      </c>
      <c r="F632" s="2">
        <f>(F624/F612)*BB64</f>
        <v>15.680691895821761</v>
      </c>
      <c r="G632" s="2">
        <f>(G625/G612)*BB77</f>
        <v>0</v>
      </c>
      <c r="H632" s="2">
        <f>(H628/H612)*BB60</f>
        <v>33554.892666027139</v>
      </c>
      <c r="I632" s="2">
        <f>(I629/I612)*BB78</f>
        <v>1315.3982734742474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</row>
    <row r="633" spans="1:90" ht="12.65" customHeight="1" x14ac:dyDescent="0.3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</row>
    <row r="634" spans="1:90" ht="12.65" customHeight="1" x14ac:dyDescent="0.3">
      <c r="A634" s="336">
        <v>8490</v>
      </c>
      <c r="B634" s="339" t="s">
        <v>633</v>
      </c>
      <c r="C634" s="2">
        <f>BI71</f>
        <v>830674</v>
      </c>
      <c r="D634" s="2">
        <f>(D615/D612)*BI76</f>
        <v>0</v>
      </c>
      <c r="E634" s="2">
        <f>(E623/E612)*SUM(C634:D634)</f>
        <v>23519.345530794875</v>
      </c>
      <c r="F634" s="2">
        <f>(F624/F612)*BI64</f>
        <v>144.62104402451448</v>
      </c>
      <c r="G634" s="2">
        <f>(G625/G612)*BI77</f>
        <v>0</v>
      </c>
      <c r="H634" s="2">
        <f>(H628/H612)*BI60</f>
        <v>24810.946694423976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</row>
    <row r="635" spans="1:90" ht="12.65" customHeight="1" x14ac:dyDescent="0.3">
      <c r="A635" s="336">
        <v>8530</v>
      </c>
      <c r="B635" s="339" t="s">
        <v>635</v>
      </c>
      <c r="C635" s="2">
        <f>BK71</f>
        <v>1467707</v>
      </c>
      <c r="D635" s="2">
        <f>(D615/D612)*BK76</f>
        <v>0</v>
      </c>
      <c r="E635" s="2">
        <f>(E623/E612)*SUM(C635:D635)</f>
        <v>41556.023266608026</v>
      </c>
      <c r="F635" s="2">
        <f>(F624/F612)*BK64</f>
        <v>1186.5363430729881</v>
      </c>
      <c r="G635" s="2">
        <f>(G625/G612)*BK77</f>
        <v>0</v>
      </c>
      <c r="H635" s="2">
        <f>(H628/H612)*BK60</f>
        <v>71317.809330888311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</row>
    <row r="636" spans="1:90" ht="12.65" customHeight="1" x14ac:dyDescent="0.3">
      <c r="A636" s="336">
        <v>8480</v>
      </c>
      <c r="B636" s="339" t="s">
        <v>637</v>
      </c>
      <c r="C636" s="2">
        <f>BH71</f>
        <v>1892249</v>
      </c>
      <c r="D636" s="2">
        <f>(D615/D612)*BH76</f>
        <v>-69832.791935544024</v>
      </c>
      <c r="E636" s="2">
        <f>(E623/E612)*SUM(C636:D636)</f>
        <v>51599.106867903545</v>
      </c>
      <c r="F636" s="2">
        <f>(F624/F612)*BH64</f>
        <v>254.15596512670638</v>
      </c>
      <c r="G636" s="2">
        <f>(G625/G612)*BH77</f>
        <v>0</v>
      </c>
      <c r="H636" s="2">
        <f>(H628/H612)*BH60</f>
        <v>43774.379520338334</v>
      </c>
      <c r="I636" s="2">
        <f>(I629/I612)*BH78</f>
        <v>10483.325634052335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</row>
    <row r="637" spans="1:90" ht="12.65" customHeight="1" x14ac:dyDescent="0.3">
      <c r="A637" s="336">
        <v>8560</v>
      </c>
      <c r="B637" s="339" t="s">
        <v>147</v>
      </c>
      <c r="C637" s="2">
        <f>BL71</f>
        <v>594211</v>
      </c>
      <c r="D637" s="2">
        <f>(D615/D612)*BL76</f>
        <v>-32391.643179529259</v>
      </c>
      <c r="E637" s="2">
        <f>(E623/E612)*SUM(C637:D637)</f>
        <v>15907.111067578366</v>
      </c>
      <c r="F637" s="2">
        <f>(F624/F612)*BL64</f>
        <v>422.87285241635459</v>
      </c>
      <c r="G637" s="2">
        <f>(G625/G612)*BL77</f>
        <v>0</v>
      </c>
      <c r="H637" s="2">
        <f>(H628/H612)*BL60</f>
        <v>49239.345752590314</v>
      </c>
      <c r="I637" s="2">
        <f>(I629/I612)*BL78</f>
        <v>7533.6446571706902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</row>
    <row r="638" spans="1:90" ht="12.65" customHeight="1" x14ac:dyDescent="0.3">
      <c r="A638" s="336">
        <v>8590</v>
      </c>
      <c r="B638" s="339" t="s">
        <v>640</v>
      </c>
      <c r="C638" s="2">
        <f>BM71</f>
        <v>547807</v>
      </c>
      <c r="D638" s="2">
        <f>(D615/D612)*BM76</f>
        <v>-10286.029878026035</v>
      </c>
      <c r="E638" s="2">
        <f>(E623/E612)*SUM(C638:D638)</f>
        <v>15219.137021679715</v>
      </c>
      <c r="F638" s="2">
        <f>(F624/F612)*BM64</f>
        <v>232.95714118543415</v>
      </c>
      <c r="G638" s="2">
        <f>(G625/G612)*BM77</f>
        <v>0</v>
      </c>
      <c r="H638" s="2">
        <f>(H628/H612)*BM60</f>
        <v>22406.361552233106</v>
      </c>
      <c r="I638" s="2">
        <f>(I629/I612)*BM78</f>
        <v>2391.6332244986315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</row>
    <row r="639" spans="1:90" ht="12.65" customHeight="1" x14ac:dyDescent="0.3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</row>
    <row r="640" spans="1:90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</row>
    <row r="641" spans="1:90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</row>
    <row r="642" spans="1:90" ht="12.65" customHeight="1" x14ac:dyDescent="0.3">
      <c r="A642" s="336">
        <v>8690</v>
      </c>
      <c r="B642" s="339" t="s">
        <v>648</v>
      </c>
      <c r="C642" s="2">
        <f>BV71</f>
        <v>584201</v>
      </c>
      <c r="D642" s="2">
        <f>(D615/D612)*BV76</f>
        <v>-50607.266999888096</v>
      </c>
      <c r="E642" s="2">
        <f>(E623/E612)*SUM(C642:D642)</f>
        <v>15107.942922851005</v>
      </c>
      <c r="F642" s="2">
        <f>(F624/F612)*BV64</f>
        <v>148.06987655292102</v>
      </c>
      <c r="G642" s="2">
        <f>(G625/G612)*BV77</f>
        <v>0</v>
      </c>
      <c r="H642" s="2">
        <f>(H628/H612)*BV60</f>
        <v>18471.585865011682</v>
      </c>
      <c r="I642" s="2">
        <f>(I629/I612)*BV78</f>
        <v>11798.723907526582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</row>
    <row r="643" spans="1:90" ht="12.65" customHeight="1" x14ac:dyDescent="0.3">
      <c r="A643" s="336">
        <v>8700</v>
      </c>
      <c r="B643" s="339" t="s">
        <v>650</v>
      </c>
      <c r="C643" s="2">
        <f>BW71</f>
        <v>1731762</v>
      </c>
      <c r="D643" s="2">
        <f>(D615/D612)*BW76</f>
        <v>-5610.5617516505645</v>
      </c>
      <c r="E643" s="2">
        <f>(E623/E612)*SUM(C643:D643)</f>
        <v>48873.507675263056</v>
      </c>
      <c r="F643" s="2">
        <f>(F624/F612)*BW64</f>
        <v>95.463684386293181</v>
      </c>
      <c r="G643" s="2">
        <f>(G625/G612)*BW77</f>
        <v>0</v>
      </c>
      <c r="H643" s="2">
        <f>(H628/H612)*BW60</f>
        <v>18635.534851979242</v>
      </c>
      <c r="I643" s="2">
        <f>(I629/I612)*BW78</f>
        <v>1315.3982734742474</v>
      </c>
      <c r="J643" s="2">
        <f>(J630/J612)*BW79</f>
        <v>976.04402691325652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</row>
    <row r="644" spans="1:90" ht="12.65" customHeight="1" x14ac:dyDescent="0.3">
      <c r="A644" s="336">
        <v>8710</v>
      </c>
      <c r="B644" s="339" t="s">
        <v>652</v>
      </c>
      <c r="C644" s="2">
        <f>BX71</f>
        <v>391420</v>
      </c>
      <c r="D644" s="2">
        <f>(D615/D612)*BX76</f>
        <v>-5610.5617516505645</v>
      </c>
      <c r="E644" s="2">
        <f>(E623/E612)*SUM(C644:D644)</f>
        <v>10923.642111351503</v>
      </c>
      <c r="F644" s="2">
        <f>(F624/F612)*BX64</f>
        <v>7.357509393933964</v>
      </c>
      <c r="G644" s="2">
        <f>(G625/G612)*BX77</f>
        <v>0</v>
      </c>
      <c r="H644" s="2">
        <f>(H628/H612)*BX60</f>
        <v>15028.657138692937</v>
      </c>
      <c r="I644" s="2">
        <f>(I629/I612)*BX78</f>
        <v>1315.3982734742474</v>
      </c>
      <c r="J644" s="2">
        <f>(J630/J612)*BX79</f>
        <v>0</v>
      </c>
      <c r="K644" s="2">
        <f>SUM(C631:J644)</f>
        <v>9075999.2309689354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</row>
    <row r="645" spans="1:90" ht="12.65" customHeight="1" x14ac:dyDescent="0.3">
      <c r="A645" s="336">
        <v>8720</v>
      </c>
      <c r="B645" s="339" t="s">
        <v>654</v>
      </c>
      <c r="C645" s="2">
        <f>BY71</f>
        <v>1049000</v>
      </c>
      <c r="D645" s="2">
        <f>(D615/D612)*BY76</f>
        <v>-5610.5617516505645</v>
      </c>
      <c r="E645" s="2">
        <f>(E623/E612)*SUM(C645:D645)</f>
        <v>29542.078747312298</v>
      </c>
      <c r="F645" s="2">
        <f>(F624/F612)*BY64</f>
        <v>54.445569515111337</v>
      </c>
      <c r="G645" s="2">
        <f>(G625/G612)*BY77</f>
        <v>0</v>
      </c>
      <c r="H645" s="2">
        <f>(H628/H612)*BY60</f>
        <v>28363.174745387762</v>
      </c>
      <c r="I645" s="2">
        <f>(I629/I612)*BY78</f>
        <v>1315.3982734742474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</row>
    <row r="646" spans="1:90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</row>
    <row r="647" spans="1:90" ht="12.65" customHeight="1" x14ac:dyDescent="0.3">
      <c r="A647" s="336">
        <v>8740</v>
      </c>
      <c r="B647" s="339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1102664.5355840388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</row>
    <row r="648" spans="1:90" ht="12.65" customHeight="1" x14ac:dyDescent="0.3">
      <c r="A648" s="336"/>
      <c r="B648" s="336"/>
      <c r="C648" s="2">
        <f>SUM(C614:C647)</f>
        <v>12270432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</row>
    <row r="649" spans="1:90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</row>
    <row r="650" spans="1:90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</row>
    <row r="651" spans="1:90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</row>
    <row r="652" spans="1:90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</row>
    <row r="653" spans="1:90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</row>
    <row r="654" spans="1:90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</row>
    <row r="655" spans="1:90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</row>
    <row r="656" spans="1:90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</row>
    <row r="657" spans="1:90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</row>
    <row r="658" spans="1:90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</row>
    <row r="659" spans="1:90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</row>
    <row r="660" spans="1:90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</row>
    <row r="661" spans="1:90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</row>
    <row r="662" spans="1:90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</row>
    <row r="663" spans="1:90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</row>
    <row r="664" spans="1:90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</row>
    <row r="665" spans="1:90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</row>
    <row r="666" spans="1:90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</row>
    <row r="667" spans="1:90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</row>
    <row r="668" spans="1:90" ht="12.65" customHeight="1" x14ac:dyDescent="0.3">
      <c r="A668" s="336">
        <v>6010</v>
      </c>
      <c r="B668" s="330" t="s">
        <v>283</v>
      </c>
      <c r="C668" s="2">
        <f>C71</f>
        <v>1647811</v>
      </c>
      <c r="D668" s="2">
        <f>(D615/D612)*C76</f>
        <v>-67476.355999850784</v>
      </c>
      <c r="E668" s="2">
        <f>(E623/E612)*SUM(C668:D668)</f>
        <v>44744.913824828058</v>
      </c>
      <c r="F668" s="2">
        <f>(F624/F612)*C64</f>
        <v>2685.5369132196092</v>
      </c>
      <c r="G668" s="2">
        <f>(G625/G612)*C77</f>
        <v>85120.563314980842</v>
      </c>
      <c r="H668" s="2">
        <f>(H628/H612)*C60</f>
        <v>71427.108655533346</v>
      </c>
      <c r="I668" s="2">
        <f>(I629/I612)*C78</f>
        <v>52496.349277744965</v>
      </c>
      <c r="J668" s="2">
        <f>(J630/J612)*C79</f>
        <v>12863.086550886888</v>
      </c>
      <c r="K668" s="2">
        <f>(K644/K612)*C75</f>
        <v>173083.30051713291</v>
      </c>
      <c r="L668" s="2">
        <f>(L647/L612)*C80</f>
        <v>137515.0856926557</v>
      </c>
      <c r="M668" s="2">
        <f t="shared" ref="M668:M713" si="20">ROUND(SUM(D668:L668),0)</f>
        <v>512460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</row>
    <row r="669" spans="1:90" ht="12.65" customHeight="1" x14ac:dyDescent="0.3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</row>
    <row r="670" spans="1:90" ht="12.65" customHeight="1" x14ac:dyDescent="0.3">
      <c r="A670" s="336">
        <v>6070</v>
      </c>
      <c r="B670" s="330" t="s">
        <v>665</v>
      </c>
      <c r="C670" s="2">
        <f>E71</f>
        <v>4340584</v>
      </c>
      <c r="D670" s="2">
        <f>(D615/D612)*E76</f>
        <v>-363302.57529187953</v>
      </c>
      <c r="E670" s="2">
        <f>(E623/E612)*SUM(C670:D670)</f>
        <v>112611.03164529336</v>
      </c>
      <c r="F670" s="2">
        <f>(F624/F612)*E64</f>
        <v>3682.5254205313731</v>
      </c>
      <c r="G670" s="2">
        <f>(G625/G612)*E77</f>
        <v>155143.42053694287</v>
      </c>
      <c r="H670" s="2">
        <f>(H628/H612)*E60</f>
        <v>144930.90447932243</v>
      </c>
      <c r="I670" s="2">
        <f>(I629/I612)*E78</f>
        <v>146965.86164544092</v>
      </c>
      <c r="J670" s="2">
        <f>(J630/J612)*E79</f>
        <v>38590.031839390824</v>
      </c>
      <c r="K670" s="2">
        <f>(K644/K612)*E75</f>
        <v>417996.13368430367</v>
      </c>
      <c r="L670" s="2">
        <f>(L647/L612)*E80</f>
        <v>214621.57249779816</v>
      </c>
      <c r="M670" s="2">
        <f t="shared" si="20"/>
        <v>871239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</row>
    <row r="671" spans="1:90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</row>
    <row r="672" spans="1:90" ht="12.65" customHeight="1" x14ac:dyDescent="0.3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</row>
    <row r="673" spans="1:90" ht="12.65" customHeight="1" x14ac:dyDescent="0.3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</row>
    <row r="674" spans="1:90" ht="12.65" customHeight="1" x14ac:dyDescent="0.3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</row>
    <row r="675" spans="1:90" ht="12.65" customHeight="1" x14ac:dyDescent="0.3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15007.449100521473</v>
      </c>
      <c r="K675" s="2">
        <f>(K644/K612)*J75</f>
        <v>32345.203246723508</v>
      </c>
      <c r="L675" s="2">
        <f>(L647/L612)*J80</f>
        <v>0</v>
      </c>
      <c r="M675" s="2">
        <f t="shared" si="20"/>
        <v>47353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</row>
    <row r="676" spans="1:90" ht="12.65" customHeight="1" x14ac:dyDescent="0.3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</row>
    <row r="677" spans="1:90" ht="12.65" customHeight="1" x14ac:dyDescent="0.3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14507.143530407737</v>
      </c>
      <c r="L677" s="2">
        <f>(L647/L612)*L80</f>
        <v>0</v>
      </c>
      <c r="M677" s="2">
        <f t="shared" si="20"/>
        <v>14507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</row>
    <row r="678" spans="1:90" ht="12.65" customHeight="1" x14ac:dyDescent="0.3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</row>
    <row r="679" spans="1:90" ht="12.65" customHeight="1" x14ac:dyDescent="0.3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</row>
    <row r="680" spans="1:90" ht="12.65" customHeight="1" x14ac:dyDescent="0.3">
      <c r="A680" s="336">
        <v>7010</v>
      </c>
      <c r="B680" s="330" t="s">
        <v>682</v>
      </c>
      <c r="C680" s="2">
        <f>O71</f>
        <v>2732607</v>
      </c>
      <c r="D680" s="2">
        <f>(D615/D612)*O76</f>
        <v>-309740.41243612219</v>
      </c>
      <c r="E680" s="2">
        <f>(E623/E612)*SUM(C680:D680)</f>
        <v>68600.000057703408</v>
      </c>
      <c r="F680" s="2">
        <f>(F624/F612)*O64</f>
        <v>4793.8312300513862</v>
      </c>
      <c r="G680" s="2">
        <f>(G625/G612)*O77</f>
        <v>90599.368977714912</v>
      </c>
      <c r="H680" s="2">
        <f>(H628/H612)*O60</f>
        <v>107386.58646375134</v>
      </c>
      <c r="I680" s="2">
        <f>(I629/I612)*O78</f>
        <v>115476.02418954227</v>
      </c>
      <c r="J680" s="2">
        <f>(J630/J612)*O79</f>
        <v>30014.126014312791</v>
      </c>
      <c r="K680" s="2">
        <f>(K644/K612)*O75</f>
        <v>198774.99343751845</v>
      </c>
      <c r="L680" s="2">
        <f>(L647/L612)*O80</f>
        <v>211843.80600889836</v>
      </c>
      <c r="M680" s="2">
        <f t="shared" si="20"/>
        <v>517748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</row>
    <row r="681" spans="1:90" ht="12.65" customHeight="1" x14ac:dyDescent="0.3">
      <c r="A681" s="336">
        <v>7020</v>
      </c>
      <c r="B681" s="330" t="s">
        <v>684</v>
      </c>
      <c r="C681" s="2">
        <f>P71</f>
        <v>7161253</v>
      </c>
      <c r="D681" s="2">
        <f>(D615/D612)*P76</f>
        <v>-602686.54336230364</v>
      </c>
      <c r="E681" s="2">
        <f>(E623/E612)*SUM(C681:D681)</f>
        <v>185696.4232422623</v>
      </c>
      <c r="F681" s="2">
        <f>(F624/F612)*P64</f>
        <v>63575.686859778842</v>
      </c>
      <c r="G681" s="2">
        <f>(G625/G612)*P77</f>
        <v>49229.262590667342</v>
      </c>
      <c r="H681" s="2">
        <f>(H628/H612)*P60</f>
        <v>243190.99733521297</v>
      </c>
      <c r="I681" s="2">
        <f>(I629/I612)*P78</f>
        <v>94469.512367695948</v>
      </c>
      <c r="J681" s="2">
        <f>(J630/J612)*P79</f>
        <v>38590.031839390824</v>
      </c>
      <c r="K681" s="2">
        <f>(K644/K612)*P75</f>
        <v>1198132.5801326232</v>
      </c>
      <c r="L681" s="2">
        <f>(L647/L612)*P80</f>
        <v>333278.2589586071</v>
      </c>
      <c r="M681" s="2">
        <f t="shared" si="20"/>
        <v>1603476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</row>
    <row r="682" spans="1:90" ht="12.65" customHeight="1" x14ac:dyDescent="0.3">
      <c r="A682" s="336">
        <v>7030</v>
      </c>
      <c r="B682" s="330" t="s">
        <v>686</v>
      </c>
      <c r="C682" s="2">
        <f>Q71</f>
        <v>24850</v>
      </c>
      <c r="D682" s="2">
        <f>(D615/D612)*Q76</f>
        <v>0</v>
      </c>
      <c r="E682" s="2">
        <f>(E623/E612)*SUM(C682:D682)</f>
        <v>703.5921871158273</v>
      </c>
      <c r="F682" s="2">
        <f>(F624/F612)*Q64</f>
        <v>1119.7669453230374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102870.27275135422</v>
      </c>
      <c r="L682" s="2">
        <f>(L647/L612)*Q80</f>
        <v>0</v>
      </c>
      <c r="M682" s="2">
        <f t="shared" si="20"/>
        <v>104694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</row>
    <row r="683" spans="1:90" ht="12.65" customHeight="1" x14ac:dyDescent="0.3">
      <c r="A683" s="336">
        <v>7040</v>
      </c>
      <c r="B683" s="330" t="s">
        <v>107</v>
      </c>
      <c r="C683" s="2">
        <f>R71</f>
        <v>621996</v>
      </c>
      <c r="D683" s="2">
        <f>(D615/D612)*R76</f>
        <v>0</v>
      </c>
      <c r="E683" s="2">
        <f>(E623/E612)*SUM(C683:D683)</f>
        <v>17610.926600293606</v>
      </c>
      <c r="F683" s="2">
        <f>(F624/F612)*R64</f>
        <v>5305.6379772669179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293999.26452282432</v>
      </c>
      <c r="L683" s="2">
        <f>(L647/L612)*R80</f>
        <v>0</v>
      </c>
      <c r="M683" s="2">
        <f t="shared" si="20"/>
        <v>316916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</row>
    <row r="684" spans="1:90" ht="12.65" customHeight="1" x14ac:dyDescent="0.3">
      <c r="A684" s="336">
        <v>7050</v>
      </c>
      <c r="B684" s="330" t="s">
        <v>689</v>
      </c>
      <c r="C684" s="2">
        <f>S71</f>
        <v>4558505</v>
      </c>
      <c r="D684" s="2">
        <f>(D615/D612)*S76</f>
        <v>-53823.989070834417</v>
      </c>
      <c r="E684" s="2">
        <f>(E623/E612)*SUM(C684:D684)</f>
        <v>127543.59616655079</v>
      </c>
      <c r="F684" s="2">
        <f>(F624/F612)*S64</f>
        <v>201147.13325849551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1196630.8355561758</v>
      </c>
      <c r="L684" s="2">
        <f>(L647/L612)*S80</f>
        <v>0</v>
      </c>
      <c r="M684" s="2">
        <f t="shared" si="20"/>
        <v>1471498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</row>
    <row r="685" spans="1:90" ht="12.65" customHeight="1" x14ac:dyDescent="0.3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</row>
    <row r="686" spans="1:90" ht="12.65" customHeight="1" x14ac:dyDescent="0.3">
      <c r="A686" s="336">
        <v>7070</v>
      </c>
      <c r="B686" s="330" t="s">
        <v>109</v>
      </c>
      <c r="C686" s="2">
        <f>U71</f>
        <v>2631338</v>
      </c>
      <c r="D686" s="2">
        <f>(D615/D612)*U76</f>
        <v>-73311.34022156737</v>
      </c>
      <c r="E686" s="2">
        <f>(E623/E612)*SUM(C686:D686)</f>
        <v>72426.864074611731</v>
      </c>
      <c r="F686" s="2">
        <f>(F624/F612)*U64</f>
        <v>28366.739515011264</v>
      </c>
      <c r="G686" s="2">
        <f>(G625/G612)*U77</f>
        <v>0</v>
      </c>
      <c r="H686" s="2">
        <f>(H628/H612)*U60</f>
        <v>83450.034366487685</v>
      </c>
      <c r="I686" s="2">
        <f>(I629/I612)*U78</f>
        <v>41973.163089950984</v>
      </c>
      <c r="J686" s="2">
        <f>(J630/J612)*U79</f>
        <v>6431.5432754434441</v>
      </c>
      <c r="K686" s="2">
        <f>(K644/K612)*U75</f>
        <v>801261.2945295627</v>
      </c>
      <c r="L686" s="2">
        <f>(L647/L612)*U80</f>
        <v>0</v>
      </c>
      <c r="M686" s="2">
        <f t="shared" si="20"/>
        <v>960598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</row>
    <row r="687" spans="1:90" ht="12.65" customHeight="1" x14ac:dyDescent="0.3">
      <c r="A687" s="336">
        <v>7110</v>
      </c>
      <c r="B687" s="330" t="s">
        <v>694</v>
      </c>
      <c r="C687" s="2">
        <f>V71</f>
        <v>7151</v>
      </c>
      <c r="D687" s="2">
        <f>(D615/D612)*V76</f>
        <v>-11557.757208400162</v>
      </c>
      <c r="E687" s="2">
        <f>(E623/E612)*SUM(C687:D687)</f>
        <v>-124.77102383688964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21006.511821846314</v>
      </c>
      <c r="J687" s="2">
        <f>(J630/J612)*V79</f>
        <v>0</v>
      </c>
      <c r="K687" s="2">
        <f>(K644/K612)*V75</f>
        <v>36401.536052333919</v>
      </c>
      <c r="L687" s="2">
        <f>(L647/L612)*V80</f>
        <v>0</v>
      </c>
      <c r="M687" s="2">
        <f t="shared" si="20"/>
        <v>45726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</row>
    <row r="688" spans="1:90" ht="12.65" customHeight="1" x14ac:dyDescent="0.3">
      <c r="A688" s="336">
        <v>7120</v>
      </c>
      <c r="B688" s="330" t="s">
        <v>696</v>
      </c>
      <c r="C688" s="2">
        <f>W71</f>
        <v>567098</v>
      </c>
      <c r="D688" s="2">
        <f>(D615/D612)*W76</f>
        <v>-18851.487485545898</v>
      </c>
      <c r="E688" s="2">
        <f>(E623/E612)*SUM(C688:D688)</f>
        <v>15522.815405177847</v>
      </c>
      <c r="F688" s="2">
        <f>(F624/F612)*W64</f>
        <v>461.63773003564415</v>
      </c>
      <c r="G688" s="2">
        <f>(G625/G612)*W77</f>
        <v>0</v>
      </c>
      <c r="H688" s="2">
        <f>(H628/H612)*W60</f>
        <v>16067.000722820812</v>
      </c>
      <c r="I688" s="2">
        <f>(I629/I612)*W78</f>
        <v>21006.511821846314</v>
      </c>
      <c r="J688" s="2">
        <f>(J630/J612)*W79</f>
        <v>0</v>
      </c>
      <c r="K688" s="2">
        <f>(K644/K612)*W75</f>
        <v>420559.11389210005</v>
      </c>
      <c r="L688" s="2">
        <f>(L647/L612)*W80</f>
        <v>0</v>
      </c>
      <c r="M688" s="2">
        <f t="shared" si="20"/>
        <v>454766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</row>
    <row r="689" spans="1:90" ht="12.65" customHeight="1" x14ac:dyDescent="0.3">
      <c r="A689" s="336">
        <v>7130</v>
      </c>
      <c r="B689" s="330" t="s">
        <v>698</v>
      </c>
      <c r="C689" s="2">
        <f>X71</f>
        <v>268899</v>
      </c>
      <c r="D689" s="2">
        <f>(D615/D612)*X76</f>
        <v>-19524.754895743965</v>
      </c>
      <c r="E689" s="2">
        <f>(E623/E612)*SUM(C689:D689)</f>
        <v>7060.6748701513834</v>
      </c>
      <c r="F689" s="2">
        <f>(F624/F612)*X64</f>
        <v>910.35383419819186</v>
      </c>
      <c r="G689" s="2">
        <f>(G625/G612)*X77</f>
        <v>0</v>
      </c>
      <c r="H689" s="2">
        <f>(H628/H612)*X60</f>
        <v>4590.5716350916609</v>
      </c>
      <c r="I689" s="2">
        <f>(I629/I612)*X78</f>
        <v>21006.511821846314</v>
      </c>
      <c r="J689" s="2">
        <f>(J630/J612)*X79</f>
        <v>0</v>
      </c>
      <c r="K689" s="2">
        <f>(K644/K612)*X75</f>
        <v>606429.69185188017</v>
      </c>
      <c r="L689" s="2">
        <f>(L647/L612)*X80</f>
        <v>0</v>
      </c>
      <c r="M689" s="2">
        <f t="shared" si="20"/>
        <v>620473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</row>
    <row r="690" spans="1:90" ht="12.65" customHeight="1" x14ac:dyDescent="0.3">
      <c r="A690" s="336">
        <v>7140</v>
      </c>
      <c r="B690" s="330" t="s">
        <v>1249</v>
      </c>
      <c r="C690" s="2">
        <f>Y71</f>
        <v>2946082</v>
      </c>
      <c r="D690" s="2">
        <f>(D615/D612)*Y76</f>
        <v>-169588.57987989107</v>
      </c>
      <c r="E690" s="2">
        <f>(E623/E612)*SUM(C690:D690)</f>
        <v>78612.437745473275</v>
      </c>
      <c r="F690" s="2">
        <f>(F624/F612)*Y64</f>
        <v>7352.681028394195</v>
      </c>
      <c r="G690" s="2">
        <f>(G625/G612)*Y77</f>
        <v>0</v>
      </c>
      <c r="H690" s="2">
        <f>(H628/H612)*Y60</f>
        <v>113343.39965690601</v>
      </c>
      <c r="I690" s="2">
        <f>(I629/I612)*Y78</f>
        <v>52496.349277744965</v>
      </c>
      <c r="J690" s="2">
        <f>(J630/J612)*Y79</f>
        <v>8575.9058250780272</v>
      </c>
      <c r="K690" s="2">
        <f>(K644/K612)*Y75</f>
        <v>732336.78514978779</v>
      </c>
      <c r="L690" s="2">
        <f>(L647/L612)*Y80</f>
        <v>0</v>
      </c>
      <c r="M690" s="2">
        <f t="shared" si="20"/>
        <v>823129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</row>
    <row r="691" spans="1:90" ht="12.65" customHeight="1" x14ac:dyDescent="0.3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</row>
    <row r="692" spans="1:90" ht="12.65" customHeight="1" x14ac:dyDescent="0.3">
      <c r="A692" s="336">
        <v>7160</v>
      </c>
      <c r="B692" s="330" t="s">
        <v>703</v>
      </c>
      <c r="C692" s="2">
        <f>AA71</f>
        <v>883989</v>
      </c>
      <c r="D692" s="2">
        <f>(D615/D612)*AA76</f>
        <v>-11408.142228356148</v>
      </c>
      <c r="E692" s="2">
        <f>(E623/E612)*SUM(C692:D692)</f>
        <v>24705.878235611894</v>
      </c>
      <c r="F692" s="2">
        <f>(F624/F612)*AA64</f>
        <v>10986.462949190756</v>
      </c>
      <c r="G692" s="2">
        <f>(G625/G612)*AA77</f>
        <v>0</v>
      </c>
      <c r="H692" s="2">
        <f>(H628/H612)*AA60</f>
        <v>10929.932464503954</v>
      </c>
      <c r="I692" s="2">
        <f>(I629/I612)*AA78</f>
        <v>2670.6571006901386</v>
      </c>
      <c r="J692" s="2">
        <f>(J630/J612)*AA79</f>
        <v>0</v>
      </c>
      <c r="K692" s="2">
        <f>(K644/K612)*AA75</f>
        <v>192946.76427662038</v>
      </c>
      <c r="L692" s="2">
        <f>(L647/L612)*AA80</f>
        <v>0</v>
      </c>
      <c r="M692" s="2">
        <f t="shared" si="20"/>
        <v>230832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</row>
    <row r="693" spans="1:90" ht="12.65" customHeight="1" x14ac:dyDescent="0.3">
      <c r="A693" s="336">
        <v>7170</v>
      </c>
      <c r="B693" s="330" t="s">
        <v>115</v>
      </c>
      <c r="C693" s="2">
        <f>AB71</f>
        <v>4477623</v>
      </c>
      <c r="D693" s="2">
        <f>(D615/D612)*AB76</f>
        <v>-29324.536088626952</v>
      </c>
      <c r="E693" s="2">
        <f>(E623/E612)*SUM(C693:D693)</f>
        <v>125947.20503691661</v>
      </c>
      <c r="F693" s="2">
        <f>(F624/F612)*AB64</f>
        <v>151270.20920154746</v>
      </c>
      <c r="G693" s="2">
        <f>(G625/G612)*AB77</f>
        <v>0</v>
      </c>
      <c r="H693" s="2">
        <f>(H628/H612)*AB60</f>
        <v>32735.147731189343</v>
      </c>
      <c r="I693" s="2">
        <f>(I629/I612)*AB78</f>
        <v>6816.1546898211009</v>
      </c>
      <c r="J693" s="2">
        <f>(J630/J612)*AB79</f>
        <v>0</v>
      </c>
      <c r="K693" s="2">
        <f>(K644/K612)*AB75</f>
        <v>1255097.3310961598</v>
      </c>
      <c r="L693" s="2">
        <f>(L647/L612)*AB80</f>
        <v>0</v>
      </c>
      <c r="M693" s="2">
        <f t="shared" si="20"/>
        <v>1542542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</row>
    <row r="694" spans="1:90" ht="12.65" customHeight="1" x14ac:dyDescent="0.3">
      <c r="A694" s="336">
        <v>7180</v>
      </c>
      <c r="B694" s="330" t="s">
        <v>706</v>
      </c>
      <c r="C694" s="2">
        <f>AC71</f>
        <v>1129274</v>
      </c>
      <c r="D694" s="2">
        <f>(D615/D612)*AC76</f>
        <v>-46268.432578611653</v>
      </c>
      <c r="E694" s="2">
        <f>(E623/E612)*SUM(C694:D694)</f>
        <v>30663.752750126041</v>
      </c>
      <c r="F694" s="2">
        <f>(F624/F612)*AC64</f>
        <v>1865.9103667353654</v>
      </c>
      <c r="G694" s="2">
        <f>(G625/G612)*AC77</f>
        <v>0</v>
      </c>
      <c r="H694" s="2">
        <f>(H628/H612)*AC60</f>
        <v>57272.84611400072</v>
      </c>
      <c r="I694" s="2">
        <f>(I629/I612)*AC78</f>
        <v>10802.210063985487</v>
      </c>
      <c r="J694" s="2">
        <f>(J630/J612)*AC79</f>
        <v>0</v>
      </c>
      <c r="K694" s="2">
        <f>(K644/K612)*AC75</f>
        <v>235881.3857619029</v>
      </c>
      <c r="L694" s="2">
        <f>(L647/L612)*AC80</f>
        <v>0</v>
      </c>
      <c r="M694" s="2">
        <f t="shared" si="20"/>
        <v>290218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</row>
    <row r="695" spans="1:90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</row>
    <row r="696" spans="1:90" ht="12.65" customHeight="1" x14ac:dyDescent="0.3">
      <c r="A696" s="336">
        <v>7200</v>
      </c>
      <c r="B696" s="330" t="s">
        <v>709</v>
      </c>
      <c r="C696" s="2">
        <f>AE71</f>
        <v>4169056</v>
      </c>
      <c r="D696" s="2">
        <f>(D615/D612)*AE76</f>
        <v>-326759.11641612888</v>
      </c>
      <c r="E696" s="2">
        <f>(E623/E612)*SUM(C696:D696)</f>
        <v>108789.13754000414</v>
      </c>
      <c r="F696" s="2">
        <f>(F624/F612)*AE64</f>
        <v>2950.5452047023682</v>
      </c>
      <c r="G696" s="2">
        <f>(G625/G612)*AE77</f>
        <v>0</v>
      </c>
      <c r="H696" s="2">
        <f>(H628/H612)*AE60</f>
        <v>211384.8938635065</v>
      </c>
      <c r="I696" s="2">
        <f>(I629/I612)*AE78</f>
        <v>104952.83800174829</v>
      </c>
      <c r="J696" s="2">
        <f>(J630/J612)*AE79</f>
        <v>42332.048733711737</v>
      </c>
      <c r="K696" s="2">
        <f>(K644/K612)*AE75</f>
        <v>319116.7363052193</v>
      </c>
      <c r="L696" s="2">
        <f>(L647/L612)*AE80</f>
        <v>0</v>
      </c>
      <c r="M696" s="2">
        <f t="shared" si="20"/>
        <v>462767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</row>
    <row r="697" spans="1:90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</row>
    <row r="698" spans="1:90" ht="12.65" customHeight="1" x14ac:dyDescent="0.3">
      <c r="A698" s="336">
        <v>7230</v>
      </c>
      <c r="B698" s="330" t="s">
        <v>713</v>
      </c>
      <c r="C698" s="2">
        <f>AG71</f>
        <v>6204542</v>
      </c>
      <c r="D698" s="2">
        <f>(D615/D612)*AG76</f>
        <v>-239870.21675556715</v>
      </c>
      <c r="E698" s="2">
        <f>(E623/E612)*SUM(C698:D698)</f>
        <v>168881.14548897432</v>
      </c>
      <c r="F698" s="2">
        <f>(F624/F612)*AG64</f>
        <v>5920.6337937323733</v>
      </c>
      <c r="G698" s="2">
        <f>(G625/G612)*AG77</f>
        <v>34262.681717613719</v>
      </c>
      <c r="H698" s="2">
        <f>(H628/H612)*AG60</f>
        <v>161981.5991239486</v>
      </c>
      <c r="I698" s="2">
        <f>(I629/I612)*AG78</f>
        <v>115476.02418954227</v>
      </c>
      <c r="J698" s="2">
        <f>(J630/J612)*AG79</f>
        <v>38590.031839390824</v>
      </c>
      <c r="K698" s="2">
        <f>(K644/K612)*AG75</f>
        <v>838936.10354004963</v>
      </c>
      <c r="L698" s="2">
        <f>(L647/L612)*AG80</f>
        <v>205405.81242607944</v>
      </c>
      <c r="M698" s="2">
        <f t="shared" si="20"/>
        <v>1329584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</row>
    <row r="699" spans="1:90" ht="12.65" customHeight="1" x14ac:dyDescent="0.3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</row>
    <row r="700" spans="1:90" ht="12.65" customHeight="1" x14ac:dyDescent="0.3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</row>
    <row r="701" spans="1:90" ht="12.65" customHeight="1" x14ac:dyDescent="0.3">
      <c r="A701" s="336">
        <v>7260</v>
      </c>
      <c r="B701" s="330" t="s">
        <v>121</v>
      </c>
      <c r="C701" s="2">
        <f>AJ71</f>
        <v>102459</v>
      </c>
      <c r="D701" s="2">
        <f>(D615/D612)*AJ76</f>
        <v>-37403.745011003761</v>
      </c>
      <c r="E701" s="2">
        <f>(E623/E612)*SUM(C701:D701)</f>
        <v>1841.9464443092836</v>
      </c>
      <c r="F701" s="2">
        <f>(F624/F612)*AJ64</f>
        <v>0</v>
      </c>
      <c r="G701" s="2">
        <f>(G625/G612)*AJ77</f>
        <v>0</v>
      </c>
      <c r="H701" s="2">
        <f>(H628/H612)*AJ60</f>
        <v>3606.8777132863052</v>
      </c>
      <c r="I701" s="2">
        <f>(I629/I612)*AJ78</f>
        <v>0</v>
      </c>
      <c r="J701" s="2">
        <f>(J630/J612)*AJ79</f>
        <v>0</v>
      </c>
      <c r="K701" s="2">
        <f>(K644/K612)*AJ75</f>
        <v>8692.7611342547698</v>
      </c>
      <c r="L701" s="2">
        <f>(L647/L612)*AJ80</f>
        <v>0</v>
      </c>
      <c r="M701" s="2">
        <f t="shared" si="20"/>
        <v>-23262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</row>
    <row r="702" spans="1:90" ht="12.65" customHeight="1" x14ac:dyDescent="0.3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</row>
    <row r="703" spans="1:90" ht="12.65" customHeight="1" x14ac:dyDescent="0.3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</row>
    <row r="704" spans="1:90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</row>
    <row r="705" spans="1:90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</row>
    <row r="706" spans="1:90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</row>
    <row r="707" spans="1:90" ht="12.65" customHeight="1" x14ac:dyDescent="0.3">
      <c r="A707" s="336">
        <v>7380</v>
      </c>
      <c r="B707" s="330" t="s">
        <v>729</v>
      </c>
      <c r="C707" s="2">
        <f>AP71</f>
        <v>947831</v>
      </c>
      <c r="D707" s="2">
        <f>(D615/D612)*AP76</f>
        <v>0</v>
      </c>
      <c r="E707" s="2">
        <f>(E623/E612)*SUM(C707:D707)</f>
        <v>26836.478322180348</v>
      </c>
      <c r="F707" s="2">
        <f>(F624/F612)*AP64</f>
        <v>7259.7464878620667</v>
      </c>
      <c r="G707" s="2">
        <f>(G625/G612)*AP77</f>
        <v>0</v>
      </c>
      <c r="H707" s="2">
        <f>(H628/H612)*AP60</f>
        <v>0</v>
      </c>
      <c r="I707" s="2">
        <f>(I629/I612)*AP78</f>
        <v>31489.837455898651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65586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</row>
    <row r="708" spans="1:90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</row>
    <row r="709" spans="1:90" ht="12.65" customHeight="1" x14ac:dyDescent="0.3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</row>
    <row r="710" spans="1:90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</row>
    <row r="711" spans="1:90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</row>
    <row r="712" spans="1:90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</row>
    <row r="713" spans="1:90" ht="12.65" customHeight="1" x14ac:dyDescent="0.3">
      <c r="A713" s="336">
        <v>7490</v>
      </c>
      <c r="B713" s="330" t="s">
        <v>740</v>
      </c>
      <c r="C713" s="2">
        <f>AV71</f>
        <v>-125021</v>
      </c>
      <c r="D713" s="2">
        <f>(D615/D612)*AV76</f>
        <v>0</v>
      </c>
      <c r="E713" s="2">
        <f>(E623/E612)*SUM(C713:D713)</f>
        <v>-3539.7906971995108</v>
      </c>
      <c r="F713" s="2">
        <f>(F624/F612)*AV64</f>
        <v>195.01998337296214</v>
      </c>
      <c r="G713" s="2">
        <f>(G625/G612)*AV77</f>
        <v>0</v>
      </c>
      <c r="H713" s="2">
        <f>(H628/H612)*AV60</f>
        <v>10929.932464503954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7585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</row>
    <row r="714" spans="1:90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</row>
    <row r="715" spans="1:90" ht="12.65" customHeight="1" x14ac:dyDescent="0.3">
      <c r="A715" s="2"/>
      <c r="B715" s="2"/>
      <c r="C715" s="2">
        <f>SUM(C614:C647)+SUM(C668:C713)</f>
        <v>57568359</v>
      </c>
      <c r="D715" s="2">
        <f>SUM(D616:D647)+SUM(D668:D713)</f>
        <v>-4011028</v>
      </c>
      <c r="E715" s="2">
        <f>SUM(E624:E647)+SUM(E668:E713)</f>
        <v>1585086.2501398784</v>
      </c>
      <c r="F715" s="2">
        <f>SUM(F625:F648)+SUM(F668:F713)</f>
        <v>525888.65232005133</v>
      </c>
      <c r="G715" s="2">
        <f>SUM(G626:G647)+SUM(G668:G713)</f>
        <v>1488766.2990287924</v>
      </c>
      <c r="H715" s="2">
        <f>SUM(H629:H647)+SUM(H668:H713)</f>
        <v>1672443.6160560728</v>
      </c>
      <c r="I715" s="2">
        <f>SUM(I630:I647)+SUM(I668:I713)</f>
        <v>887853.97404137533</v>
      </c>
      <c r="J715" s="2">
        <f>SUM(J631:J647)+SUM(J668:J713)</f>
        <v>231970.29904504007</v>
      </c>
      <c r="K715" s="2">
        <f>SUM(K668:K713)</f>
        <v>9075999.2309689354</v>
      </c>
      <c r="L715" s="2">
        <f>SUM(L668:L713)</f>
        <v>1102664.5355840388</v>
      </c>
      <c r="M715" s="2">
        <f>SUM(M668:M713)</f>
        <v>12270435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</row>
    <row r="716" spans="1:90" ht="12.65" customHeight="1" x14ac:dyDescent="0.3">
      <c r="A716" s="2"/>
      <c r="B716" s="2"/>
      <c r="C716" s="2">
        <f>CE71</f>
        <v>57568359</v>
      </c>
      <c r="D716" s="2">
        <f>D615</f>
        <v>-4011028</v>
      </c>
      <c r="E716" s="2">
        <f>E623</f>
        <v>1585086.2501398784</v>
      </c>
      <c r="F716" s="2">
        <f>F624</f>
        <v>525888.65232005133</v>
      </c>
      <c r="G716" s="2">
        <f>G625</f>
        <v>1488766.2990287922</v>
      </c>
      <c r="H716" s="2">
        <f>H628</f>
        <v>1672443.6160560735</v>
      </c>
      <c r="I716" s="2">
        <f>I629</f>
        <v>887853.97404137533</v>
      </c>
      <c r="J716" s="2">
        <f>J630</f>
        <v>231970.2990450401</v>
      </c>
      <c r="K716" s="2">
        <f>K644</f>
        <v>9075999.2309689354</v>
      </c>
      <c r="L716" s="2">
        <f>L647</f>
        <v>1102664.5355840388</v>
      </c>
      <c r="M716" s="2">
        <f>C648</f>
        <v>12270432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</row>
    <row r="717" spans="1:90" ht="12.65" customHeight="1" x14ac:dyDescent="0.3">
      <c r="O717" s="198"/>
    </row>
    <row r="718" spans="1:90" ht="12.65" customHeight="1" x14ac:dyDescent="0.3">
      <c r="O718" s="198"/>
    </row>
    <row r="719" spans="1:90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90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nty*172*A</v>
      </c>
      <c r="B721" s="282">
        <f>ROUND(C166,0)</f>
        <v>82592</v>
      </c>
      <c r="C721" s="282">
        <f>ROUND(C167,0)</f>
        <v>146254</v>
      </c>
      <c r="D721" s="282">
        <f>ROUND(C168,0)</f>
        <v>3618146</v>
      </c>
      <c r="E721" s="282">
        <f>ROUND(C169,0)</f>
        <v>12596</v>
      </c>
      <c r="F721" s="282">
        <f>ROUND(C170,0)</f>
        <v>967674</v>
      </c>
      <c r="G721" s="282">
        <f>ROUND(C171,0)</f>
        <v>76834</v>
      </c>
      <c r="H721" s="282">
        <f>ROUND(C172+C173,0)</f>
        <v>528094</v>
      </c>
      <c r="I721" s="282">
        <f>ROUND(C176,0)</f>
        <v>465393</v>
      </c>
      <c r="J721" s="282">
        <f>ROUND(C177,0)</f>
        <v>0</v>
      </c>
      <c r="K721" s="282">
        <f>ROUND(C180,0)</f>
        <v>147749</v>
      </c>
      <c r="L721" s="282">
        <f>ROUND(C181,0)</f>
        <v>0</v>
      </c>
      <c r="M721" s="282">
        <f>ROUND(C184,0)</f>
        <v>688112</v>
      </c>
      <c r="N721" s="282">
        <f>ROUND(C185,0)</f>
        <v>0</v>
      </c>
      <c r="O721" s="282">
        <f>ROUND(C186,0)</f>
        <v>0</v>
      </c>
      <c r="P721" s="282">
        <f>ROUND(C189,0)</f>
        <v>959</v>
      </c>
      <c r="Q721" s="282">
        <f>ROUND(C190,0)</f>
        <v>0</v>
      </c>
      <c r="R721" s="282">
        <f>ROUND(B196,0)</f>
        <v>3741283</v>
      </c>
      <c r="S721" s="282">
        <f>ROUND(C196,0)</f>
        <v>0</v>
      </c>
      <c r="T721" s="282">
        <f>ROUND(D196,0)</f>
        <v>47810</v>
      </c>
      <c r="U721" s="282">
        <f>ROUND(B197,0)</f>
        <v>17930955</v>
      </c>
      <c r="V721" s="282">
        <f>ROUND(C197,0)</f>
        <v>1095339</v>
      </c>
      <c r="W721" s="282">
        <f>ROUND(D197,0)</f>
        <v>523018</v>
      </c>
      <c r="X721" s="282">
        <f>ROUND(B198,0)</f>
        <v>15339337</v>
      </c>
      <c r="Y721" s="282">
        <f>ROUND(C198,0)</f>
        <v>482573</v>
      </c>
      <c r="Z721" s="282">
        <f>ROUND(D198,0)</f>
        <v>28382</v>
      </c>
      <c r="AA721" s="282">
        <f>ROUND(B199,0)</f>
        <v>1111042</v>
      </c>
      <c r="AB721" s="282">
        <f>ROUND(C199,0)</f>
        <v>0</v>
      </c>
      <c r="AC721" s="282">
        <f>ROUND(D199,0)</f>
        <v>55152</v>
      </c>
      <c r="AD721" s="282">
        <f>ROUND(B200,0)</f>
        <v>15714511</v>
      </c>
      <c r="AE721" s="282">
        <f>ROUND(C200,0)</f>
        <v>723591</v>
      </c>
      <c r="AF721" s="282">
        <f>ROUND(D200,0)</f>
        <v>785667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1148208</v>
      </c>
      <c r="AN721" s="282">
        <f>ROUND(C203,0)</f>
        <v>434773</v>
      </c>
      <c r="AO721" s="282">
        <f>ROUND(D203,0)</f>
        <v>1511833</v>
      </c>
      <c r="AP721" s="282">
        <f>ROUND(B204,0)</f>
        <v>56798641</v>
      </c>
      <c r="AQ721" s="282">
        <f>ROUND(C204,0)</f>
        <v>2736276</v>
      </c>
      <c r="AR721" s="282">
        <f>ROUND(D204,0)</f>
        <v>2951862</v>
      </c>
      <c r="AS721" s="282"/>
      <c r="AT721" s="282"/>
      <c r="AU721" s="282"/>
      <c r="AV721" s="282">
        <f>ROUND(B210,0)</f>
        <v>4697415</v>
      </c>
      <c r="AW721" s="282">
        <f>ROUND(C210,0)</f>
        <v>751965</v>
      </c>
      <c r="AX721" s="282">
        <f>ROUND(D210,0)</f>
        <v>522951</v>
      </c>
      <c r="AY721" s="282">
        <f>ROUND(B211,0)</f>
        <v>11885210</v>
      </c>
      <c r="AZ721" s="282">
        <f>ROUND(C211,0)</f>
        <v>492229</v>
      </c>
      <c r="BA721" s="282">
        <f>ROUND(D211,0)</f>
        <v>28384</v>
      </c>
      <c r="BB721" s="282">
        <f>ROUND(B212,0)</f>
        <v>965193</v>
      </c>
      <c r="BC721" s="282">
        <f>ROUND(C212,0)</f>
        <v>14303</v>
      </c>
      <c r="BD721" s="282">
        <f>ROUND(D212,0)</f>
        <v>55152</v>
      </c>
      <c r="BE721" s="282">
        <f>ROUND(B213,0)</f>
        <v>11067202</v>
      </c>
      <c r="BF721" s="282">
        <f>ROUND(C213,0)</f>
        <v>1423515</v>
      </c>
      <c r="BG721" s="282">
        <f>ROUND(D213,0)</f>
        <v>784763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30473786</v>
      </c>
      <c r="BR721" s="282">
        <f>ROUND(C217,0)</f>
        <v>2786234</v>
      </c>
      <c r="BS721" s="282">
        <f>ROUND(D217,0)</f>
        <v>1439060</v>
      </c>
      <c r="BT721" s="282">
        <f>ROUND(C222,0)</f>
        <v>0</v>
      </c>
      <c r="BU721" s="282">
        <f>ROUND(C223,0)</f>
        <v>23393383</v>
      </c>
      <c r="BV721" s="282">
        <f>ROUND(C224,0)</f>
        <v>7143453</v>
      </c>
      <c r="BW721" s="282">
        <f>ROUND(C225,0)</f>
        <v>758000</v>
      </c>
      <c r="BX721" s="282">
        <f>ROUND(C226,0)</f>
        <v>569160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156137</v>
      </c>
      <c r="CC721" s="282">
        <f>ROUND(C237+C238,0)</f>
        <v>1176512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nty*172*A</v>
      </c>
      <c r="B725" s="282">
        <f>ROUND(C112,0)</f>
        <v>12</v>
      </c>
      <c r="C725" s="282">
        <f>ROUND(C113,0)</f>
        <v>0</v>
      </c>
      <c r="D725" s="282">
        <f>ROUND(C114,0)</f>
        <v>354</v>
      </c>
      <c r="E725" s="282">
        <f>ROUND(C115,0)</f>
        <v>0</v>
      </c>
      <c r="F725" s="282">
        <f>ROUND(D112,0)</f>
        <v>165</v>
      </c>
      <c r="G725" s="282">
        <f>ROUND(D113,0)</f>
        <v>0</v>
      </c>
      <c r="H725" s="282">
        <f>ROUND(D114,0)</f>
        <v>652</v>
      </c>
      <c r="I725" s="282">
        <f>ROUND(D115,0)</f>
        <v>0</v>
      </c>
      <c r="J725" s="282">
        <f>ROUND(C117,0)</f>
        <v>0</v>
      </c>
      <c r="K725" s="282">
        <f>ROUND(C118,0)</f>
        <v>13</v>
      </c>
      <c r="L725" s="282">
        <f>ROUND(C119,0)</f>
        <v>0</v>
      </c>
      <c r="M725" s="282">
        <f>ROUND(C120,0)</f>
        <v>8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2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8</v>
      </c>
      <c r="W725" s="282">
        <f>ROUND(C130,0)</f>
        <v>0</v>
      </c>
      <c r="X725" s="282">
        <f>ROUND(B139,0)</f>
        <v>1308</v>
      </c>
      <c r="Y725" s="282">
        <f>ROUND(B140,0)</f>
        <v>21545</v>
      </c>
      <c r="Z725" s="282">
        <f>ROUND(B141,0)</f>
        <v>13854229</v>
      </c>
      <c r="AA725" s="282">
        <f>ROUND(B142,0)</f>
        <v>32782704</v>
      </c>
      <c r="AB725" s="282">
        <f>ROUND(B143,0)</f>
        <v>0</v>
      </c>
      <c r="AC725" s="282">
        <f>ROUND(C139,0)</f>
        <v>612</v>
      </c>
      <c r="AD725" s="282">
        <f>ROUND(C140,0)</f>
        <v>9572</v>
      </c>
      <c r="AE725" s="282">
        <f>ROUND(C141,0)</f>
        <v>3430669</v>
      </c>
      <c r="AF725" s="282">
        <f>ROUND(C142,0)</f>
        <v>12154969</v>
      </c>
      <c r="AG725" s="282">
        <f>ROUND(C143,0)</f>
        <v>0</v>
      </c>
      <c r="AH725" s="282">
        <f>ROUND(D139,0)</f>
        <v>1154</v>
      </c>
      <c r="AI725" s="282">
        <f>ROUND(D140,0)</f>
        <v>44796</v>
      </c>
      <c r="AJ725" s="282">
        <f>ROUND(D141,0)</f>
        <v>10281513</v>
      </c>
      <c r="AK725" s="282">
        <f>ROUND(D142,0)</f>
        <v>57069536</v>
      </c>
      <c r="AL725" s="282">
        <f>ROUND(D143,0)</f>
        <v>0</v>
      </c>
      <c r="AM725" s="282">
        <f>ROUND(B145,0)</f>
        <v>164</v>
      </c>
      <c r="AN725" s="282">
        <f>ROUND(B146,0)</f>
        <v>0</v>
      </c>
      <c r="AO725" s="282">
        <f>ROUND(B147,0)</f>
        <v>206197</v>
      </c>
      <c r="AP725" s="282">
        <f>ROUND(B148,0)</f>
        <v>0</v>
      </c>
      <c r="AQ725" s="282">
        <f>ROUND(B149,0)</f>
        <v>0</v>
      </c>
      <c r="AR725" s="282">
        <f>ROUND(C145,0)</f>
        <v>1</v>
      </c>
      <c r="AS725" s="282">
        <f>ROUND(C146,0)</f>
        <v>0</v>
      </c>
      <c r="AT725" s="282">
        <f>ROUND(C147,0)</f>
        <v>1246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nty*172*A</v>
      </c>
      <c r="B729" s="282">
        <f>ROUND(C249,0)</f>
        <v>0</v>
      </c>
      <c r="C729" s="282">
        <f>ROUND(C250,0)</f>
        <v>10181956</v>
      </c>
      <c r="D729" s="282">
        <f>ROUND(C251,0)</f>
        <v>0</v>
      </c>
      <c r="E729" s="282">
        <f>ROUND(C252,0)</f>
        <v>18553644</v>
      </c>
      <c r="F729" s="282">
        <f>ROUND(C253,0)</f>
        <v>10900818</v>
      </c>
      <c r="G729" s="282">
        <f>ROUND(C254,0)</f>
        <v>43584</v>
      </c>
      <c r="H729" s="282">
        <f>ROUND(C255,0)</f>
        <v>875749</v>
      </c>
      <c r="I729" s="282">
        <f>ROUND(C256,0)</f>
        <v>0</v>
      </c>
      <c r="J729" s="282">
        <f>ROUND(C257,0)</f>
        <v>2082242</v>
      </c>
      <c r="K729" s="282">
        <f>ROUND(C258,0)</f>
        <v>965711</v>
      </c>
      <c r="L729" s="282">
        <f>ROUND(C261,0)</f>
        <v>0</v>
      </c>
      <c r="M729" s="282">
        <f>ROUND(C262,0)</f>
        <v>24670769</v>
      </c>
      <c r="N729" s="282">
        <f>ROUND(C263,0)</f>
        <v>0</v>
      </c>
      <c r="O729" s="282">
        <f>ROUND(C266,0)</f>
        <v>0</v>
      </c>
      <c r="P729" s="282">
        <f>ROUND(C267,0)</f>
        <v>1813305</v>
      </c>
      <c r="Q729" s="282">
        <f>ROUND(C268,0)</f>
        <v>3693473</v>
      </c>
      <c r="R729" s="282">
        <f>ROUND(C269,0)</f>
        <v>18503275</v>
      </c>
      <c r="S729" s="282">
        <f>ROUND(C270,0)</f>
        <v>15793528</v>
      </c>
      <c r="T729" s="282">
        <f>ROUND(C271,0)</f>
        <v>1055891</v>
      </c>
      <c r="U729" s="282">
        <f>ROUND(C272,0)</f>
        <v>15652435</v>
      </c>
      <c r="V729" s="282">
        <f>ROUND(C273,0)</f>
        <v>0</v>
      </c>
      <c r="W729" s="282">
        <f>ROUND(C274,0)</f>
        <v>71148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536983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2302675</v>
      </c>
      <c r="AJ729" s="282">
        <f>ROUND(C306,0)</f>
        <v>3567948</v>
      </c>
      <c r="AK729" s="282">
        <f>ROUND(C307,0)</f>
        <v>0</v>
      </c>
      <c r="AL729" s="282">
        <f>ROUND(C308,0)</f>
        <v>0</v>
      </c>
      <c r="AM729" s="282">
        <f>ROUND(C309,0)</f>
        <v>-192000</v>
      </c>
      <c r="AN729" s="282">
        <f>ROUND(C310,0)</f>
        <v>0</v>
      </c>
      <c r="AO729" s="282">
        <f>ROUND(C311,0)</f>
        <v>0</v>
      </c>
      <c r="AP729" s="282">
        <f>ROUND(C312,0)</f>
        <v>258676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799475</v>
      </c>
      <c r="AY729" s="282">
        <f>ROUND(C325,0)</f>
        <v>11608141</v>
      </c>
      <c r="AZ729" s="282">
        <f>ROUND(C326,0)</f>
        <v>0</v>
      </c>
      <c r="BA729" s="282">
        <f>ROUND(C327,0)</f>
        <v>10079801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351.8</v>
      </c>
      <c r="BJ729" s="282">
        <f>ROUND(C358,0)</f>
        <v>0</v>
      </c>
      <c r="BK729" s="282">
        <f>ROUND(C359,0)</f>
        <v>27773854</v>
      </c>
      <c r="BL729" s="282">
        <f>ROUND(C362,0)</f>
        <v>0</v>
      </c>
      <c r="BM729" s="282">
        <f>ROUND(C363,0)</f>
        <v>2093459</v>
      </c>
      <c r="BN729" s="282">
        <f>ROUND(C364,0)</f>
        <v>55404428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31519203</v>
      </c>
      <c r="BT729" s="282">
        <f>ROUND(C379,0)</f>
        <v>7580580</v>
      </c>
      <c r="BU729" s="282">
        <f>ROUND(C380,0)</f>
        <v>5343108</v>
      </c>
      <c r="BV729" s="282">
        <f>ROUND(C381,0)</f>
        <v>11471442</v>
      </c>
      <c r="BW729" s="282">
        <f>ROUND(C382,0)</f>
        <v>749575</v>
      </c>
      <c r="BX729" s="282">
        <f>ROUND(C383,0)</f>
        <v>3560333</v>
      </c>
      <c r="BY729" s="282">
        <f>ROUND(C384,0)</f>
        <v>2786234</v>
      </c>
      <c r="BZ729" s="282">
        <f>ROUND(C385,0)</f>
        <v>602979</v>
      </c>
      <c r="CA729" s="282">
        <f>ROUND(C386,0)</f>
        <v>324809</v>
      </c>
      <c r="CB729" s="282">
        <f>ROUND(C387,0)</f>
        <v>692680</v>
      </c>
      <c r="CC729" s="282">
        <f>ROUND(C388,0)</f>
        <v>507557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nty*172*6010*A</v>
      </c>
      <c r="B733" s="282">
        <f>ROUND(C59,0)</f>
        <v>683</v>
      </c>
      <c r="C733" s="285">
        <f>ROUND(C60,2)</f>
        <v>13.07</v>
      </c>
      <c r="D733" s="282">
        <f>ROUND(C61,0)</f>
        <v>1209996</v>
      </c>
      <c r="E733" s="282">
        <f>ROUND(C62,0)</f>
        <v>291012</v>
      </c>
      <c r="F733" s="282">
        <f>ROUND(C63,0)</f>
        <v>0</v>
      </c>
      <c r="G733" s="282">
        <f>ROUND(C64,0)</f>
        <v>58401</v>
      </c>
      <c r="H733" s="282">
        <f>ROUND(C65,0)</f>
        <v>480</v>
      </c>
      <c r="I733" s="282">
        <f>ROUND(C66,0)</f>
        <v>38465</v>
      </c>
      <c r="J733" s="282">
        <f>ROUND(C67,0)</f>
        <v>41752</v>
      </c>
      <c r="K733" s="282">
        <f>ROUND(C68,0)</f>
        <v>12620</v>
      </c>
      <c r="L733" s="282">
        <f>ROUND(C70,0)</f>
        <v>6400</v>
      </c>
      <c r="M733" s="282">
        <f>ROUND(C71,0)</f>
        <v>1647811</v>
      </c>
      <c r="N733" s="282">
        <f>ROUND(C76,0)</f>
        <v>1804</v>
      </c>
      <c r="O733" s="282">
        <f>ROUND(C74,0)</f>
        <v>901729</v>
      </c>
      <c r="P733" s="282">
        <f>IF(C77&gt;0,ROUND(C77,0),0)</f>
        <v>4278</v>
      </c>
      <c r="Q733" s="282">
        <f>IF(C78&gt;0,ROUND(C78,0),0)</f>
        <v>1317</v>
      </c>
      <c r="R733" s="282">
        <f>IF(C79&gt;0,ROUND(C79,0),0)</f>
        <v>16658</v>
      </c>
      <c r="S733" s="282">
        <f>IF(C80&gt;0,ROUND(C80,0),0)</f>
        <v>10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nty*172*6030*A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512460</v>
      </c>
    </row>
    <row r="735" spans="1:84" ht="12.65" customHeight="1" x14ac:dyDescent="0.3">
      <c r="A735" s="209" t="str">
        <f>RIGHT($C$84,3)&amp;"*"&amp;RIGHT($C$83,4)&amp;"*"&amp;E$55&amp;"*"&amp;"A"</f>
        <v>nty*172*6070*A</v>
      </c>
      <c r="B735" s="282">
        <f>ROUND(E59,0)</f>
        <v>2391</v>
      </c>
      <c r="C735" s="285">
        <f>ROUND(E60,2)</f>
        <v>26.52</v>
      </c>
      <c r="D735" s="282">
        <f>ROUND(E61,0)</f>
        <v>3094230</v>
      </c>
      <c r="E735" s="282">
        <f>ROUND(E62,0)</f>
        <v>744183</v>
      </c>
      <c r="F735" s="282">
        <f>ROUND(E63,0)</f>
        <v>104439</v>
      </c>
      <c r="G735" s="282">
        <f>ROUND(E64,0)</f>
        <v>80082</v>
      </c>
      <c r="H735" s="282">
        <f>ROUND(E65,0)</f>
        <v>0</v>
      </c>
      <c r="I735" s="282">
        <f>ROUND(E66,0)</f>
        <v>26597</v>
      </c>
      <c r="J735" s="282">
        <f>ROUND(E67,0)</f>
        <v>224797</v>
      </c>
      <c r="K735" s="282">
        <f>ROUND(E68,0)</f>
        <v>62012</v>
      </c>
      <c r="L735" s="282">
        <f>ROUND(E70,0)</f>
        <v>1452</v>
      </c>
      <c r="M735" s="282">
        <f>ROUND(E71,0)</f>
        <v>4340584</v>
      </c>
      <c r="N735" s="282">
        <f>ROUND(E76,0)</f>
        <v>9713</v>
      </c>
      <c r="O735" s="282">
        <f>ROUND(E74,0)</f>
        <v>2985564</v>
      </c>
      <c r="P735" s="282">
        <f>IF(E77&gt;0,ROUND(E77,0),0)</f>
        <v>7797</v>
      </c>
      <c r="Q735" s="282">
        <f>IF(E78&gt;0,ROUND(E78,0),0)</f>
        <v>3687</v>
      </c>
      <c r="R735" s="282">
        <f>IF(E79&gt;0,ROUND(E79,0),0)</f>
        <v>49975</v>
      </c>
      <c r="S735" s="282">
        <f>IF(E80&gt;0,ROUND(E80,0),0)</f>
        <v>15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nty*172*6100*A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871239</v>
      </c>
    </row>
    <row r="737" spans="1:26" ht="12.65" customHeight="1" x14ac:dyDescent="0.3">
      <c r="A737" s="209" t="str">
        <f>RIGHT($C$84,3)&amp;"*"&amp;RIGHT($C$83,4)&amp;"*"&amp;G$55&amp;"*"&amp;"A"</f>
        <v>nty*172*6120*A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nty*172*6140*A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nty*172*6150*A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nty*172*6170*A</v>
      </c>
      <c r="B740" s="282">
        <f>ROUND(J59,0)</f>
        <v>652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19435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nty*172*6200*A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47353</v>
      </c>
    </row>
    <row r="742" spans="1:26" ht="12.65" customHeight="1" x14ac:dyDescent="0.3">
      <c r="A742" s="209" t="str">
        <f>RIGHT($C$84,3)&amp;"*"&amp;RIGHT($C$83,4)&amp;"*"&amp;L$55&amp;"*"&amp;"A"</f>
        <v>nty*172*6210*A</v>
      </c>
      <c r="B742" s="282">
        <f>ROUND(L59,0)</f>
        <v>165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nty*172*6330*A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14507</v>
      </c>
    </row>
    <row r="744" spans="1:26" ht="12.65" customHeight="1" x14ac:dyDescent="0.3">
      <c r="A744" s="209" t="str">
        <f>RIGHT($C$84,3)&amp;"*"&amp;RIGHT($C$83,4)&amp;"*"&amp;N$55&amp;"*"&amp;"A"</f>
        <v>nty*172*6400*A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nty*172*7010*A</v>
      </c>
      <c r="B745" s="282">
        <f>ROUND(O59,0)</f>
        <v>354</v>
      </c>
      <c r="C745" s="285">
        <f>ROUND(O60,2)</f>
        <v>19.649999999999999</v>
      </c>
      <c r="D745" s="282">
        <f>ROUND(O61,0)</f>
        <v>1878816</v>
      </c>
      <c r="E745" s="282">
        <f>ROUND(O62,0)</f>
        <v>451868</v>
      </c>
      <c r="F745" s="282">
        <f>ROUND(O63,0)</f>
        <v>2866</v>
      </c>
      <c r="G745" s="282">
        <f>ROUND(O64,0)</f>
        <v>104249</v>
      </c>
      <c r="H745" s="282">
        <f>ROUND(O65,0)</f>
        <v>480</v>
      </c>
      <c r="I745" s="282">
        <f>ROUND(O66,0)</f>
        <v>70309</v>
      </c>
      <c r="J745" s="282">
        <f>ROUND(O67,0)</f>
        <v>191655</v>
      </c>
      <c r="K745" s="282">
        <f>ROUND(O68,0)</f>
        <v>26509</v>
      </c>
      <c r="L745" s="282">
        <f>ROUND(O70,0)</f>
        <v>3675</v>
      </c>
      <c r="M745" s="282">
        <f>ROUND(O71,0)</f>
        <v>2732607</v>
      </c>
      <c r="N745" s="282">
        <f>ROUND(O76,0)</f>
        <v>8281</v>
      </c>
      <c r="O745" s="282">
        <f>ROUND(O74,0)</f>
        <v>484371</v>
      </c>
      <c r="P745" s="282">
        <f>IF(O77&gt;0,ROUND(O77,0),0)</f>
        <v>4553</v>
      </c>
      <c r="Q745" s="282">
        <f>IF(O78&gt;0,ROUND(O78,0),0)</f>
        <v>2897</v>
      </c>
      <c r="R745" s="282">
        <f>IF(O79&gt;0,ROUND(O79,0),0)</f>
        <v>38869</v>
      </c>
      <c r="S745" s="282">
        <f>IF(O80&gt;0,ROUND(O80,0),0)</f>
        <v>15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nty*172*7020*A</v>
      </c>
      <c r="B746" s="282">
        <f>ROUND(P59,0)</f>
        <v>216756</v>
      </c>
      <c r="C746" s="285">
        <f>ROUND(P60,2)</f>
        <v>44.5</v>
      </c>
      <c r="D746" s="282">
        <f>ROUND(P61,0)</f>
        <v>3945942</v>
      </c>
      <c r="E746" s="282">
        <f>ROUND(P62,0)</f>
        <v>949026</v>
      </c>
      <c r="F746" s="282">
        <f>ROUND(P63,0)</f>
        <v>3355</v>
      </c>
      <c r="G746" s="282">
        <f>ROUND(P64,0)</f>
        <v>1382548</v>
      </c>
      <c r="H746" s="282">
        <f>ROUND(P65,0)</f>
        <v>1920</v>
      </c>
      <c r="I746" s="282">
        <f>ROUND(P66,0)</f>
        <v>422633</v>
      </c>
      <c r="J746" s="282">
        <f>ROUND(P67,0)</f>
        <v>372919</v>
      </c>
      <c r="K746" s="282">
        <f>ROUND(P68,0)</f>
        <v>74723</v>
      </c>
      <c r="L746" s="282">
        <f>ROUND(P70,0)</f>
        <v>6890</v>
      </c>
      <c r="M746" s="282">
        <f>ROUND(P71,0)</f>
        <v>7161253</v>
      </c>
      <c r="N746" s="282">
        <f>ROUND(P76,0)</f>
        <v>16113</v>
      </c>
      <c r="O746" s="282">
        <f>ROUND(P74,0)</f>
        <v>12787004</v>
      </c>
      <c r="P746" s="282">
        <f>IF(P77&gt;0,ROUND(P77,0),0)</f>
        <v>2474</v>
      </c>
      <c r="Q746" s="282">
        <f>IF(P78&gt;0,ROUND(P78,0),0)</f>
        <v>2370</v>
      </c>
      <c r="R746" s="282">
        <f>IF(P79&gt;0,ROUND(P79,0),0)</f>
        <v>49975</v>
      </c>
      <c r="S746" s="282">
        <f>IF(P80&gt;0,ROUND(P80,0),0)</f>
        <v>23</v>
      </c>
      <c r="T746" s="285">
        <f>IF(P81&gt;0,ROUND(P81,2),0)</f>
        <v>0</v>
      </c>
      <c r="U746" s="282"/>
      <c r="X746" s="282"/>
      <c r="Y746" s="282"/>
      <c r="Z746" s="282">
        <f t="shared" si="21"/>
        <v>517748</v>
      </c>
    </row>
    <row r="747" spans="1:26" ht="12.65" customHeight="1" x14ac:dyDescent="0.3">
      <c r="A747" s="209" t="str">
        <f>RIGHT($C$84,3)&amp;"*"&amp;RIGHT($C$83,4)&amp;"*"&amp;Q$55&amp;"*"&amp;"A"</f>
        <v>nty*172*7030*A</v>
      </c>
      <c r="B747" s="282">
        <f>ROUND(Q59,0)</f>
        <v>99278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24351</v>
      </c>
      <c r="H747" s="282">
        <f>ROUND(Q65,0)</f>
        <v>0</v>
      </c>
      <c r="I747" s="282">
        <f>ROUND(Q66,0)</f>
        <v>499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24850</v>
      </c>
      <c r="N747" s="282">
        <f>ROUND(Q76,0)</f>
        <v>0</v>
      </c>
      <c r="O747" s="282">
        <f>ROUND(Q74,0)</f>
        <v>1091162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1603476</v>
      </c>
    </row>
    <row r="748" spans="1:26" ht="12.65" customHeight="1" x14ac:dyDescent="0.3">
      <c r="A748" s="209" t="str">
        <f>RIGHT($C$84,3)&amp;"*"&amp;RIGHT($C$83,4)&amp;"*"&amp;R$55&amp;"*"&amp;"A"</f>
        <v>nty*172*7040*A</v>
      </c>
      <c r="B748" s="282">
        <f>ROUND(R59,0)</f>
        <v>166440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506322</v>
      </c>
      <c r="G748" s="282">
        <f>ROUND(R64,0)</f>
        <v>115379</v>
      </c>
      <c r="H748" s="282">
        <f>ROUND(R65,0)</f>
        <v>0</v>
      </c>
      <c r="I748" s="282">
        <f>ROUND(R66,0)</f>
        <v>283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621996</v>
      </c>
      <c r="N748" s="282">
        <f>ROUND(R76,0)</f>
        <v>0</v>
      </c>
      <c r="O748" s="282">
        <f>ROUND(R74,0)</f>
        <v>3039076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104694</v>
      </c>
    </row>
    <row r="749" spans="1:26" ht="12.65" customHeight="1" x14ac:dyDescent="0.3">
      <c r="A749" s="209" t="str">
        <f>RIGHT($C$84,3)&amp;"*"&amp;RIGHT($C$83,4)&amp;"*"&amp;S$55&amp;"*"&amp;"A"</f>
        <v>nty*172*7050*A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1168</v>
      </c>
      <c r="G749" s="282">
        <f>ROUND(S64,0)</f>
        <v>4374244</v>
      </c>
      <c r="H749" s="282">
        <f>ROUND(S65,0)</f>
        <v>0</v>
      </c>
      <c r="I749" s="282">
        <f>ROUND(S66,0)</f>
        <v>0</v>
      </c>
      <c r="J749" s="282">
        <f>ROUND(S67,0)</f>
        <v>33304</v>
      </c>
      <c r="K749" s="282">
        <f>ROUND(S68,0)</f>
        <v>65608</v>
      </c>
      <c r="L749" s="282">
        <f>ROUND(S70,0)</f>
        <v>5745</v>
      </c>
      <c r="M749" s="282">
        <f>ROUND(S71,0)</f>
        <v>4558505</v>
      </c>
      <c r="N749" s="282">
        <f>ROUND(S76,0)</f>
        <v>1439</v>
      </c>
      <c r="O749" s="282">
        <f>ROUND(S74,0)</f>
        <v>11006496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316916</v>
      </c>
    </row>
    <row r="750" spans="1:26" ht="12.65" customHeight="1" x14ac:dyDescent="0.3">
      <c r="A750" s="209" t="str">
        <f>RIGHT($C$84,3)&amp;"*"&amp;RIGHT($C$83,4)&amp;"*"&amp;T$55&amp;"*"&amp;"A"</f>
        <v>nty*172*7060*A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1471498</v>
      </c>
    </row>
    <row r="751" spans="1:26" ht="12.65" customHeight="1" x14ac:dyDescent="0.3">
      <c r="A751" s="209" t="str">
        <f>RIGHT($C$84,3)&amp;"*"&amp;RIGHT($C$83,4)&amp;"*"&amp;U$55&amp;"*"&amp;"A"</f>
        <v>nty*172*7070*A</v>
      </c>
      <c r="B751" s="282">
        <f>ROUND(U59,0)</f>
        <v>110012</v>
      </c>
      <c r="C751" s="285">
        <f>ROUND(U60,2)</f>
        <v>15.27</v>
      </c>
      <c r="D751" s="282">
        <f>ROUND(U61,0)</f>
        <v>977248</v>
      </c>
      <c r="E751" s="282">
        <f>ROUND(U62,0)</f>
        <v>235035</v>
      </c>
      <c r="F751" s="282">
        <f>ROUND(U63,0)</f>
        <v>697718</v>
      </c>
      <c r="G751" s="282">
        <f>ROUND(U64,0)</f>
        <v>616877</v>
      </c>
      <c r="H751" s="282">
        <f>ROUND(U65,0)</f>
        <v>960</v>
      </c>
      <c r="I751" s="282">
        <f>ROUND(U66,0)</f>
        <v>80404</v>
      </c>
      <c r="J751" s="282">
        <f>ROUND(U67,0)</f>
        <v>45362</v>
      </c>
      <c r="K751" s="282">
        <f>ROUND(U68,0)</f>
        <v>0</v>
      </c>
      <c r="L751" s="282">
        <f>ROUND(U70,0)</f>
        <v>30000</v>
      </c>
      <c r="M751" s="282">
        <f>ROUND(U71,0)</f>
        <v>2631338</v>
      </c>
      <c r="N751" s="282">
        <f>ROUND(U76,0)</f>
        <v>1960</v>
      </c>
      <c r="O751" s="282">
        <f>ROUND(U74,0)</f>
        <v>9734830</v>
      </c>
      <c r="P751" s="282">
        <f>IF(U77&gt;0,ROUND(U77,0),0)</f>
        <v>0</v>
      </c>
      <c r="Q751" s="282">
        <f>IF(U78&gt;0,ROUND(U78,0),0)</f>
        <v>1053</v>
      </c>
      <c r="R751" s="282">
        <f>IF(U79&gt;0,ROUND(U79,0),0)</f>
        <v>8329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nty*172*7110*A</v>
      </c>
      <c r="B752" s="282">
        <f>ROUND(V59,0)</f>
        <v>3412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7151</v>
      </c>
      <c r="K752" s="282">
        <f>ROUND(V68,0)</f>
        <v>0</v>
      </c>
      <c r="L752" s="282">
        <f>ROUND(V70,0)</f>
        <v>0</v>
      </c>
      <c r="M752" s="282">
        <f>ROUND(V71,0)</f>
        <v>7151</v>
      </c>
      <c r="N752" s="282">
        <f>ROUND(V76,0)</f>
        <v>309</v>
      </c>
      <c r="O752" s="282">
        <f>ROUND(V74,0)</f>
        <v>473130</v>
      </c>
      <c r="P752" s="282">
        <f>IF(V77&gt;0,ROUND(V77,0),0)</f>
        <v>0</v>
      </c>
      <c r="Q752" s="282">
        <f>IF(V78&gt;0,ROUND(V78,0),0)</f>
        <v>527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960598</v>
      </c>
    </row>
    <row r="753" spans="1:26" ht="12.65" customHeight="1" x14ac:dyDescent="0.3">
      <c r="A753" s="209" t="str">
        <f>RIGHT($C$84,3)&amp;"*"&amp;RIGHT($C$83,4)&amp;"*"&amp;W$55&amp;"*"&amp;"A"</f>
        <v>nty*172*7120*A</v>
      </c>
      <c r="B753" s="282">
        <f>ROUND(W59,0)</f>
        <v>2536</v>
      </c>
      <c r="C753" s="285">
        <f>ROUND(W60,2)</f>
        <v>2.94</v>
      </c>
      <c r="D753" s="282">
        <f>ROUND(W61,0)</f>
        <v>307226</v>
      </c>
      <c r="E753" s="282">
        <f>ROUND(W62,0)</f>
        <v>73890</v>
      </c>
      <c r="F753" s="282">
        <f>ROUND(W63,0)</f>
        <v>5256</v>
      </c>
      <c r="G753" s="282">
        <f>ROUND(W64,0)</f>
        <v>10039</v>
      </c>
      <c r="H753" s="282">
        <f>ROUND(W65,0)</f>
        <v>0</v>
      </c>
      <c r="I753" s="282">
        <f>ROUND(W66,0)</f>
        <v>158782</v>
      </c>
      <c r="J753" s="282">
        <f>ROUND(W67,0)</f>
        <v>11665</v>
      </c>
      <c r="K753" s="282">
        <f>ROUND(W68,0)</f>
        <v>0</v>
      </c>
      <c r="L753" s="282">
        <f>ROUND(W70,0)</f>
        <v>0</v>
      </c>
      <c r="M753" s="282">
        <f>ROUND(W71,0)</f>
        <v>567098</v>
      </c>
      <c r="N753" s="282">
        <f>ROUND(W76,0)</f>
        <v>504</v>
      </c>
      <c r="O753" s="282">
        <f>ROUND(W74,0)</f>
        <v>5972038</v>
      </c>
      <c r="P753" s="282">
        <f>IF(W77&gt;0,ROUND(W77,0),0)</f>
        <v>0</v>
      </c>
      <c r="Q753" s="282">
        <f>IF(W78&gt;0,ROUND(W78,0),0)</f>
        <v>527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45726</v>
      </c>
    </row>
    <row r="754" spans="1:26" ht="12.65" customHeight="1" x14ac:dyDescent="0.3">
      <c r="A754" s="209" t="str">
        <f>RIGHT($C$84,3)&amp;"*"&amp;RIGHT($C$83,4)&amp;"*"&amp;X$55&amp;"*"&amp;"A"</f>
        <v>nty*172*7130*A</v>
      </c>
      <c r="B754" s="282">
        <f>ROUND(X59,0)</f>
        <v>4578</v>
      </c>
      <c r="C754" s="285">
        <f>ROUND(X60,2)</f>
        <v>0.84</v>
      </c>
      <c r="D754" s="282">
        <f>ROUND(X61,0)</f>
        <v>63543</v>
      </c>
      <c r="E754" s="282">
        <f>ROUND(X62,0)</f>
        <v>15283</v>
      </c>
      <c r="F754" s="282">
        <f>ROUND(X63,0)</f>
        <v>0</v>
      </c>
      <c r="G754" s="282">
        <f>ROUND(X64,0)</f>
        <v>19797</v>
      </c>
      <c r="H754" s="282">
        <f>ROUND(X65,0)</f>
        <v>0</v>
      </c>
      <c r="I754" s="282">
        <f>ROUND(X66,0)</f>
        <v>158195</v>
      </c>
      <c r="J754" s="282">
        <f>ROUND(X67,0)</f>
        <v>12081</v>
      </c>
      <c r="K754" s="282">
        <f>ROUND(X68,0)</f>
        <v>0</v>
      </c>
      <c r="L754" s="282">
        <f>ROUND(X70,0)</f>
        <v>0</v>
      </c>
      <c r="M754" s="282">
        <f>ROUND(X71,0)</f>
        <v>268899</v>
      </c>
      <c r="N754" s="282">
        <f>ROUND(X76,0)</f>
        <v>522</v>
      </c>
      <c r="O754" s="282">
        <f>ROUND(X74,0)</f>
        <v>8366211</v>
      </c>
      <c r="P754" s="282">
        <f>IF(X77&gt;0,ROUND(X77,0),0)</f>
        <v>0</v>
      </c>
      <c r="Q754" s="282">
        <f>IF(X78&gt;0,ROUND(X78,0),0)</f>
        <v>527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454766</v>
      </c>
    </row>
    <row r="755" spans="1:26" ht="12.65" customHeight="1" x14ac:dyDescent="0.3">
      <c r="A755" s="209" t="str">
        <f>RIGHT($C$84,3)&amp;"*"&amp;RIGHT($C$83,4)&amp;"*"&amp;Y$55&amp;"*"&amp;"A"</f>
        <v>nty*172*7140*A</v>
      </c>
      <c r="B755" s="282">
        <f>ROUND(Y59,0)</f>
        <v>22572</v>
      </c>
      <c r="C755" s="285">
        <f>ROUND(Y60,2)</f>
        <v>20.74</v>
      </c>
      <c r="D755" s="282">
        <f>ROUND(Y61,0)</f>
        <v>1706094</v>
      </c>
      <c r="E755" s="282">
        <f>ROUND(Y62,0)</f>
        <v>410327</v>
      </c>
      <c r="F755" s="282">
        <f>ROUND(Y63,0)</f>
        <v>245988</v>
      </c>
      <c r="G755" s="282">
        <f>ROUND(Y64,0)</f>
        <v>159895</v>
      </c>
      <c r="H755" s="282">
        <f>ROUND(Y65,0)</f>
        <v>960</v>
      </c>
      <c r="I755" s="282">
        <f>ROUND(Y66,0)</f>
        <v>281737</v>
      </c>
      <c r="J755" s="282">
        <f>ROUND(Y67,0)</f>
        <v>104935</v>
      </c>
      <c r="K755" s="282">
        <f>ROUND(Y68,0)</f>
        <v>31009</v>
      </c>
      <c r="L755" s="282">
        <f>ROUND(Y70,0)</f>
        <v>260</v>
      </c>
      <c r="M755" s="282">
        <f>ROUND(Y71,0)</f>
        <v>2946082</v>
      </c>
      <c r="N755" s="282">
        <f>ROUND(Y76,0)</f>
        <v>4534</v>
      </c>
      <c r="O755" s="282">
        <f>ROUND(Y74,0)</f>
        <v>9894791</v>
      </c>
      <c r="P755" s="282">
        <f>IF(Y77&gt;0,ROUND(Y77,0),0)</f>
        <v>0</v>
      </c>
      <c r="Q755" s="282">
        <f>IF(Y78&gt;0,ROUND(Y78,0),0)</f>
        <v>1317</v>
      </c>
      <c r="R755" s="282">
        <f>IF(Y79&gt;0,ROUND(Y79,0),0)</f>
        <v>11106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620473</v>
      </c>
    </row>
    <row r="756" spans="1:26" ht="12.65" customHeight="1" x14ac:dyDescent="0.3">
      <c r="A756" s="209" t="str">
        <f>RIGHT($C$84,3)&amp;"*"&amp;RIGHT($C$83,4)&amp;"*"&amp;Z$55&amp;"*"&amp;"A"</f>
        <v>nty*172*7150*A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823129</v>
      </c>
    </row>
    <row r="757" spans="1:26" ht="12.65" customHeight="1" x14ac:dyDescent="0.3">
      <c r="A757" s="209" t="str">
        <f>RIGHT($C$84,3)&amp;"*"&amp;RIGHT($C$83,4)&amp;"*"&amp;AA$55&amp;"*"&amp;"A"</f>
        <v>nty*172*7160*A</v>
      </c>
      <c r="B757" s="282">
        <f>ROUND(AA59,0)</f>
        <v>863</v>
      </c>
      <c r="C757" s="285">
        <f>ROUND(AA60,2)</f>
        <v>2</v>
      </c>
      <c r="D757" s="282">
        <f>ROUND(AA61,0)</f>
        <v>225375</v>
      </c>
      <c r="E757" s="282">
        <f>ROUND(AA62,0)</f>
        <v>54204</v>
      </c>
      <c r="F757" s="282">
        <f>ROUND(AA63,0)</f>
        <v>222333</v>
      </c>
      <c r="G757" s="282">
        <f>ROUND(AA64,0)</f>
        <v>238917</v>
      </c>
      <c r="H757" s="282">
        <f>ROUND(AA65,0)</f>
        <v>0</v>
      </c>
      <c r="I757" s="282">
        <f>ROUND(AA66,0)</f>
        <v>125371</v>
      </c>
      <c r="J757" s="282">
        <f>ROUND(AA67,0)</f>
        <v>7059</v>
      </c>
      <c r="K757" s="282">
        <f>ROUND(AA68,0)</f>
        <v>0</v>
      </c>
      <c r="L757" s="282">
        <f>ROUND(AA70,0)</f>
        <v>0</v>
      </c>
      <c r="M757" s="282">
        <f>ROUND(AA71,0)</f>
        <v>883989</v>
      </c>
      <c r="N757" s="282">
        <f>ROUND(AA76,0)</f>
        <v>305</v>
      </c>
      <c r="O757" s="282">
        <f>ROUND(AA74,0)</f>
        <v>2719752</v>
      </c>
      <c r="P757" s="282">
        <f>IF(AA77&gt;0,ROUND(AA77,0),0)</f>
        <v>0</v>
      </c>
      <c r="Q757" s="282">
        <f>IF(AA78&gt;0,ROUND(AA78,0),0)</f>
        <v>67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nty*172*7170*A</v>
      </c>
      <c r="B758" s="282"/>
      <c r="C758" s="285">
        <f>ROUND(AB60,2)</f>
        <v>5.99</v>
      </c>
      <c r="D758" s="282">
        <f>ROUND(AB61,0)</f>
        <v>704535</v>
      </c>
      <c r="E758" s="282">
        <f>ROUND(AB62,0)</f>
        <v>169445</v>
      </c>
      <c r="F758" s="282">
        <f>ROUND(AB63,0)</f>
        <v>112236</v>
      </c>
      <c r="G758" s="282">
        <f>ROUND(AB64,0)</f>
        <v>3289596</v>
      </c>
      <c r="H758" s="282">
        <f>ROUND(AB65,0)</f>
        <v>24777</v>
      </c>
      <c r="I758" s="282">
        <f>ROUND(AB66,0)</f>
        <v>26336</v>
      </c>
      <c r="J758" s="282">
        <f>ROUND(AB67,0)</f>
        <v>18145</v>
      </c>
      <c r="K758" s="282">
        <f>ROUND(AB68,0)</f>
        <v>130114</v>
      </c>
      <c r="L758" s="282">
        <f>ROUND(AB70,0)</f>
        <v>5772</v>
      </c>
      <c r="M758" s="282">
        <f>ROUND(AB71,0)</f>
        <v>4477623</v>
      </c>
      <c r="N758" s="282">
        <f>ROUND(AB76,0)</f>
        <v>784</v>
      </c>
      <c r="O758" s="282">
        <f>ROUND(AB74,0)</f>
        <v>14271620</v>
      </c>
      <c r="P758" s="282">
        <f>IF(AB77&gt;0,ROUND(AB77,0),0)</f>
        <v>0</v>
      </c>
      <c r="Q758" s="282">
        <f>IF(AB78&gt;0,ROUND(AB78,0),0)</f>
        <v>171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230832</v>
      </c>
    </row>
    <row r="759" spans="1:26" ht="12.65" customHeight="1" x14ac:dyDescent="0.3">
      <c r="A759" s="209" t="str">
        <f>RIGHT($C$84,3)&amp;"*"&amp;RIGHT($C$83,4)&amp;"*"&amp;AC$55&amp;"*"&amp;"A"</f>
        <v>nty*172*7180*A</v>
      </c>
      <c r="B759" s="282">
        <f>ROUND(AC59,0)</f>
        <v>13786</v>
      </c>
      <c r="C759" s="285">
        <f>ROUND(AC60,2)</f>
        <v>10.48</v>
      </c>
      <c r="D759" s="282">
        <f>ROUND(AC61,0)</f>
        <v>803654</v>
      </c>
      <c r="E759" s="282">
        <f>ROUND(AC62,0)</f>
        <v>193284</v>
      </c>
      <c r="F759" s="282">
        <f>ROUND(AC63,0)</f>
        <v>51298</v>
      </c>
      <c r="G759" s="282">
        <f>ROUND(AC64,0)</f>
        <v>40577</v>
      </c>
      <c r="H759" s="282">
        <f>ROUND(AC65,0)</f>
        <v>400</v>
      </c>
      <c r="I759" s="282">
        <f>ROUND(AC66,0)</f>
        <v>9137</v>
      </c>
      <c r="J759" s="282">
        <f>ROUND(AC67,0)</f>
        <v>28629</v>
      </c>
      <c r="K759" s="282">
        <f>ROUND(AC68,0)</f>
        <v>466</v>
      </c>
      <c r="L759" s="282">
        <f>ROUND(AC70,0)</f>
        <v>0</v>
      </c>
      <c r="M759" s="282">
        <f>ROUND(AC71,0)</f>
        <v>1129274</v>
      </c>
      <c r="N759" s="282">
        <f>ROUND(AC76,0)</f>
        <v>1237</v>
      </c>
      <c r="O759" s="282">
        <f>ROUND(AC74,0)</f>
        <v>2196899</v>
      </c>
      <c r="P759" s="282">
        <f>IF(AC77&gt;0,ROUND(AC77,0),0)</f>
        <v>0</v>
      </c>
      <c r="Q759" s="282">
        <f>IF(AC78&gt;0,ROUND(AC78,0),0)</f>
        <v>271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1542542</v>
      </c>
    </row>
    <row r="760" spans="1:26" ht="12.65" customHeight="1" x14ac:dyDescent="0.3">
      <c r="A760" s="209" t="str">
        <f>RIGHT($C$84,3)&amp;"*"&amp;RIGHT($C$83,4)&amp;"*"&amp;AD$55&amp;"*"&amp;"A"</f>
        <v>nty*172*7190*A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290218</v>
      </c>
    </row>
    <row r="761" spans="1:26" ht="12.65" customHeight="1" x14ac:dyDescent="0.3">
      <c r="A761" s="209" t="str">
        <f>RIGHT($C$84,3)&amp;"*"&amp;RIGHT($C$83,4)&amp;"*"&amp;AE$55&amp;"*"&amp;"A"</f>
        <v>nty*172*7200*A</v>
      </c>
      <c r="B761" s="282">
        <f>ROUND(AE59,0)</f>
        <v>28430</v>
      </c>
      <c r="C761" s="285">
        <f>ROUND(AE60,2)</f>
        <v>38.68</v>
      </c>
      <c r="D761" s="282">
        <f>ROUND(AE61,0)</f>
        <v>3020928</v>
      </c>
      <c r="E761" s="282">
        <f>ROUND(AE62,0)</f>
        <v>726553</v>
      </c>
      <c r="F761" s="282">
        <f>ROUND(AE63,0)</f>
        <v>14417</v>
      </c>
      <c r="G761" s="282">
        <f>ROUND(AE64,0)</f>
        <v>64164</v>
      </c>
      <c r="H761" s="282">
        <f>ROUND(AE65,0)</f>
        <v>30898</v>
      </c>
      <c r="I761" s="282">
        <f>ROUND(AE66,0)</f>
        <v>75773</v>
      </c>
      <c r="J761" s="282">
        <f>ROUND(AE67,0)</f>
        <v>202186</v>
      </c>
      <c r="K761" s="282">
        <f>ROUND(AE68,0)</f>
        <v>21870</v>
      </c>
      <c r="L761" s="282">
        <f>ROUND(AE70,0)</f>
        <v>27632</v>
      </c>
      <c r="M761" s="282">
        <f>ROUND(AE71,0)</f>
        <v>4169056</v>
      </c>
      <c r="N761" s="282">
        <f>ROUND(AE76,0)</f>
        <v>8736</v>
      </c>
      <c r="O761" s="282">
        <f>ROUND(AE74,0)</f>
        <v>4190697</v>
      </c>
      <c r="P761" s="282">
        <f>IF(AE77&gt;0,ROUND(AE77,0),0)</f>
        <v>0</v>
      </c>
      <c r="Q761" s="282">
        <f>IF(AE78&gt;0,ROUND(AE78,0),0)</f>
        <v>2633</v>
      </c>
      <c r="R761" s="282">
        <f>IF(AE79&gt;0,ROUND(AE79,0),0)</f>
        <v>54821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nty*172*7220*A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462767</v>
      </c>
    </row>
    <row r="763" spans="1:26" ht="12.65" customHeight="1" x14ac:dyDescent="0.3">
      <c r="A763" s="209" t="str">
        <f>RIGHT($C$84,3)&amp;"*"&amp;RIGHT($C$83,4)&amp;"*"&amp;AG$55&amp;"*"&amp;"A"</f>
        <v>nty*172*7230*A</v>
      </c>
      <c r="B763" s="282">
        <f>ROUND(AG59,0)</f>
        <v>11108</v>
      </c>
      <c r="C763" s="285">
        <f>ROUND(AG60,2)</f>
        <v>29.64</v>
      </c>
      <c r="D763" s="282">
        <f>ROUND(AG61,0)</f>
        <v>4637550</v>
      </c>
      <c r="E763" s="282">
        <f>ROUND(AG62,0)</f>
        <v>1115362</v>
      </c>
      <c r="F763" s="282">
        <f>ROUND(AG63,0)</f>
        <v>38185</v>
      </c>
      <c r="G763" s="282">
        <f>ROUND(AG64,0)</f>
        <v>128753</v>
      </c>
      <c r="H763" s="282">
        <f>ROUND(AG65,0)</f>
        <v>960</v>
      </c>
      <c r="I763" s="282">
        <f>ROUND(AG66,0)</f>
        <v>22572</v>
      </c>
      <c r="J763" s="282">
        <f>ROUND(AG67,0)</f>
        <v>148422</v>
      </c>
      <c r="K763" s="282">
        <f>ROUND(AG68,0)</f>
        <v>28076</v>
      </c>
      <c r="L763" s="282">
        <f>ROUND(AG70,0)</f>
        <v>0</v>
      </c>
      <c r="M763" s="282">
        <f>ROUND(AG71,0)</f>
        <v>6204542</v>
      </c>
      <c r="N763" s="282">
        <f>ROUND(AG76,0)</f>
        <v>6413</v>
      </c>
      <c r="O763" s="282">
        <f>ROUND(AG74,0)</f>
        <v>11767538</v>
      </c>
      <c r="P763" s="282">
        <f>IF(AG77&gt;0,ROUND(AG77,0),0)</f>
        <v>1722</v>
      </c>
      <c r="Q763" s="282">
        <f>IF(AG78&gt;0,ROUND(AG78,0),0)</f>
        <v>2897</v>
      </c>
      <c r="R763" s="282">
        <f>IF(AG79&gt;0,ROUND(AG79,0),0)</f>
        <v>49975</v>
      </c>
      <c r="S763" s="282">
        <f>IF(AG80&gt;0,ROUND(AG80,0),0)</f>
        <v>14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nty*172*7240*A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1329584</v>
      </c>
    </row>
    <row r="765" spans="1:26" ht="12.65" customHeight="1" x14ac:dyDescent="0.3">
      <c r="A765" s="209" t="str">
        <f>RIGHT($C$84,3)&amp;"*"&amp;RIGHT($C$83,4)&amp;"*"&amp;AI$55&amp;"*"&amp;"A"</f>
        <v>nty*172*7250*A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nty*172*7260*A</v>
      </c>
      <c r="B766" s="282">
        <f>ROUND(AJ59,0)</f>
        <v>354</v>
      </c>
      <c r="C766" s="285">
        <f>ROUND(AJ60,2)</f>
        <v>0.66</v>
      </c>
      <c r="D766" s="282">
        <f>ROUND(AJ61,0)</f>
        <v>62943</v>
      </c>
      <c r="E766" s="282">
        <f>ROUND(AJ62,0)</f>
        <v>15138</v>
      </c>
      <c r="F766" s="282">
        <f>ROUND(AJ63,0)</f>
        <v>864</v>
      </c>
      <c r="G766" s="282">
        <f>ROUND(AJ64,0)</f>
        <v>0</v>
      </c>
      <c r="H766" s="282">
        <f>ROUND(AJ65,0)</f>
        <v>0</v>
      </c>
      <c r="I766" s="282">
        <f>ROUND(AJ66,0)</f>
        <v>0</v>
      </c>
      <c r="J766" s="282">
        <f>ROUND(AJ67,0)</f>
        <v>23144</v>
      </c>
      <c r="K766" s="282">
        <f>ROUND(AJ68,0)</f>
        <v>0</v>
      </c>
      <c r="L766" s="282">
        <f>ROUND(AJ70,0)</f>
        <v>0</v>
      </c>
      <c r="M766" s="282">
        <f>ROUND(AJ71,0)</f>
        <v>102459</v>
      </c>
      <c r="N766" s="282">
        <f>ROUND(AJ76,0)</f>
        <v>1000</v>
      </c>
      <c r="O766" s="282">
        <f>ROUND(AJ74,0)</f>
        <v>124301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nty*172*7310*A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-23262</v>
      </c>
    </row>
    <row r="768" spans="1:26" ht="12.65" customHeight="1" x14ac:dyDescent="0.3">
      <c r="A768" s="209" t="str">
        <f>RIGHT($C$84,3)&amp;"*"&amp;RIGHT($C$83,4)&amp;"*"&amp;AL$55&amp;"*"&amp;"A"</f>
        <v>nty*172*7320*A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">
      <c r="A769" s="209" t="str">
        <f>RIGHT($C$84,3)&amp;"*"&amp;RIGHT($C$83,4)&amp;"*"&amp;AM$55&amp;"*"&amp;"A"</f>
        <v>nty*172*7330*A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">
      <c r="A770" s="209" t="str">
        <f>RIGHT($C$84,3)&amp;"*"&amp;RIGHT($C$83,4)&amp;"*"&amp;AN$55&amp;"*"&amp;"A"</f>
        <v>nty*172*7340*A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nty*172*7350*A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nty*172*7380*A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772294</v>
      </c>
      <c r="G772" s="282">
        <f>ROUND(AP64,0)</f>
        <v>157874</v>
      </c>
      <c r="H772" s="282">
        <f>ROUND(AP65,0)</f>
        <v>0</v>
      </c>
      <c r="I772" s="282">
        <f>ROUND(AP66,0)</f>
        <v>8625</v>
      </c>
      <c r="J772" s="282">
        <f>ROUND(AP67,0)</f>
        <v>0</v>
      </c>
      <c r="K772" s="282">
        <f>ROUND(AP68,0)</f>
        <v>8000</v>
      </c>
      <c r="L772" s="282">
        <f>ROUND(AP70,0)</f>
        <v>0</v>
      </c>
      <c r="M772" s="282">
        <f>ROUND(AP71,0)</f>
        <v>947831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790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nty*172*7390*A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65586</v>
      </c>
    </row>
    <row r="774" spans="1:26" ht="12.65" customHeight="1" x14ac:dyDescent="0.3">
      <c r="A774" s="209" t="str">
        <f>RIGHT($C$84,3)&amp;"*"&amp;RIGHT($C$83,4)&amp;"*"&amp;AR$55&amp;"*"&amp;"A"</f>
        <v>nty*172*7400*A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nty*172*7410*A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nty*172*7420*A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nty*172*7430*A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nty*172*7490*A</v>
      </c>
      <c r="B778" s="282"/>
      <c r="C778" s="285">
        <f>ROUND(AV60,2)</f>
        <v>2</v>
      </c>
      <c r="D778" s="282">
        <f>ROUND(AV61,0)</f>
        <v>169098</v>
      </c>
      <c r="E778" s="282">
        <f>ROUND(AV62,0)</f>
        <v>40669</v>
      </c>
      <c r="F778" s="282">
        <f>ROUND(AV63,0)</f>
        <v>23765</v>
      </c>
      <c r="G778" s="282">
        <f>ROUND(AV64,0)</f>
        <v>4241</v>
      </c>
      <c r="H778" s="282">
        <f>ROUND(AV65,0)</f>
        <v>0</v>
      </c>
      <c r="I778" s="282">
        <f>ROUND(AV66,0)</f>
        <v>554</v>
      </c>
      <c r="J778" s="282">
        <f>ROUND(AV67,0)</f>
        <v>0</v>
      </c>
      <c r="K778" s="282">
        <f>ROUND(AV68,0)</f>
        <v>0</v>
      </c>
      <c r="L778" s="282">
        <f>ROUND(AV70,0)</f>
        <v>374659</v>
      </c>
      <c r="M778" s="282">
        <f>ROUND(AV71,0)</f>
        <v>-125021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nty*172*8200*A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nty*172*8310*A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nty*172*8320*A</v>
      </c>
      <c r="B781" s="282">
        <f>ROUND(AY59,0)</f>
        <v>20824</v>
      </c>
      <c r="C781" s="285">
        <f>ROUND(AY60,2)</f>
        <v>18.260000000000002</v>
      </c>
      <c r="D781" s="282">
        <f>ROUND(AY61,0)</f>
        <v>818276</v>
      </c>
      <c r="E781" s="282">
        <f>ROUND(AY62,0)</f>
        <v>196801</v>
      </c>
      <c r="F781" s="282">
        <f>ROUND(AY63,0)</f>
        <v>780</v>
      </c>
      <c r="G781" s="282">
        <f>ROUND(AY64,0)</f>
        <v>459988</v>
      </c>
      <c r="H781" s="282">
        <f>ROUND(AY65,0)</f>
        <v>0</v>
      </c>
      <c r="I781" s="282">
        <f>ROUND(AY66,0)</f>
        <v>13034</v>
      </c>
      <c r="J781" s="282">
        <f>ROUND(AY67,0)</f>
        <v>110304</v>
      </c>
      <c r="K781" s="282">
        <f>ROUND(AY68,0)</f>
        <v>3234</v>
      </c>
      <c r="L781" s="282">
        <f>ROUND(AY70,0)</f>
        <v>1370</v>
      </c>
      <c r="M781" s="282">
        <f>ROUND(AY71,0)</f>
        <v>1605471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nty*172*8330*A</v>
      </c>
      <c r="B782" s="282">
        <f>ROUND(AZ59,0)</f>
        <v>55991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361912</v>
      </c>
      <c r="M782" s="282">
        <f>ROUND(AZ71,0)</f>
        <v>-361912</v>
      </c>
      <c r="N782" s="282"/>
      <c r="O782" s="282"/>
      <c r="P782" s="282">
        <f>IF(AZ77&gt;0,ROUND(AZ77,0),0)</f>
        <v>53997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nty*172*8350*A</v>
      </c>
      <c r="B783" s="282">
        <f>ROUND(BA59,0)</f>
        <v>0</v>
      </c>
      <c r="C783" s="285">
        <f>ROUND(BA60,2)</f>
        <v>0.81</v>
      </c>
      <c r="D783" s="282">
        <f>ROUND(BA61,0)</f>
        <v>36874</v>
      </c>
      <c r="E783" s="282">
        <f>ROUND(BA62,0)</f>
        <v>8868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183019</v>
      </c>
      <c r="J783" s="282">
        <f>ROUND(BA67,0)</f>
        <v>29948</v>
      </c>
      <c r="K783" s="282">
        <f>ROUND(BA68,0)</f>
        <v>0</v>
      </c>
      <c r="L783" s="282">
        <f>ROUND(BA70,0)</f>
        <v>0</v>
      </c>
      <c r="M783" s="282">
        <f>ROUND(BA71,0)</f>
        <v>258709</v>
      </c>
      <c r="N783" s="282"/>
      <c r="O783" s="282"/>
      <c r="P783" s="282">
        <f>IF(BA77&gt;0,ROUND(BA77,0),0)</f>
        <v>0</v>
      </c>
      <c r="Q783" s="282">
        <f>IF(BA78&gt;0,ROUND(BA78,0),0)</f>
        <v>283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nty*172*8360*A</v>
      </c>
      <c r="B784" s="282"/>
      <c r="C784" s="285">
        <f>ROUND(BB60,2)</f>
        <v>6.14</v>
      </c>
      <c r="D784" s="282">
        <f>ROUND(BB61,0)</f>
        <v>486688</v>
      </c>
      <c r="E784" s="282">
        <f>ROUND(BB62,0)</f>
        <v>117052</v>
      </c>
      <c r="F784" s="282">
        <f>ROUND(BB63,0)</f>
        <v>15654</v>
      </c>
      <c r="G784" s="282">
        <f>ROUND(BB64,0)</f>
        <v>341</v>
      </c>
      <c r="H784" s="282">
        <f>ROUND(BB65,0)</f>
        <v>3320</v>
      </c>
      <c r="I784" s="282">
        <f>ROUND(BB66,0)</f>
        <v>13780</v>
      </c>
      <c r="J784" s="282">
        <f>ROUND(BB67,0)</f>
        <v>3472</v>
      </c>
      <c r="K784" s="282">
        <f>ROUND(BB68,0)</f>
        <v>2083</v>
      </c>
      <c r="L784" s="282">
        <f>ROUND(BB70,0)</f>
        <v>8586</v>
      </c>
      <c r="M784" s="282">
        <f>ROUND(BB71,0)</f>
        <v>638418</v>
      </c>
      <c r="N784" s="282"/>
      <c r="O784" s="282"/>
      <c r="P784" s="282">
        <f>IF(BB77&gt;0,ROUND(BB77,0),0)</f>
        <v>0</v>
      </c>
      <c r="Q784" s="282">
        <f>IF(BB78&gt;0,ROUND(BB78,0),0)</f>
        <v>33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nty*172*8370*A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nty*172*8420*A</v>
      </c>
      <c r="B786" s="282"/>
      <c r="C786" s="285">
        <f>ROUND(BD60,2)</f>
        <v>6.07</v>
      </c>
      <c r="D786" s="282">
        <f>ROUND(BD61,0)</f>
        <v>424896</v>
      </c>
      <c r="E786" s="282">
        <f>ROUND(BD62,0)</f>
        <v>102190</v>
      </c>
      <c r="F786" s="282">
        <f>ROUND(BD63,0)</f>
        <v>0</v>
      </c>
      <c r="G786" s="282">
        <f>ROUND(BD64,0)</f>
        <v>12673</v>
      </c>
      <c r="H786" s="282">
        <f>ROUND(BD65,0)</f>
        <v>907</v>
      </c>
      <c r="I786" s="282">
        <f>ROUND(BD66,0)</f>
        <v>1447</v>
      </c>
      <c r="J786" s="282">
        <f>ROUND(BD67,0)</f>
        <v>65243</v>
      </c>
      <c r="K786" s="282">
        <f>ROUND(BD68,0)</f>
        <v>6739</v>
      </c>
      <c r="L786" s="282">
        <f>ROUND(BD70,0)</f>
        <v>0</v>
      </c>
      <c r="M786" s="282">
        <f>ROUND(BD71,0)</f>
        <v>616850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nty*172*8430*A</v>
      </c>
      <c r="B787" s="282">
        <f>ROUND(BE59,0)</f>
        <v>120387</v>
      </c>
      <c r="C787" s="285">
        <f>ROUND(BE60,2)</f>
        <v>6.63</v>
      </c>
      <c r="D787" s="282">
        <f>ROUND(BE61,0)</f>
        <v>500981</v>
      </c>
      <c r="E787" s="282">
        <f>ROUND(BE62,0)</f>
        <v>120489</v>
      </c>
      <c r="F787" s="282">
        <f>ROUND(BE63,0)</f>
        <v>59392</v>
      </c>
      <c r="G787" s="282">
        <f>ROUND(BE64,0)</f>
        <v>8906</v>
      </c>
      <c r="H787" s="282">
        <f>ROUND(BE65,0)</f>
        <v>480840</v>
      </c>
      <c r="I787" s="282">
        <f>ROUND(BE66,0)</f>
        <v>145462</v>
      </c>
      <c r="J787" s="282">
        <f>ROUND(BE67,0)</f>
        <v>304366</v>
      </c>
      <c r="K787" s="282">
        <f>ROUND(BE68,0)</f>
        <v>9191</v>
      </c>
      <c r="L787" s="282">
        <f>ROUND(BE70,0)</f>
        <v>0</v>
      </c>
      <c r="M787" s="282">
        <f>ROUND(BE71,0)</f>
        <v>1630252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nty*172*8460*A</v>
      </c>
      <c r="B788" s="282"/>
      <c r="C788" s="285">
        <f>ROUND(BF60,2)</f>
        <v>12.66</v>
      </c>
      <c r="D788" s="282">
        <f>ROUND(BF61,0)</f>
        <v>561195</v>
      </c>
      <c r="E788" s="282">
        <f>ROUND(BF62,0)</f>
        <v>134971</v>
      </c>
      <c r="F788" s="282">
        <f>ROUND(BF63,0)</f>
        <v>0</v>
      </c>
      <c r="G788" s="282">
        <f>ROUND(BF64,0)</f>
        <v>44450</v>
      </c>
      <c r="H788" s="282">
        <f>ROUND(BF65,0)</f>
        <v>53134</v>
      </c>
      <c r="I788" s="282">
        <f>ROUND(BF66,0)</f>
        <v>2039</v>
      </c>
      <c r="J788" s="282">
        <f>ROUND(BF67,0)</f>
        <v>8679</v>
      </c>
      <c r="K788" s="282">
        <f>ROUND(BF68,0)</f>
        <v>103</v>
      </c>
      <c r="L788" s="282">
        <f>ROUND(BF70,0)</f>
        <v>0</v>
      </c>
      <c r="M788" s="282">
        <f>ROUND(BF71,0)</f>
        <v>808165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nty*172*8470*A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nty*172*8480*A</v>
      </c>
      <c r="B790" s="282"/>
      <c r="C790" s="285">
        <f>ROUND(BH60,2)</f>
        <v>8.01</v>
      </c>
      <c r="D790" s="282">
        <f>ROUND(BH61,0)</f>
        <v>581178</v>
      </c>
      <c r="E790" s="282">
        <f>ROUND(BH62,0)</f>
        <v>139777</v>
      </c>
      <c r="F790" s="282">
        <f>ROUND(BH63,0)</f>
        <v>0</v>
      </c>
      <c r="G790" s="282">
        <f>ROUND(BH64,0)</f>
        <v>5527</v>
      </c>
      <c r="H790" s="282">
        <f>ROUND(BH65,0)</f>
        <v>138180</v>
      </c>
      <c r="I790" s="282">
        <f>ROUND(BH66,0)</f>
        <v>999579</v>
      </c>
      <c r="J790" s="282">
        <f>ROUND(BH67,0)</f>
        <v>43210</v>
      </c>
      <c r="K790" s="282">
        <f>ROUND(BH68,0)</f>
        <v>678</v>
      </c>
      <c r="L790" s="282">
        <f>ROUND(BH70,0)</f>
        <v>19994</v>
      </c>
      <c r="M790" s="282">
        <f>ROUND(BH71,0)</f>
        <v>1892249</v>
      </c>
      <c r="N790" s="282"/>
      <c r="O790" s="282"/>
      <c r="P790" s="282">
        <f>IF(BH77&gt;0,ROUND(BH77,0),0)</f>
        <v>0</v>
      </c>
      <c r="Q790" s="282">
        <f>IF(BH78&gt;0,ROUND(BH78,0),0)</f>
        <v>263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nty*172*8490*A</v>
      </c>
      <c r="B791" s="282"/>
      <c r="C791" s="285">
        <f>ROUND(BI60,2)</f>
        <v>4.54</v>
      </c>
      <c r="D791" s="282">
        <f>ROUND(BI61,0)</f>
        <v>458257</v>
      </c>
      <c r="E791" s="282">
        <f>ROUND(BI62,0)</f>
        <v>110214</v>
      </c>
      <c r="F791" s="282">
        <f>ROUND(BI63,0)</f>
        <v>50294</v>
      </c>
      <c r="G791" s="282">
        <f>ROUND(BI64,0)</f>
        <v>3145</v>
      </c>
      <c r="H791" s="282">
        <f>ROUND(BI65,0)</f>
        <v>3758</v>
      </c>
      <c r="I791" s="282">
        <f>ROUND(BI66,0)</f>
        <v>28338</v>
      </c>
      <c r="J791" s="282">
        <f>ROUND(BI67,0)</f>
        <v>0</v>
      </c>
      <c r="K791" s="282">
        <f>ROUND(BI68,0)</f>
        <v>42606</v>
      </c>
      <c r="L791" s="282">
        <f>ROUND(BI70,0)</f>
        <v>0</v>
      </c>
      <c r="M791" s="282">
        <f>ROUND(BI71,0)</f>
        <v>830674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nty*172*8510*A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nty*172*8530*A</v>
      </c>
      <c r="B793" s="282"/>
      <c r="C793" s="285">
        <f>ROUND(BK60,2)</f>
        <v>13.05</v>
      </c>
      <c r="D793" s="282">
        <f>ROUND(BK61,0)</f>
        <v>678711</v>
      </c>
      <c r="E793" s="282">
        <f>ROUND(BK62,0)</f>
        <v>163235</v>
      </c>
      <c r="F793" s="282">
        <f>ROUND(BK63,0)</f>
        <v>230086</v>
      </c>
      <c r="G793" s="282">
        <f>ROUND(BK64,0)</f>
        <v>25803</v>
      </c>
      <c r="H793" s="282">
        <f>ROUND(BK65,0)</f>
        <v>3206</v>
      </c>
      <c r="I793" s="282">
        <f>ROUND(BK66,0)</f>
        <v>303385</v>
      </c>
      <c r="J793" s="282">
        <f>ROUND(BK67,0)</f>
        <v>0</v>
      </c>
      <c r="K793" s="282">
        <f>ROUND(BK68,0)</f>
        <v>54923</v>
      </c>
      <c r="L793" s="282">
        <f>ROUND(BK70,0)</f>
        <v>60</v>
      </c>
      <c r="M793" s="282">
        <f>ROUND(BK71,0)</f>
        <v>1467707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nty*172*8560*A</v>
      </c>
      <c r="B794" s="282"/>
      <c r="C794" s="285">
        <f>ROUND(BL60,2)</f>
        <v>9.01</v>
      </c>
      <c r="D794" s="282">
        <f>ROUND(BL61,0)</f>
        <v>451635</v>
      </c>
      <c r="E794" s="282">
        <f>ROUND(BL62,0)</f>
        <v>108621</v>
      </c>
      <c r="F794" s="282">
        <f>ROUND(BL63,0)</f>
        <v>0</v>
      </c>
      <c r="G794" s="282">
        <f>ROUND(BL64,0)</f>
        <v>9196</v>
      </c>
      <c r="H794" s="282">
        <f>ROUND(BL65,0)</f>
        <v>480</v>
      </c>
      <c r="I794" s="282">
        <f>ROUND(BL66,0)</f>
        <v>704</v>
      </c>
      <c r="J794" s="282">
        <f>ROUND(BL67,0)</f>
        <v>20043</v>
      </c>
      <c r="K794" s="282">
        <f>ROUND(BL68,0)</f>
        <v>3532</v>
      </c>
      <c r="L794" s="282">
        <f>ROUND(BL70,0)</f>
        <v>0</v>
      </c>
      <c r="M794" s="282">
        <f>ROUND(BL71,0)</f>
        <v>594211</v>
      </c>
      <c r="N794" s="282"/>
      <c r="O794" s="282"/>
      <c r="P794" s="282">
        <f>IF(BL77&gt;0,ROUND(BL77,0),0)</f>
        <v>0</v>
      </c>
      <c r="Q794" s="282">
        <f>IF(BL78&gt;0,ROUND(BL78,0),0)</f>
        <v>189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nty*172*8590*A</v>
      </c>
      <c r="B795" s="282"/>
      <c r="C795" s="285">
        <f>ROUND(BM60,2)</f>
        <v>4.0999999999999996</v>
      </c>
      <c r="D795" s="282">
        <f>ROUND(BM61,0)</f>
        <v>318856</v>
      </c>
      <c r="E795" s="282">
        <f>ROUND(BM62,0)</f>
        <v>76687</v>
      </c>
      <c r="F795" s="282">
        <f>ROUND(BM63,0)</f>
        <v>75320</v>
      </c>
      <c r="G795" s="282">
        <f>ROUND(BM64,0)</f>
        <v>5066</v>
      </c>
      <c r="H795" s="282">
        <f>ROUND(BM65,0)</f>
        <v>0</v>
      </c>
      <c r="I795" s="282">
        <f>ROUND(BM66,0)</f>
        <v>24458</v>
      </c>
      <c r="J795" s="282">
        <f>ROUND(BM67,0)</f>
        <v>6365</v>
      </c>
      <c r="K795" s="282">
        <f>ROUND(BM68,0)</f>
        <v>0</v>
      </c>
      <c r="L795" s="282">
        <f>ROUND(BM70,0)</f>
        <v>0</v>
      </c>
      <c r="M795" s="282">
        <f>ROUND(BM71,0)</f>
        <v>547807</v>
      </c>
      <c r="N795" s="282"/>
      <c r="O795" s="282"/>
      <c r="P795" s="282">
        <f>IF(BM77&gt;0,ROUND(BM77,0),0)</f>
        <v>0</v>
      </c>
      <c r="Q795" s="282">
        <f>IF(BM78&gt;0,ROUND(BM78,0),0)</f>
        <v>60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nty*172*8610*A</v>
      </c>
      <c r="B796" s="282"/>
      <c r="C796" s="285">
        <f>ROUND(BN60,2)</f>
        <v>4.47</v>
      </c>
      <c r="D796" s="282">
        <f>ROUND(BN61,0)</f>
        <v>631058</v>
      </c>
      <c r="E796" s="282">
        <f>ROUND(BN62,0)</f>
        <v>151774</v>
      </c>
      <c r="F796" s="282">
        <f>ROUND(BN63,0)</f>
        <v>165489</v>
      </c>
      <c r="G796" s="282">
        <f>ROUND(BN64,0)</f>
        <v>8161</v>
      </c>
      <c r="H796" s="282">
        <f>ROUND(BN65,0)</f>
        <v>880</v>
      </c>
      <c r="I796" s="282">
        <f>ROUND(BN66,0)</f>
        <v>105627</v>
      </c>
      <c r="J796" s="282">
        <f>ROUND(BN67,0)</f>
        <v>82508</v>
      </c>
      <c r="K796" s="282">
        <f>ROUND(BN68,0)</f>
        <v>9940</v>
      </c>
      <c r="L796" s="282">
        <f>ROUND(BN70,0)</f>
        <v>50000</v>
      </c>
      <c r="M796" s="282">
        <f>ROUND(BN71,0)</f>
        <v>1304031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nty*172*8620*A</v>
      </c>
      <c r="B797" s="282"/>
      <c r="C797" s="285">
        <f>ROUND(BO60,2)</f>
        <v>1.1599999999999999</v>
      </c>
      <c r="D797" s="282">
        <f>ROUND(BO61,0)</f>
        <v>80209</v>
      </c>
      <c r="E797" s="282">
        <f>ROUND(BO62,0)</f>
        <v>19291</v>
      </c>
      <c r="F797" s="282">
        <f>ROUND(BO63,0)</f>
        <v>0</v>
      </c>
      <c r="G797" s="282">
        <f>ROUND(BO64,0)</f>
        <v>43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101262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nty*172*8630*A</v>
      </c>
      <c r="B798" s="282"/>
      <c r="C798" s="285">
        <f>ROUND(BP60,2)</f>
        <v>2.95</v>
      </c>
      <c r="D798" s="282">
        <f>ROUND(BP61,0)</f>
        <v>265408</v>
      </c>
      <c r="E798" s="282">
        <f>ROUND(BP62,0)</f>
        <v>63832</v>
      </c>
      <c r="F798" s="282">
        <f>ROUND(BP63,0)</f>
        <v>395886</v>
      </c>
      <c r="G798" s="282">
        <f>ROUND(BP64,0)</f>
        <v>5470</v>
      </c>
      <c r="H798" s="282">
        <f>ROUND(BP65,0)</f>
        <v>480</v>
      </c>
      <c r="I798" s="282">
        <f>ROUND(BP66,0)</f>
        <v>43922</v>
      </c>
      <c r="J798" s="282">
        <f>ROUND(BP67,0)</f>
        <v>6365</v>
      </c>
      <c r="K798" s="282">
        <f>ROUND(BP68,0)</f>
        <v>0</v>
      </c>
      <c r="L798" s="282">
        <f>ROUND(BP70,0)</f>
        <v>15000</v>
      </c>
      <c r="M798" s="282">
        <f>ROUND(BP71,0)</f>
        <v>784773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nty*172*8640*A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nty*172*8650*A</v>
      </c>
      <c r="B800" s="282"/>
      <c r="C800" s="285">
        <f>ROUND(BR60,2)</f>
        <v>6.23</v>
      </c>
      <c r="D800" s="282">
        <f>ROUND(BR61,0)</f>
        <v>513309</v>
      </c>
      <c r="E800" s="282">
        <f>ROUND(BR62,0)</f>
        <v>123454</v>
      </c>
      <c r="F800" s="282">
        <f>ROUND(BR63,0)</f>
        <v>71623</v>
      </c>
      <c r="G800" s="282">
        <f>ROUND(BR64,0)</f>
        <v>6049</v>
      </c>
      <c r="H800" s="282">
        <f>ROUND(BR65,0)</f>
        <v>0</v>
      </c>
      <c r="I800" s="282">
        <f>ROUND(BR66,0)</f>
        <v>76229</v>
      </c>
      <c r="J800" s="282">
        <f>ROUND(BR67,0)</f>
        <v>6365</v>
      </c>
      <c r="K800" s="282">
        <f>ROUND(BR68,0)</f>
        <v>0</v>
      </c>
      <c r="L800" s="282">
        <f>ROUND(BR70,0)</f>
        <v>26475</v>
      </c>
      <c r="M800" s="282">
        <f>ROUND(BR71,0)</f>
        <v>852230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nty*172*8660*A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nty*172*8670*A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nty*172*8680*A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nty*172*8690*A</v>
      </c>
      <c r="B804" s="282"/>
      <c r="C804" s="285">
        <f>ROUND(BV60,2)</f>
        <v>3.38</v>
      </c>
      <c r="D804" s="282">
        <f>ROUND(BV61,0)</f>
        <v>243433</v>
      </c>
      <c r="E804" s="282">
        <f>ROUND(BV62,0)</f>
        <v>58547</v>
      </c>
      <c r="F804" s="282">
        <f>ROUND(BV63,0)</f>
        <v>204095</v>
      </c>
      <c r="G804" s="282">
        <f>ROUND(BV64,0)</f>
        <v>3220</v>
      </c>
      <c r="H804" s="282">
        <f>ROUND(BV65,0)</f>
        <v>0</v>
      </c>
      <c r="I804" s="282">
        <f>ROUND(BV66,0)</f>
        <v>41381</v>
      </c>
      <c r="J804" s="282">
        <f>ROUND(BV67,0)</f>
        <v>31314</v>
      </c>
      <c r="K804" s="282">
        <f>ROUND(BV68,0)</f>
        <v>8943</v>
      </c>
      <c r="L804" s="282">
        <f>ROUND(BV70,0)</f>
        <v>7364</v>
      </c>
      <c r="M804" s="282">
        <f>ROUND(BV71,0)</f>
        <v>584201</v>
      </c>
      <c r="N804" s="282"/>
      <c r="O804" s="282"/>
      <c r="P804" s="282">
        <f>IF(BV77&gt;0,ROUND(BV77,0),0)</f>
        <v>0</v>
      </c>
      <c r="Q804" s="282">
        <f>IF(BV78&gt;0,ROUND(BV78,0),0)</f>
        <v>296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nty*172*8700*A</v>
      </c>
      <c r="B805" s="282"/>
      <c r="C805" s="285">
        <f>ROUND(BW60,2)</f>
        <v>3.41</v>
      </c>
      <c r="D805" s="282">
        <f>ROUND(BW61,0)</f>
        <v>590163</v>
      </c>
      <c r="E805" s="282">
        <f>ROUND(BW62,0)</f>
        <v>141938</v>
      </c>
      <c r="F805" s="282">
        <f>ROUND(BW63,0)</f>
        <v>1193155</v>
      </c>
      <c r="G805" s="282">
        <f>ROUND(BW64,0)</f>
        <v>2076</v>
      </c>
      <c r="H805" s="282">
        <f>ROUND(BW65,0)</f>
        <v>960</v>
      </c>
      <c r="I805" s="282">
        <f>ROUND(BW66,0)</f>
        <v>27817</v>
      </c>
      <c r="J805" s="282">
        <f>ROUND(BW67,0)</f>
        <v>3472</v>
      </c>
      <c r="K805" s="282">
        <f>ROUND(BW68,0)</f>
        <v>0</v>
      </c>
      <c r="L805" s="282">
        <f>ROUND(BW70,0)</f>
        <v>247224</v>
      </c>
      <c r="M805" s="282">
        <f>ROUND(BW71,0)</f>
        <v>1731762</v>
      </c>
      <c r="N805" s="282"/>
      <c r="O805" s="282"/>
      <c r="P805" s="282">
        <f>IF(BW77&gt;0,ROUND(BW77,0),0)</f>
        <v>0</v>
      </c>
      <c r="Q805" s="282">
        <f>IF(BW78&gt;0,ROUND(BW78,0),0)</f>
        <v>33</v>
      </c>
      <c r="R805" s="282">
        <f>IF(BW79&gt;0,ROUND(BW79,0),0)</f>
        <v>1264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nty*172*8710*A</v>
      </c>
      <c r="B806" s="282"/>
      <c r="C806" s="285">
        <f>ROUND(BX60,2)</f>
        <v>2.75</v>
      </c>
      <c r="D806" s="282">
        <f>ROUND(BX61,0)</f>
        <v>209509</v>
      </c>
      <c r="E806" s="282">
        <f>ROUND(BX62,0)</f>
        <v>50388</v>
      </c>
      <c r="F806" s="282">
        <f>ROUND(BX63,0)</f>
        <v>75267</v>
      </c>
      <c r="G806" s="282">
        <f>ROUND(BX64,0)</f>
        <v>160</v>
      </c>
      <c r="H806" s="282">
        <f>ROUND(BX65,0)</f>
        <v>480</v>
      </c>
      <c r="I806" s="282">
        <f>ROUND(BX66,0)</f>
        <v>43840</v>
      </c>
      <c r="J806" s="282">
        <f>ROUND(BX67,0)</f>
        <v>3472</v>
      </c>
      <c r="K806" s="282">
        <f>ROUND(BX68,0)</f>
        <v>0</v>
      </c>
      <c r="L806" s="282">
        <f>ROUND(BX70,0)</f>
        <v>0</v>
      </c>
      <c r="M806" s="282">
        <f>ROUND(BX71,0)</f>
        <v>391420</v>
      </c>
      <c r="N806" s="282"/>
      <c r="O806" s="282"/>
      <c r="P806" s="282">
        <f>IF(BX77&gt;0,ROUND(BX77,0),0)</f>
        <v>0</v>
      </c>
      <c r="Q806" s="282">
        <f>IF(BX78&gt;0,ROUND(BX78,0),0)</f>
        <v>33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nty*172*8720*A</v>
      </c>
      <c r="B807" s="282"/>
      <c r="C807" s="285">
        <f>ROUND(BY60,2)</f>
        <v>5.19</v>
      </c>
      <c r="D807" s="282">
        <f>ROUND(BY61,0)</f>
        <v>861389</v>
      </c>
      <c r="E807" s="282">
        <f>ROUND(BY62,0)</f>
        <v>207170</v>
      </c>
      <c r="F807" s="282">
        <f>ROUND(BY63,0)</f>
        <v>3563</v>
      </c>
      <c r="G807" s="282">
        <f>ROUND(BY64,0)</f>
        <v>1184</v>
      </c>
      <c r="H807" s="282">
        <f>ROUND(BY65,0)</f>
        <v>1115</v>
      </c>
      <c r="I807" s="282">
        <f>ROUND(BY66,0)</f>
        <v>0</v>
      </c>
      <c r="J807" s="282">
        <f>ROUND(BY67,0)</f>
        <v>3472</v>
      </c>
      <c r="K807" s="282">
        <f>ROUND(BY68,0)</f>
        <v>0</v>
      </c>
      <c r="L807" s="282">
        <f>ROUND(BY70,0)</f>
        <v>32696</v>
      </c>
      <c r="M807" s="282">
        <f>ROUND(BY71,0)</f>
        <v>1049000</v>
      </c>
      <c r="N807" s="282"/>
      <c r="O807" s="282"/>
      <c r="P807" s="282">
        <f>IF(BY77&gt;0,ROUND(BY77,0),0)</f>
        <v>0</v>
      </c>
      <c r="Q807" s="282">
        <f>IF(BY78&gt;0,ROUND(BY78,0),0)</f>
        <v>33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nty*172*8730*A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nty*172*8740*A</v>
      </c>
      <c r="B809" s="282"/>
      <c r="C809" s="285">
        <f>ROUND(CA60,2)</f>
        <v>0</v>
      </c>
      <c r="D809" s="282">
        <f>ROUND(CA61,0)</f>
        <v>0</v>
      </c>
      <c r="E809" s="282">
        <f>ROUND(CA62,0)</f>
        <v>0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0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0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nty*172*8770*A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nty*172*8790*A</v>
      </c>
      <c r="B811" s="282"/>
      <c r="C811" s="285">
        <f>ROUND(CC60,2)</f>
        <v>0</v>
      </c>
      <c r="D811" s="282">
        <f>ROUND(CC61,0)</f>
        <v>0</v>
      </c>
      <c r="E811" s="282">
        <f>ROUND(CC62,0)</f>
        <v>0</v>
      </c>
      <c r="F811" s="282">
        <f>ROUND(CC63,0)</f>
        <v>0</v>
      </c>
      <c r="G811" s="282">
        <f>ROUND(CC64,0)</f>
        <v>0</v>
      </c>
      <c r="H811" s="282">
        <f>ROUND(CC65,0)</f>
        <v>0</v>
      </c>
      <c r="I811" s="282">
        <f>ROUND(CC66,0)</f>
        <v>0</v>
      </c>
      <c r="J811" s="282">
        <f>ROUND(CC67,0)</f>
        <v>584432</v>
      </c>
      <c r="K811" s="282">
        <f>ROUND(CC68,0)</f>
        <v>0</v>
      </c>
      <c r="L811" s="282">
        <f>ROUND(CC70,0)</f>
        <v>0</v>
      </c>
      <c r="M811" s="282">
        <f>ROUND(CC71,0)</f>
        <v>584432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nty*172*9000*A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7166326</v>
      </c>
      <c r="V812" s="180">
        <f>ROUND(CD69,0)</f>
        <v>1525046</v>
      </c>
      <c r="W812" s="180">
        <f>ROUND(CD71,0)</f>
        <v>-5641280</v>
      </c>
      <c r="X812" s="282">
        <f>ROUND(CE73,0)</f>
        <v>27773854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2">
        <f t="shared" ref="C814:K814" si="22">SUM(C733:C812)</f>
        <v>351.80000000000013</v>
      </c>
      <c r="D814" s="180">
        <f t="shared" si="22"/>
        <v>31519203</v>
      </c>
      <c r="E814" s="180">
        <f t="shared" si="22"/>
        <v>7580578</v>
      </c>
      <c r="F814" s="180">
        <f t="shared" si="22"/>
        <v>5343108</v>
      </c>
      <c r="G814" s="180">
        <f t="shared" si="22"/>
        <v>11471442</v>
      </c>
      <c r="H814" s="180">
        <f t="shared" si="22"/>
        <v>749575</v>
      </c>
      <c r="I814" s="180">
        <f t="shared" si="22"/>
        <v>3560333</v>
      </c>
      <c r="J814" s="180">
        <f t="shared" si="22"/>
        <v>2786236</v>
      </c>
      <c r="K814" s="180">
        <f t="shared" si="22"/>
        <v>602979</v>
      </c>
      <c r="L814" s="180">
        <f>SUM(L733:L812)+SUM(U733:U812)</f>
        <v>8399492</v>
      </c>
      <c r="M814" s="180">
        <f>SUM(M733:M812)+SUM(W733:W812)</f>
        <v>57568359</v>
      </c>
      <c r="N814" s="180">
        <f t="shared" ref="N814:Z814" si="23">SUM(N733:N812)</f>
        <v>63654</v>
      </c>
      <c r="O814" s="180">
        <f t="shared" si="23"/>
        <v>102007209</v>
      </c>
      <c r="P814" s="180">
        <f t="shared" si="23"/>
        <v>74821</v>
      </c>
      <c r="Q814" s="180">
        <f t="shared" si="23"/>
        <v>22274</v>
      </c>
      <c r="R814" s="180">
        <f t="shared" si="23"/>
        <v>300407</v>
      </c>
      <c r="S814" s="180">
        <f t="shared" si="23"/>
        <v>77</v>
      </c>
      <c r="T814" s="262">
        <f t="shared" si="23"/>
        <v>0</v>
      </c>
      <c r="U814" s="180">
        <f t="shared" si="23"/>
        <v>7166326</v>
      </c>
      <c r="V814" s="180">
        <f t="shared" si="23"/>
        <v>1525046</v>
      </c>
      <c r="W814" s="180">
        <f t="shared" si="23"/>
        <v>-5641280</v>
      </c>
      <c r="X814" s="180">
        <f t="shared" si="23"/>
        <v>27773854</v>
      </c>
      <c r="Y814" s="180">
        <f t="shared" si="23"/>
        <v>0</v>
      </c>
      <c r="Z814" s="180">
        <f t="shared" si="23"/>
        <v>12262850</v>
      </c>
    </row>
    <row r="815" spans="1:26" ht="12.65" customHeight="1" x14ac:dyDescent="0.3">
      <c r="B815" s="180" t="s">
        <v>1005</v>
      </c>
      <c r="C815" s="262">
        <f>CE60</f>
        <v>351.80000000000013</v>
      </c>
      <c r="D815" s="180">
        <f>CE61</f>
        <v>31519203</v>
      </c>
      <c r="E815" s="180">
        <f>CE62</f>
        <v>7580578</v>
      </c>
      <c r="F815" s="180">
        <f>CE63</f>
        <v>5343108</v>
      </c>
      <c r="G815" s="180">
        <f>CE64</f>
        <v>11471442</v>
      </c>
      <c r="H815" s="239">
        <f>CE65</f>
        <v>749575</v>
      </c>
      <c r="I815" s="239">
        <f>CE66</f>
        <v>3560333</v>
      </c>
      <c r="J815" s="239">
        <f>CE67</f>
        <v>2786236</v>
      </c>
      <c r="K815" s="239">
        <f>CE68</f>
        <v>602979</v>
      </c>
      <c r="L815" s="239">
        <f>CE70</f>
        <v>8399492</v>
      </c>
      <c r="M815" s="239">
        <f>CE71</f>
        <v>57568359</v>
      </c>
      <c r="N815" s="180">
        <f>CE76</f>
        <v>120387</v>
      </c>
      <c r="O815" s="180">
        <f>CE74</f>
        <v>102007209</v>
      </c>
      <c r="P815" s="180">
        <f>CE77</f>
        <v>74821.38</v>
      </c>
      <c r="Q815" s="180">
        <f>CE78</f>
        <v>22274</v>
      </c>
      <c r="R815" s="180">
        <f>CE79</f>
        <v>300407</v>
      </c>
      <c r="S815" s="180">
        <f>CE80</f>
        <v>76.243200961538463</v>
      </c>
      <c r="T815" s="262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12270435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31519203</v>
      </c>
      <c r="G816" s="239">
        <f>C379</f>
        <v>7580580</v>
      </c>
      <c r="H816" s="239">
        <f>C380</f>
        <v>5343108</v>
      </c>
      <c r="I816" s="239">
        <f>C381</f>
        <v>11471442</v>
      </c>
      <c r="J816" s="239">
        <f>C382</f>
        <v>749575</v>
      </c>
      <c r="K816" s="239">
        <f>C383</f>
        <v>3560333</v>
      </c>
      <c r="L816" s="239">
        <f>C384+C385+C386+C388</f>
        <v>4221579</v>
      </c>
      <c r="M816" s="239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18" sqref="F18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Public Hospital District #1-A of Whitman County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H-172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835 SE Bishop Blvd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835 SE Bishop Blvd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Pullman WA 99163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H-172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Public Hospital District #1-A of Whitman County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Whitman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Scott K Adams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Steven D Febus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Jeff Elbracht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509-332-2541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509-332-4242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1113</v>
      </c>
      <c r="G23" s="21">
        <f>data!D111</f>
        <v>3475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8</v>
      </c>
      <c r="G24" s="21">
        <f>data!D112</f>
        <v>64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361</v>
      </c>
      <c r="G26" s="13">
        <f>data!D114</f>
        <v>668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2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8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84602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Public Hospital District #1-A of Whitman County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429</v>
      </c>
      <c r="C7" s="48">
        <f>data!B139</f>
        <v>1464</v>
      </c>
      <c r="D7" s="48">
        <f>data!B140</f>
        <v>24720</v>
      </c>
      <c r="E7" s="48">
        <f>data!B141</f>
        <v>12625383</v>
      </c>
      <c r="F7" s="48">
        <f>data!B142</f>
        <v>40785117</v>
      </c>
      <c r="G7" s="48">
        <f>data!B141+data!B142</f>
        <v>53410500</v>
      </c>
    </row>
    <row r="8" spans="1:13" ht="20.149999999999999" customHeight="1" x14ac:dyDescent="0.35">
      <c r="A8" s="23" t="s">
        <v>297</v>
      </c>
      <c r="B8" s="48">
        <f>data!C138</f>
        <v>69</v>
      </c>
      <c r="C8" s="48">
        <f>data!C139</f>
        <v>250</v>
      </c>
      <c r="D8" s="48">
        <f>data!C140</f>
        <v>11081</v>
      </c>
      <c r="E8" s="48">
        <f>data!C141</f>
        <v>4368815</v>
      </c>
      <c r="F8" s="48">
        <f>data!C142</f>
        <v>15687644</v>
      </c>
      <c r="G8" s="48">
        <f>data!C141+data!C142</f>
        <v>20056459</v>
      </c>
    </row>
    <row r="9" spans="1:13" ht="20.149999999999999" customHeight="1" x14ac:dyDescent="0.35">
      <c r="A9" s="23" t="s">
        <v>1058</v>
      </c>
      <c r="B9" s="48">
        <f>data!D138</f>
        <v>615</v>
      </c>
      <c r="C9" s="48">
        <f>data!D139</f>
        <v>1761</v>
      </c>
      <c r="D9" s="48">
        <f>data!D140</f>
        <v>49441</v>
      </c>
      <c r="E9" s="48">
        <f>data!D141</f>
        <v>11247230</v>
      </c>
      <c r="F9" s="48">
        <f>data!D142</f>
        <v>66540708</v>
      </c>
      <c r="G9" s="48">
        <f>data!D141+data!D142</f>
        <v>77787938</v>
      </c>
    </row>
    <row r="10" spans="1:13" ht="20.149999999999999" customHeight="1" x14ac:dyDescent="0.35">
      <c r="A10" s="111" t="s">
        <v>203</v>
      </c>
      <c r="B10" s="48">
        <f>data!E138</f>
        <v>1113</v>
      </c>
      <c r="C10" s="48">
        <f>data!E139</f>
        <v>3475</v>
      </c>
      <c r="D10" s="48">
        <f>data!E140</f>
        <v>85242</v>
      </c>
      <c r="E10" s="48">
        <f>data!E141</f>
        <v>28241428</v>
      </c>
      <c r="F10" s="48">
        <f>data!E142</f>
        <v>123013469</v>
      </c>
      <c r="G10" s="48">
        <f>data!E141+data!E142</f>
        <v>151254897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8</v>
      </c>
      <c r="C16" s="48">
        <f>data!B145</f>
        <v>64</v>
      </c>
      <c r="D16" s="48">
        <f>data!B146</f>
        <v>0</v>
      </c>
      <c r="E16" s="48">
        <f>data!B147</f>
        <v>84602</v>
      </c>
      <c r="F16" s="48">
        <f>data!B148</f>
        <v>0</v>
      </c>
      <c r="G16" s="48">
        <f>data!B147+data!B148</f>
        <v>84602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8</v>
      </c>
      <c r="C19" s="48">
        <f>data!E145</f>
        <v>64</v>
      </c>
      <c r="D19" s="48">
        <f>data!E146</f>
        <v>0</v>
      </c>
      <c r="E19" s="48">
        <f>data!E147</f>
        <v>84602</v>
      </c>
      <c r="F19" s="48">
        <f>data!E148</f>
        <v>0</v>
      </c>
      <c r="G19" s="48">
        <f>data!E147+data!E148</f>
        <v>84602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7026686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6270081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Public Hospital District #1-A of Whitman County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2348517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34980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159615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4033004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11184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1008719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1028036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8624055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201454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499890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701344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126727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156513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283240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2268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784958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787226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491596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667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492263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Public Hospital District #1-A of Whitman County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1813305</v>
      </c>
      <c r="D7" s="21">
        <f>data!C195</f>
        <v>0</v>
      </c>
      <c r="E7" s="21">
        <f>data!D195</f>
        <v>0</v>
      </c>
      <c r="F7" s="21">
        <f>data!E195</f>
        <v>1813305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3693473</v>
      </c>
      <c r="D8" s="21">
        <f>data!C196</f>
        <v>111850</v>
      </c>
      <c r="E8" s="21">
        <f>data!D196</f>
        <v>32535</v>
      </c>
      <c r="F8" s="21">
        <f>data!E196</f>
        <v>3772788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18503275.370000001</v>
      </c>
      <c r="D9" s="21">
        <f>data!C197</f>
        <v>0</v>
      </c>
      <c r="E9" s="21">
        <f>data!D197</f>
        <v>82983</v>
      </c>
      <c r="F9" s="21">
        <f>data!E197</f>
        <v>18420292.370000001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15793528.35</v>
      </c>
      <c r="D10" s="21">
        <f>data!C198</f>
        <v>29155</v>
      </c>
      <c r="E10" s="21">
        <f>data!D198</f>
        <v>46349</v>
      </c>
      <c r="F10" s="21">
        <f>data!E198</f>
        <v>15776334.35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1055890.2</v>
      </c>
      <c r="D11" s="21">
        <f>data!C199</f>
        <v>0</v>
      </c>
      <c r="E11" s="21">
        <f>data!D199</f>
        <v>2639</v>
      </c>
      <c r="F11" s="21">
        <f>data!E199</f>
        <v>1053251.2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15652434.579999998</v>
      </c>
      <c r="D12" s="21">
        <f>data!C200</f>
        <v>1995808</v>
      </c>
      <c r="E12" s="21">
        <f>data!D200</f>
        <v>1100129</v>
      </c>
      <c r="F12" s="21">
        <f>data!E200</f>
        <v>16548113.579999998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104566</v>
      </c>
      <c r="E14" s="21">
        <f>data!D202</f>
        <v>0</v>
      </c>
      <c r="F14" s="21">
        <f>data!E202</f>
        <v>104566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71148</v>
      </c>
      <c r="D15" s="21">
        <f>data!C203</f>
        <v>1943653</v>
      </c>
      <c r="E15" s="21">
        <f>data!D203</f>
        <v>680205</v>
      </c>
      <c r="F15" s="21">
        <f>data!E203</f>
        <v>1334596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56583054.5</v>
      </c>
      <c r="D16" s="21">
        <f>data!C204</f>
        <v>4185032</v>
      </c>
      <c r="E16" s="21">
        <f>data!D204</f>
        <v>1944840</v>
      </c>
      <c r="F16" s="21">
        <f>data!E204</f>
        <v>58823246.5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1915178.23</v>
      </c>
      <c r="D24" s="21">
        <f>data!C209</f>
        <v>106159</v>
      </c>
      <c r="E24" s="21">
        <f>data!D209</f>
        <v>32535</v>
      </c>
      <c r="F24" s="21">
        <f>data!E209</f>
        <v>1988802.23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4926429.040000001</v>
      </c>
      <c r="D25" s="21">
        <f>data!C210</f>
        <v>747868</v>
      </c>
      <c r="E25" s="21">
        <f>data!D210</f>
        <v>82983</v>
      </c>
      <c r="F25" s="21">
        <f>data!E210</f>
        <v>5591314.040000001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12349054.51</v>
      </c>
      <c r="D26" s="21">
        <f>data!C211</f>
        <v>498135</v>
      </c>
      <c r="E26" s="21">
        <f>data!D211</f>
        <v>46349</v>
      </c>
      <c r="F26" s="21">
        <f>data!E211</f>
        <v>12800840.51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924343.74</v>
      </c>
      <c r="D27" s="21">
        <f>data!C212</f>
        <v>14303</v>
      </c>
      <c r="E27" s="21">
        <f>data!D212</f>
        <v>2639</v>
      </c>
      <c r="F27" s="21">
        <f>data!E212</f>
        <v>936007.74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11705954.390000001</v>
      </c>
      <c r="D28" s="21">
        <f>data!C213</f>
        <v>1259666</v>
      </c>
      <c r="E28" s="21">
        <f>data!D213</f>
        <v>1088513</v>
      </c>
      <c r="F28" s="21">
        <f>data!E213</f>
        <v>11877107.390000001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8341</v>
      </c>
      <c r="E30" s="21">
        <f>data!D215</f>
        <v>0</v>
      </c>
      <c r="F30" s="21">
        <f>data!E215</f>
        <v>8341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31820959.91</v>
      </c>
      <c r="D32" s="21">
        <f>data!C217</f>
        <v>2634472</v>
      </c>
      <c r="E32" s="21">
        <f>data!D217</f>
        <v>1253019</v>
      </c>
      <c r="F32" s="21">
        <f>data!E217</f>
        <v>33202412.91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Public Hospital District #1-A of Whitman County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740675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28319452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10846897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724891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706446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31078364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71676050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1304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122877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589590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712467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261987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346129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73737308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Public Hospital District #1-A of Whitman County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9143653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19491602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10566232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2127078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2323002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828294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23347397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27624159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27624159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1813305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3772788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18420292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15776334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1053251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16548114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104566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1334596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58823246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33202412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25620834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590370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8698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599068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77191458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Public Hospital District #1-A of Whitman County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2093741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3857285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1220000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258990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7430016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1856854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10781950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7008155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19646959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19646959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50114483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50114483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77191458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Public Hospital District #1-A of Whitman County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28326030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123013468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151339498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740675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71676050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712467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608116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73737308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77602190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2989976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1226000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4215976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81818166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33345089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8624055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5764981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12049959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793670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4065224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2634471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701344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283240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787266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492263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1014854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70556416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11261750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-4194469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7067281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7067281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Public Hospital District #1-A of Whitman County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740</v>
      </c>
      <c r="D9" s="14">
        <f>data!D59</f>
        <v>0</v>
      </c>
      <c r="E9" s="14">
        <f>data!E59</f>
        <v>2735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12.93</v>
      </c>
      <c r="D10" s="26">
        <f>data!D60</f>
        <v>0</v>
      </c>
      <c r="E10" s="26">
        <f>data!E60</f>
        <v>23.46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1292253</v>
      </c>
      <c r="D11" s="14">
        <f>data!D61</f>
        <v>0</v>
      </c>
      <c r="E11" s="14">
        <f>data!E61</f>
        <v>2925947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334216</v>
      </c>
      <c r="D12" s="14">
        <f>data!D62</f>
        <v>0</v>
      </c>
      <c r="E12" s="14">
        <f>data!E62</f>
        <v>756739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51213</v>
      </c>
      <c r="D13" s="14">
        <f>data!D63</f>
        <v>0</v>
      </c>
      <c r="E13" s="14">
        <f>data!E63</f>
        <v>207203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86946</v>
      </c>
      <c r="D14" s="14">
        <f>data!D64</f>
        <v>0</v>
      </c>
      <c r="E14" s="14">
        <f>data!E64</f>
        <v>117092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480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28224</v>
      </c>
      <c r="D16" s="14">
        <f>data!D66</f>
        <v>0</v>
      </c>
      <c r="E16" s="14">
        <f>data!E66</f>
        <v>25684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84621</v>
      </c>
      <c r="D17" s="14">
        <f>data!D67</f>
        <v>0</v>
      </c>
      <c r="E17" s="14">
        <f>data!E67</f>
        <v>141834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12430</v>
      </c>
      <c r="D18" s="14">
        <f>data!D68</f>
        <v>0</v>
      </c>
      <c r="E18" s="14">
        <f>data!E68</f>
        <v>54934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3093</v>
      </c>
      <c r="D19" s="14">
        <f>data!D69</f>
        <v>0</v>
      </c>
      <c r="E19" s="14">
        <f>data!E69</f>
        <v>2202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-5160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1888316</v>
      </c>
      <c r="D21" s="14">
        <f>data!D71</f>
        <v>0</v>
      </c>
      <c r="E21" s="14">
        <f>data!E71</f>
        <v>4231635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1025945</v>
      </c>
      <c r="D23" s="48">
        <f>+data!M669</f>
        <v>0</v>
      </c>
      <c r="E23" s="48">
        <f>+data!M670</f>
        <v>2078413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1742255</v>
      </c>
      <c r="D24" s="14">
        <f>data!D73</f>
        <v>0</v>
      </c>
      <c r="E24" s="14">
        <f>data!E73</f>
        <v>3737773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1039602</v>
      </c>
      <c r="D25" s="14">
        <f>data!D74</f>
        <v>0</v>
      </c>
      <c r="E25" s="14">
        <f>data!E74</f>
        <v>3796965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2781857</v>
      </c>
      <c r="D26" s="14">
        <f>data!D75</f>
        <v>0</v>
      </c>
      <c r="E26" s="14">
        <f>data!E75</f>
        <v>7534738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4094</v>
      </c>
      <c r="D28" s="14">
        <f>data!D76</f>
        <v>0</v>
      </c>
      <c r="E28" s="14">
        <f>data!E76</f>
        <v>6862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5048</v>
      </c>
      <c r="D29" s="14">
        <f>data!D77</f>
        <v>0</v>
      </c>
      <c r="E29" s="14">
        <f>data!E77</f>
        <v>8800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815</v>
      </c>
      <c r="D30" s="14">
        <f>data!D78</f>
        <v>0</v>
      </c>
      <c r="E30" s="14">
        <f>data!E78</f>
        <v>3260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18931</v>
      </c>
      <c r="D31" s="14">
        <f>data!D79</f>
        <v>0</v>
      </c>
      <c r="E31" s="14">
        <f>data!E79</f>
        <v>56794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9.5399999999999991</v>
      </c>
      <c r="D32" s="84">
        <f>data!D80</f>
        <v>0</v>
      </c>
      <c r="E32" s="84">
        <f>data!E80</f>
        <v>13.96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Public Hospital District #1-A of Whitman County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668</v>
      </c>
      <c r="D41" s="14">
        <f>data!K59</f>
        <v>0</v>
      </c>
      <c r="E41" s="14">
        <f>data!L59</f>
        <v>64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240792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19.37</v>
      </c>
      <c r="I42" s="26">
        <f>data!P60</f>
        <v>49.05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1971766</v>
      </c>
      <c r="I43" s="14">
        <f>data!P61</f>
        <v>4441281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509959</v>
      </c>
      <c r="I44" s="14">
        <f>data!P62</f>
        <v>1148650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1294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119328</v>
      </c>
      <c r="I46" s="14">
        <f>data!P64</f>
        <v>1222416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480</v>
      </c>
      <c r="I47" s="14">
        <f>data!P65</f>
        <v>1640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64633</v>
      </c>
      <c r="I48" s="14">
        <f>data!P66</f>
        <v>494664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169386</v>
      </c>
      <c r="I49" s="14">
        <f>data!P67</f>
        <v>327115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28687</v>
      </c>
      <c r="I50" s="14">
        <f>data!P68</f>
        <v>77709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5359</v>
      </c>
      <c r="I51" s="14">
        <f>data!P69</f>
        <v>16652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-3765</v>
      </c>
      <c r="I52" s="14">
        <f>-data!P70</f>
        <v>-11880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2865833</v>
      </c>
      <c r="I53" s="14">
        <f>data!P71</f>
        <v>7719541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48164</v>
      </c>
      <c r="D55" s="48">
        <f>+data!M676</f>
        <v>0</v>
      </c>
      <c r="E55" s="48">
        <f>+data!M677</f>
        <v>4632</v>
      </c>
      <c r="F55" s="48">
        <f>+data!M678</f>
        <v>0</v>
      </c>
      <c r="G55" s="48">
        <f>+data!M679</f>
        <v>0</v>
      </c>
      <c r="H55" s="48">
        <f>+data!M680</f>
        <v>1392764</v>
      </c>
      <c r="I55" s="48">
        <f>+data!M681</f>
        <v>2950019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485460</v>
      </c>
      <c r="D56" s="14">
        <f>data!K73</f>
        <v>0</v>
      </c>
      <c r="E56" s="14">
        <f>data!L73</f>
        <v>84602</v>
      </c>
      <c r="F56" s="14">
        <f>data!M73</f>
        <v>0</v>
      </c>
      <c r="G56" s="14">
        <f>data!N73</f>
        <v>0</v>
      </c>
      <c r="H56" s="14">
        <f>data!O73</f>
        <v>2565437</v>
      </c>
      <c r="I56" s="14">
        <f>data!P73</f>
        <v>4069313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574178</v>
      </c>
      <c r="I57" s="14">
        <f>data!P74</f>
        <v>16309397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485460</v>
      </c>
      <c r="D58" s="14">
        <f>data!K75</f>
        <v>0</v>
      </c>
      <c r="E58" s="14">
        <f>data!L75</f>
        <v>84602</v>
      </c>
      <c r="F58" s="14">
        <f>data!M75</f>
        <v>0</v>
      </c>
      <c r="G58" s="14">
        <f>data!N75</f>
        <v>0</v>
      </c>
      <c r="H58" s="14">
        <f>data!O75</f>
        <v>3139615</v>
      </c>
      <c r="I58" s="14">
        <f>data!P75</f>
        <v>20378710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8195</v>
      </c>
      <c r="I60" s="14">
        <f>data!P76</f>
        <v>15826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4464</v>
      </c>
      <c r="I61" s="14">
        <f>data!P77</f>
        <v>2421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2445</v>
      </c>
      <c r="I62" s="14">
        <f>data!P78</f>
        <v>1902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22087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44173</v>
      </c>
      <c r="I63" s="14">
        <f>data!P79</f>
        <v>56794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14.73</v>
      </c>
      <c r="I64" s="26">
        <f>data!P80</f>
        <v>26.68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Public Hospital District #1-A of Whitman County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102401</v>
      </c>
      <c r="D73" s="48">
        <f>data!R59</f>
        <v>184500</v>
      </c>
      <c r="E73" s="212"/>
      <c r="F73" s="212"/>
      <c r="G73" s="14">
        <f>data!U59</f>
        <v>129346</v>
      </c>
      <c r="H73" s="14">
        <f>data!V59</f>
        <v>3998</v>
      </c>
      <c r="I73" s="14">
        <f>data!W59</f>
        <v>2590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14.81</v>
      </c>
      <c r="H74" s="26">
        <f>data!V60</f>
        <v>0</v>
      </c>
      <c r="I74" s="26">
        <f>data!W60</f>
        <v>3.46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1031453</v>
      </c>
      <c r="H75" s="14">
        <f>data!V61</f>
        <v>0</v>
      </c>
      <c r="I75" s="14">
        <f>data!W61</f>
        <v>316724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266765</v>
      </c>
      <c r="H76" s="14">
        <f>data!V62</f>
        <v>0</v>
      </c>
      <c r="I76" s="14">
        <f>data!W62</f>
        <v>81914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441793</v>
      </c>
      <c r="E77" s="14">
        <f>data!S63</f>
        <v>0</v>
      </c>
      <c r="F77" s="14">
        <f>data!T63</f>
        <v>0</v>
      </c>
      <c r="G77" s="14">
        <f>data!U63</f>
        <v>871993</v>
      </c>
      <c r="H77" s="14">
        <f>data!V63</f>
        <v>0</v>
      </c>
      <c r="I77" s="14">
        <f>data!W63</f>
        <v>44146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28673</v>
      </c>
      <c r="D78" s="14">
        <f>data!R64</f>
        <v>127127</v>
      </c>
      <c r="E78" s="14">
        <f>data!S64</f>
        <v>4896219</v>
      </c>
      <c r="F78" s="14">
        <f>data!T64</f>
        <v>0</v>
      </c>
      <c r="G78" s="14">
        <f>data!U64</f>
        <v>894185</v>
      </c>
      <c r="H78" s="14">
        <f>data!V64</f>
        <v>0</v>
      </c>
      <c r="I78" s="14">
        <f>data!W64</f>
        <v>8789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960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328</v>
      </c>
      <c r="D80" s="14">
        <f>data!R66</f>
        <v>2281</v>
      </c>
      <c r="E80" s="14">
        <f>data!S66</f>
        <v>0</v>
      </c>
      <c r="F80" s="14">
        <f>data!T66</f>
        <v>0</v>
      </c>
      <c r="G80" s="14">
        <f>data!U66</f>
        <v>121469</v>
      </c>
      <c r="H80" s="14">
        <f>data!V66</f>
        <v>0</v>
      </c>
      <c r="I80" s="14">
        <f>data!W66</f>
        <v>167758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28193</v>
      </c>
      <c r="F81" s="14">
        <f>data!T67</f>
        <v>0</v>
      </c>
      <c r="G81" s="14">
        <f>data!U67</f>
        <v>42434</v>
      </c>
      <c r="H81" s="14">
        <f>data!V67</f>
        <v>8061</v>
      </c>
      <c r="I81" s="14">
        <f>data!W67</f>
        <v>13104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63093</v>
      </c>
      <c r="F82" s="14">
        <f>data!T68</f>
        <v>0</v>
      </c>
      <c r="G82" s="14">
        <f>data!U68</f>
        <v>3059</v>
      </c>
      <c r="H82" s="14">
        <f>data!V68</f>
        <v>0</v>
      </c>
      <c r="I82" s="14">
        <f>data!W68</f>
        <v>33300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100563</v>
      </c>
      <c r="F83" s="14">
        <f>data!T69</f>
        <v>0</v>
      </c>
      <c r="G83" s="14">
        <f>data!U69</f>
        <v>6856</v>
      </c>
      <c r="H83" s="14">
        <f>data!V69</f>
        <v>0</v>
      </c>
      <c r="I83" s="14">
        <f>data!W69</f>
        <v>6100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-6757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29001</v>
      </c>
      <c r="D85" s="14">
        <f>data!R71</f>
        <v>571201</v>
      </c>
      <c r="E85" s="14">
        <f>data!S71</f>
        <v>5081311</v>
      </c>
      <c r="F85" s="14">
        <f>data!T71</f>
        <v>0</v>
      </c>
      <c r="G85" s="14">
        <f>data!U71</f>
        <v>3239174</v>
      </c>
      <c r="H85" s="14">
        <f>data!V71</f>
        <v>8061</v>
      </c>
      <c r="I85" s="14">
        <f>data!W71</f>
        <v>671835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94845</v>
      </c>
      <c r="D87" s="48">
        <f>+data!M683</f>
        <v>304705</v>
      </c>
      <c r="E87" s="48">
        <f>+data!M684</f>
        <v>1664623</v>
      </c>
      <c r="F87" s="48">
        <f>+data!M685</f>
        <v>0</v>
      </c>
      <c r="G87" s="48">
        <f>+data!M686</f>
        <v>1159638</v>
      </c>
      <c r="H87" s="48">
        <f>+data!M687</f>
        <v>50763</v>
      </c>
      <c r="I87" s="48">
        <f>+data!M688</f>
        <v>423285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341422</v>
      </c>
      <c r="D88" s="14">
        <f>data!R73</f>
        <v>1213108</v>
      </c>
      <c r="E88" s="14">
        <f>data!S73</f>
        <v>5701565</v>
      </c>
      <c r="F88" s="14">
        <f>data!T73</f>
        <v>0</v>
      </c>
      <c r="G88" s="14">
        <f>data!U73</f>
        <v>1938700</v>
      </c>
      <c r="H88" s="14">
        <f>data!V73</f>
        <v>49223</v>
      </c>
      <c r="I88" s="14">
        <f>data!W73</f>
        <v>60230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1330510</v>
      </c>
      <c r="D89" s="14">
        <f>data!R74</f>
        <v>3647843</v>
      </c>
      <c r="E89" s="14">
        <f>data!S74</f>
        <v>13531079</v>
      </c>
      <c r="F89" s="14">
        <f>data!T74</f>
        <v>0</v>
      </c>
      <c r="G89" s="14">
        <f>data!U74</f>
        <v>12216159</v>
      </c>
      <c r="H89" s="14">
        <f>data!V74</f>
        <v>586625</v>
      </c>
      <c r="I89" s="14">
        <f>data!W74</f>
        <v>6385026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1671932</v>
      </c>
      <c r="D90" s="14">
        <f>data!R75</f>
        <v>4860951</v>
      </c>
      <c r="E90" s="14">
        <f>data!S75</f>
        <v>19232644</v>
      </c>
      <c r="F90" s="14">
        <f>data!T75</f>
        <v>0</v>
      </c>
      <c r="G90" s="14">
        <f>data!U75</f>
        <v>14154859</v>
      </c>
      <c r="H90" s="14">
        <f>data!V75</f>
        <v>635848</v>
      </c>
      <c r="I90" s="14">
        <f>data!W75</f>
        <v>6445256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1364</v>
      </c>
      <c r="F92" s="14">
        <f>data!T76</f>
        <v>0</v>
      </c>
      <c r="G92" s="14">
        <f>data!U76</f>
        <v>2053</v>
      </c>
      <c r="H92" s="14">
        <f>data!V76</f>
        <v>390</v>
      </c>
      <c r="I92" s="14">
        <f>data!W76</f>
        <v>634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815</v>
      </c>
      <c r="H94" s="14">
        <f>data!V78</f>
        <v>70</v>
      </c>
      <c r="I94" s="14">
        <f>data!W78</f>
        <v>114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9466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Public Hospital District #1-A of Whitman County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5648</v>
      </c>
      <c r="D105" s="14">
        <f>data!Y59</f>
        <v>25055</v>
      </c>
      <c r="E105" s="14">
        <f>data!Z59</f>
        <v>0</v>
      </c>
      <c r="F105" s="14">
        <f>data!AA59</f>
        <v>1146</v>
      </c>
      <c r="G105" s="212"/>
      <c r="H105" s="14">
        <f>data!AC59</f>
        <v>12709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0.92</v>
      </c>
      <c r="D106" s="26">
        <f>data!Y60</f>
        <v>21.57</v>
      </c>
      <c r="E106" s="26">
        <f>data!Z60</f>
        <v>0</v>
      </c>
      <c r="F106" s="26">
        <f>data!AA60</f>
        <v>2.11</v>
      </c>
      <c r="G106" s="26">
        <f>data!AB60</f>
        <v>6.35</v>
      </c>
      <c r="H106" s="26">
        <f>data!AC60</f>
        <v>10.68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76100</v>
      </c>
      <c r="D107" s="14">
        <f>data!Y61</f>
        <v>1776291</v>
      </c>
      <c r="E107" s="14">
        <f>data!Z61</f>
        <v>0</v>
      </c>
      <c r="F107" s="14">
        <f>data!AA61</f>
        <v>237474</v>
      </c>
      <c r="G107" s="14">
        <f>data!AB61</f>
        <v>745687</v>
      </c>
      <c r="H107" s="14">
        <f>data!AC61</f>
        <v>910530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19682</v>
      </c>
      <c r="D108" s="14">
        <f>data!Y62</f>
        <v>459403</v>
      </c>
      <c r="E108" s="14">
        <f>data!Z62</f>
        <v>0</v>
      </c>
      <c r="F108" s="14">
        <f>data!AA62</f>
        <v>61418</v>
      </c>
      <c r="G108" s="14">
        <f>data!AB62</f>
        <v>192857</v>
      </c>
      <c r="H108" s="14">
        <f>data!AC62</f>
        <v>235491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311062</v>
      </c>
      <c r="E109" s="14">
        <f>data!Z63</f>
        <v>0</v>
      </c>
      <c r="F109" s="14">
        <f>data!AA63</f>
        <v>223395</v>
      </c>
      <c r="G109" s="14">
        <f>data!AB63</f>
        <v>67256</v>
      </c>
      <c r="H109" s="14">
        <f>data!AC63</f>
        <v>17637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18577</v>
      </c>
      <c r="D110" s="14">
        <f>data!Y64</f>
        <v>137764</v>
      </c>
      <c r="E110" s="14">
        <f>data!Z64</f>
        <v>0</v>
      </c>
      <c r="F110" s="14">
        <f>data!AA64</f>
        <v>242907</v>
      </c>
      <c r="G110" s="14">
        <f>data!AB64</f>
        <v>3065714</v>
      </c>
      <c r="H110" s="14">
        <f>data!AC64</f>
        <v>43976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520</v>
      </c>
      <c r="E111" s="14">
        <f>data!Z65</f>
        <v>0</v>
      </c>
      <c r="F111" s="14">
        <f>data!AA65</f>
        <v>0</v>
      </c>
      <c r="G111" s="14">
        <f>data!AB65</f>
        <v>22493</v>
      </c>
      <c r="H111" s="14">
        <f>data!AC65</f>
        <v>480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165906</v>
      </c>
      <c r="D112" s="14">
        <f>data!Y66</f>
        <v>312491</v>
      </c>
      <c r="E112" s="14">
        <f>data!Z66</f>
        <v>0</v>
      </c>
      <c r="F112" s="14">
        <f>data!AA66</f>
        <v>129251</v>
      </c>
      <c r="G112" s="14">
        <f>data!AB66</f>
        <v>28442</v>
      </c>
      <c r="H112" s="14">
        <f>data!AC66</f>
        <v>13171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10789</v>
      </c>
      <c r="D113" s="14">
        <f>data!Y67</f>
        <v>101983</v>
      </c>
      <c r="E113" s="14">
        <f>data!Z67</f>
        <v>0</v>
      </c>
      <c r="F113" s="14">
        <f>data!AA67</f>
        <v>7110</v>
      </c>
      <c r="G113" s="14">
        <f>data!AB67</f>
        <v>20256</v>
      </c>
      <c r="H113" s="14">
        <f>data!AC67</f>
        <v>26891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30554</v>
      </c>
      <c r="E114" s="14">
        <f>data!Z68</f>
        <v>0</v>
      </c>
      <c r="F114" s="14">
        <f>data!AA68</f>
        <v>0</v>
      </c>
      <c r="G114" s="14">
        <f>data!AB68</f>
        <v>136626</v>
      </c>
      <c r="H114" s="14">
        <f>data!AC68</f>
        <v>466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2610</v>
      </c>
      <c r="D115" s="14">
        <f>data!Y69</f>
        <v>11773</v>
      </c>
      <c r="E115" s="14">
        <f>data!Z69</f>
        <v>0</v>
      </c>
      <c r="F115" s="14">
        <f>data!AA69</f>
        <v>12246</v>
      </c>
      <c r="G115" s="14">
        <f>data!AB69</f>
        <v>7110</v>
      </c>
      <c r="H115" s="14">
        <f>data!AC69</f>
        <v>1265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-20</v>
      </c>
      <c r="E116" s="14">
        <f>-data!Z70</f>
        <v>0</v>
      </c>
      <c r="F116" s="14">
        <f>-data!AA70</f>
        <v>0</v>
      </c>
      <c r="G116" s="14">
        <f>-data!AB70</f>
        <v>-16492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293664</v>
      </c>
      <c r="D117" s="14">
        <f>data!Y71</f>
        <v>3141821</v>
      </c>
      <c r="E117" s="14">
        <f>data!Z71</f>
        <v>0</v>
      </c>
      <c r="F117" s="14">
        <f>data!AA71</f>
        <v>913801</v>
      </c>
      <c r="G117" s="14">
        <f>data!AB71</f>
        <v>4269949</v>
      </c>
      <c r="H117" s="14">
        <f>data!AC71</f>
        <v>1249907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630443</v>
      </c>
      <c r="D119" s="48">
        <f>+data!M690</f>
        <v>1136065</v>
      </c>
      <c r="E119" s="48">
        <f>+data!M691</f>
        <v>0</v>
      </c>
      <c r="F119" s="48">
        <f>+data!M692</f>
        <v>263945</v>
      </c>
      <c r="G119" s="48">
        <f>+data!M693</f>
        <v>1443635</v>
      </c>
      <c r="H119" s="48">
        <f>+data!M694</f>
        <v>371702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254665</v>
      </c>
      <c r="D120" s="14">
        <f>data!Y73</f>
        <v>549728</v>
      </c>
      <c r="E120" s="14">
        <f>data!Z73</f>
        <v>0</v>
      </c>
      <c r="F120" s="14">
        <f>data!AA73</f>
        <v>44830</v>
      </c>
      <c r="G120" s="14">
        <f>data!AB73</f>
        <v>3633965</v>
      </c>
      <c r="H120" s="14">
        <f>data!AC73</f>
        <v>1245756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10502530</v>
      </c>
      <c r="D121" s="14">
        <f>data!Y74</f>
        <v>11633566</v>
      </c>
      <c r="E121" s="14">
        <f>data!Z74</f>
        <v>0</v>
      </c>
      <c r="F121" s="14">
        <f>data!AA74</f>
        <v>3252747</v>
      </c>
      <c r="G121" s="14">
        <f>data!AB74</f>
        <v>14113826</v>
      </c>
      <c r="H121" s="14">
        <f>data!AC74</f>
        <v>2508945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10757195</v>
      </c>
      <c r="D122" s="14">
        <f>data!Y75</f>
        <v>12183294</v>
      </c>
      <c r="E122" s="14">
        <f>data!Z75</f>
        <v>0</v>
      </c>
      <c r="F122" s="14">
        <f>data!AA75</f>
        <v>3297577</v>
      </c>
      <c r="G122" s="14">
        <f>data!AB75</f>
        <v>17747791</v>
      </c>
      <c r="H122" s="14">
        <f>data!AC75</f>
        <v>3754701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522</v>
      </c>
      <c r="D124" s="14">
        <f>data!Y76</f>
        <v>4934</v>
      </c>
      <c r="E124" s="14">
        <f>data!Z76</f>
        <v>0</v>
      </c>
      <c r="F124" s="14">
        <f>data!AA76</f>
        <v>344</v>
      </c>
      <c r="G124" s="14">
        <f>data!AB76</f>
        <v>980</v>
      </c>
      <c r="H124" s="14">
        <f>data!AC76</f>
        <v>1301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118</v>
      </c>
      <c r="D126" s="14">
        <f>data!Y78</f>
        <v>1358</v>
      </c>
      <c r="E126" s="14">
        <f>data!Z78</f>
        <v>0</v>
      </c>
      <c r="F126" s="14">
        <f>data!AA78</f>
        <v>69</v>
      </c>
      <c r="G126" s="14">
        <f>data!AB78</f>
        <v>177</v>
      </c>
      <c r="H126" s="14">
        <f>data!AC78</f>
        <v>279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12621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15776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Public Hospital District #1-A of Whitman County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36568</v>
      </c>
      <c r="D137" s="14">
        <f>data!AF59</f>
        <v>0</v>
      </c>
      <c r="E137" s="14">
        <f>data!AG59</f>
        <v>12676</v>
      </c>
      <c r="F137" s="14">
        <f>data!AH59</f>
        <v>0</v>
      </c>
      <c r="G137" s="14">
        <f>data!AI59</f>
        <v>0</v>
      </c>
      <c r="H137" s="14">
        <f>data!AJ59</f>
        <v>405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40.580000000000005</v>
      </c>
      <c r="D138" s="26">
        <f>data!AF60</f>
        <v>0</v>
      </c>
      <c r="E138" s="26">
        <f>data!AG60</f>
        <v>29.07</v>
      </c>
      <c r="F138" s="26">
        <f>data!AH60</f>
        <v>0</v>
      </c>
      <c r="G138" s="26">
        <f>data!AI60</f>
        <v>0</v>
      </c>
      <c r="H138" s="26">
        <f>data!AJ60</f>
        <v>0.7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3273301</v>
      </c>
      <c r="D139" s="14">
        <f>data!AF61</f>
        <v>0</v>
      </c>
      <c r="E139" s="14">
        <f>data!AG61</f>
        <v>4985107</v>
      </c>
      <c r="F139" s="14">
        <f>data!AH61</f>
        <v>0</v>
      </c>
      <c r="G139" s="14">
        <f>data!AI61</f>
        <v>0</v>
      </c>
      <c r="H139" s="14">
        <f>data!AJ61</f>
        <v>74181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846575</v>
      </c>
      <c r="D140" s="14">
        <f>data!AF62</f>
        <v>0</v>
      </c>
      <c r="E140" s="14">
        <f>data!AG62</f>
        <v>1289300</v>
      </c>
      <c r="F140" s="14">
        <f>data!AH62</f>
        <v>0</v>
      </c>
      <c r="G140" s="14">
        <f>data!AI62</f>
        <v>0</v>
      </c>
      <c r="H140" s="14">
        <f>data!AJ62</f>
        <v>19185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18088</v>
      </c>
      <c r="D141" s="14">
        <f>data!AF63</f>
        <v>0</v>
      </c>
      <c r="E141" s="14">
        <f>data!AG63</f>
        <v>111985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86491</v>
      </c>
      <c r="D142" s="14">
        <f>data!AF64</f>
        <v>0</v>
      </c>
      <c r="E142" s="14">
        <f>data!AG64</f>
        <v>187895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30901</v>
      </c>
      <c r="D143" s="14">
        <f>data!AF65</f>
        <v>0</v>
      </c>
      <c r="E143" s="14">
        <f>data!AG65</f>
        <v>1706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86792</v>
      </c>
      <c r="D144" s="14">
        <f>data!AF66</f>
        <v>0</v>
      </c>
      <c r="E144" s="14">
        <f>data!AG66</f>
        <v>78213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289538</v>
      </c>
      <c r="D145" s="14">
        <f>data!AF67</f>
        <v>0</v>
      </c>
      <c r="E145" s="14">
        <f>data!AG67</f>
        <v>123624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17281</v>
      </c>
      <c r="D146" s="14">
        <f>data!AF68</f>
        <v>0</v>
      </c>
      <c r="E146" s="14">
        <f>data!AG68</f>
        <v>29932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33848</v>
      </c>
      <c r="D147" s="14">
        <f>data!AF69</f>
        <v>0</v>
      </c>
      <c r="E147" s="14">
        <f>data!AG69</f>
        <v>63781</v>
      </c>
      <c r="F147" s="14">
        <f>data!AH69</f>
        <v>0</v>
      </c>
      <c r="G147" s="14">
        <f>data!AI69</f>
        <v>0</v>
      </c>
      <c r="H147" s="14">
        <f>data!AJ69</f>
        <v>450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-44852</v>
      </c>
      <c r="D148" s="14">
        <f>-data!AF70</f>
        <v>0</v>
      </c>
      <c r="E148" s="14">
        <f>-data!AG70</f>
        <v>-2000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4637963</v>
      </c>
      <c r="D149" s="14">
        <f>data!AF71</f>
        <v>0</v>
      </c>
      <c r="E149" s="14">
        <f>data!AG71</f>
        <v>6869543</v>
      </c>
      <c r="F149" s="14">
        <f>data!AH71</f>
        <v>0</v>
      </c>
      <c r="G149" s="14">
        <f>data!AI71</f>
        <v>0</v>
      </c>
      <c r="H149" s="14">
        <f>data!AJ71</f>
        <v>93816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1297982</v>
      </c>
      <c r="D151" s="48">
        <f>+data!M697</f>
        <v>0</v>
      </c>
      <c r="E151" s="48">
        <f>+data!M698</f>
        <v>2053937</v>
      </c>
      <c r="F151" s="48">
        <f>+data!M699</f>
        <v>0</v>
      </c>
      <c r="G151" s="48">
        <f>+data!M700</f>
        <v>0</v>
      </c>
      <c r="H151" s="48">
        <f>+data!M701</f>
        <v>28633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369093</v>
      </c>
      <c r="D152" s="14">
        <f>data!AF73</f>
        <v>0</v>
      </c>
      <c r="E152" s="14">
        <f>data!AG73</f>
        <v>238905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5519432</v>
      </c>
      <c r="D153" s="14">
        <f>data!AF74</f>
        <v>0</v>
      </c>
      <c r="E153" s="14">
        <f>data!AG74</f>
        <v>15599055</v>
      </c>
      <c r="F153" s="14">
        <f>data!AH74</f>
        <v>0</v>
      </c>
      <c r="G153" s="14">
        <f>data!AI74</f>
        <v>0</v>
      </c>
      <c r="H153" s="14">
        <f>data!AJ74</f>
        <v>136568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5888525</v>
      </c>
      <c r="D154" s="14">
        <f>data!AF75</f>
        <v>0</v>
      </c>
      <c r="E154" s="14">
        <f>data!AG75</f>
        <v>15837960</v>
      </c>
      <c r="F154" s="14">
        <f>data!AH75</f>
        <v>0</v>
      </c>
      <c r="G154" s="14">
        <f>data!AI75</f>
        <v>0</v>
      </c>
      <c r="H154" s="14">
        <f>data!AJ75</f>
        <v>136568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14008</v>
      </c>
      <c r="D156" s="14">
        <f>data!AF76</f>
        <v>0</v>
      </c>
      <c r="E156" s="14">
        <f>data!AG76</f>
        <v>5981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1727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2445</v>
      </c>
      <c r="D158" s="14">
        <f>data!AF78</f>
        <v>0</v>
      </c>
      <c r="E158" s="14">
        <f>data!AG78</f>
        <v>2445</v>
      </c>
      <c r="F158" s="14">
        <f>data!AH78</f>
        <v>0</v>
      </c>
      <c r="G158" s="14">
        <f>data!AI78</f>
        <v>0</v>
      </c>
      <c r="H158" s="14">
        <f>data!AJ78</f>
        <v>226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70131</v>
      </c>
      <c r="D159" s="14">
        <f>data!AF79</f>
        <v>0</v>
      </c>
      <c r="E159" s="14">
        <f>data!AG79</f>
        <v>56794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14.17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Public Hospital District #1-A of Whitman County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61820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15989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680526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156124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2825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15170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54361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31391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138413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1156619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164579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329416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329416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2630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Public Hospital District #1-A of Whitman County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22460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2.02</v>
      </c>
      <c r="G202" s="26">
        <f>data!AW60</f>
        <v>0</v>
      </c>
      <c r="H202" s="26">
        <f>data!AX60</f>
        <v>0</v>
      </c>
      <c r="I202" s="26">
        <f>data!AY60</f>
        <v>17.27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178198</v>
      </c>
      <c r="G203" s="14">
        <f>data!AW61</f>
        <v>0</v>
      </c>
      <c r="H203" s="14">
        <f>data!AX61</f>
        <v>0</v>
      </c>
      <c r="I203" s="14">
        <f>data!AY61</f>
        <v>808317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46087</v>
      </c>
      <c r="G204" s="14">
        <f>data!AW62</f>
        <v>0</v>
      </c>
      <c r="H204" s="14">
        <f>data!AX62</f>
        <v>0</v>
      </c>
      <c r="I204" s="14">
        <f>data!AY62</f>
        <v>209055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8828</v>
      </c>
      <c r="G205" s="14">
        <f>data!AW63</f>
        <v>0</v>
      </c>
      <c r="H205" s="14">
        <f>data!AX63</f>
        <v>0</v>
      </c>
      <c r="I205" s="14">
        <f>data!AY63</f>
        <v>4249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6356</v>
      </c>
      <c r="G206" s="14">
        <f>data!AW64</f>
        <v>0</v>
      </c>
      <c r="H206" s="14">
        <f>data!AX64</f>
        <v>0</v>
      </c>
      <c r="I206" s="14">
        <f>data!AY64</f>
        <v>424736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1194</v>
      </c>
      <c r="G208" s="14">
        <f>data!AW66</f>
        <v>0</v>
      </c>
      <c r="H208" s="14">
        <f>data!AX66</f>
        <v>0</v>
      </c>
      <c r="I208" s="14">
        <f>data!AY66</f>
        <v>10549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9839</v>
      </c>
      <c r="G209" s="14">
        <f>data!AW67</f>
        <v>0</v>
      </c>
      <c r="H209" s="14">
        <f>data!AX67</f>
        <v>0</v>
      </c>
      <c r="I209" s="14">
        <f>data!AY67</f>
        <v>94170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2264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8206</v>
      </c>
      <c r="G211" s="14">
        <f>data!AW69</f>
        <v>0</v>
      </c>
      <c r="H211" s="14">
        <f>data!AX69</f>
        <v>0</v>
      </c>
      <c r="I211" s="14">
        <f>data!AY69</f>
        <v>3722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-234096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24612</v>
      </c>
      <c r="G213" s="14">
        <f>data!AW71</f>
        <v>0</v>
      </c>
      <c r="H213" s="14">
        <f>data!AX71</f>
        <v>0</v>
      </c>
      <c r="I213" s="14">
        <f>data!AY71</f>
        <v>1557062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20116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476</v>
      </c>
      <c r="G220" s="14">
        <f>data!AW76</f>
        <v>0</v>
      </c>
      <c r="H220" s="14">
        <f>data!AX76</f>
        <v>0</v>
      </c>
      <c r="I220" s="85">
        <f>data!AY76</f>
        <v>4556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Public Hospital District #1-A of Whitman County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50279</v>
      </c>
      <c r="D233" s="14">
        <f>data!BA59</f>
        <v>0</v>
      </c>
      <c r="E233" s="212"/>
      <c r="F233" s="212"/>
      <c r="G233" s="212"/>
      <c r="H233" s="14">
        <f>data!BE59</f>
        <v>127457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</v>
      </c>
      <c r="E234" s="26">
        <f>data!BB60</f>
        <v>6.02</v>
      </c>
      <c r="F234" s="26">
        <f>data!BC60</f>
        <v>0</v>
      </c>
      <c r="G234" s="26">
        <f>data!BD60</f>
        <v>6.01</v>
      </c>
      <c r="H234" s="26">
        <f>data!BE60</f>
        <v>7.48</v>
      </c>
      <c r="I234" s="26">
        <f>data!BF60</f>
        <v>13.06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39863</v>
      </c>
      <c r="E235" s="14">
        <f>data!BB61</f>
        <v>477459</v>
      </c>
      <c r="F235" s="14">
        <f>data!BC61</f>
        <v>0</v>
      </c>
      <c r="G235" s="14">
        <f>data!BD61</f>
        <v>416878</v>
      </c>
      <c r="H235" s="14">
        <f>data!BE61</f>
        <v>560260</v>
      </c>
      <c r="I235" s="14">
        <f>data!BF61</f>
        <v>563544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10310</v>
      </c>
      <c r="E236" s="14">
        <f>data!BB62</f>
        <v>123485</v>
      </c>
      <c r="F236" s="14">
        <f>data!BC62</f>
        <v>0</v>
      </c>
      <c r="G236" s="14">
        <f>data!BD62</f>
        <v>107817</v>
      </c>
      <c r="H236" s="14">
        <f>data!BE62</f>
        <v>144900</v>
      </c>
      <c r="I236" s="14">
        <f>data!BF62</f>
        <v>145750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11596</v>
      </c>
      <c r="F237" s="14">
        <f>data!BC63</f>
        <v>0</v>
      </c>
      <c r="G237" s="14">
        <f>data!BD63</f>
        <v>0</v>
      </c>
      <c r="H237" s="14">
        <f>data!BE63</f>
        <v>47075</v>
      </c>
      <c r="I237" s="14">
        <f>data!BF63</f>
        <v>4900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2493</v>
      </c>
      <c r="F238" s="14">
        <f>data!BC64</f>
        <v>0</v>
      </c>
      <c r="G238" s="14">
        <f>data!BD64</f>
        <v>17270</v>
      </c>
      <c r="H238" s="14">
        <f>data!BE64</f>
        <v>8722</v>
      </c>
      <c r="I238" s="14">
        <f>data!BF64</f>
        <v>58108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3015</v>
      </c>
      <c r="F239" s="14">
        <f>data!BC65</f>
        <v>0</v>
      </c>
      <c r="G239" s="14">
        <f>data!BD65</f>
        <v>1210</v>
      </c>
      <c r="H239" s="14">
        <f>data!BE65</f>
        <v>521796</v>
      </c>
      <c r="I239" s="14">
        <f>data!BF65</f>
        <v>56514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205655</v>
      </c>
      <c r="E240" s="14">
        <f>data!BB66</f>
        <v>14918</v>
      </c>
      <c r="F240" s="14">
        <f>data!BC66</f>
        <v>0</v>
      </c>
      <c r="G240" s="14">
        <f>data!BD66</f>
        <v>5587</v>
      </c>
      <c r="H240" s="14">
        <f>data!BE66</f>
        <v>167977</v>
      </c>
      <c r="I240" s="14">
        <f>data!BF66</f>
        <v>1306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26664</v>
      </c>
      <c r="E241" s="14">
        <f>data!BB67</f>
        <v>8723</v>
      </c>
      <c r="F241" s="14">
        <f>data!BC67</f>
        <v>0</v>
      </c>
      <c r="G241" s="14">
        <f>data!BD67</f>
        <v>58970</v>
      </c>
      <c r="H241" s="14">
        <f>data!BE67</f>
        <v>225256</v>
      </c>
      <c r="I241" s="14">
        <f>data!BF67</f>
        <v>91897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1861</v>
      </c>
      <c r="F242" s="14">
        <f>data!BC68</f>
        <v>0</v>
      </c>
      <c r="G242" s="14">
        <f>data!BD68</f>
        <v>7414</v>
      </c>
      <c r="H242" s="14">
        <f>data!BE68</f>
        <v>7762</v>
      </c>
      <c r="I242" s="14">
        <f>data!BF68</f>
        <v>103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4421</v>
      </c>
      <c r="F243" s="14">
        <f>data!BC69</f>
        <v>0</v>
      </c>
      <c r="G243" s="14">
        <f>data!BD69</f>
        <v>3397</v>
      </c>
      <c r="H243" s="14">
        <f>data!BE69</f>
        <v>936</v>
      </c>
      <c r="I243" s="14">
        <f>data!BF69</f>
        <v>452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-317597</v>
      </c>
      <c r="D244" s="14">
        <f>-data!BA70</f>
        <v>0</v>
      </c>
      <c r="E244" s="14">
        <f>-data!BB70</f>
        <v>-16720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-317597</v>
      </c>
      <c r="D245" s="14">
        <f>data!BA71</f>
        <v>282492</v>
      </c>
      <c r="E245" s="14">
        <f>data!BB71</f>
        <v>631251</v>
      </c>
      <c r="F245" s="14">
        <f>data!BC71</f>
        <v>0</v>
      </c>
      <c r="G245" s="14">
        <f>data!BD71</f>
        <v>618543</v>
      </c>
      <c r="H245" s="14">
        <f>data!BE71</f>
        <v>1684684</v>
      </c>
      <c r="I245" s="14">
        <f>data!BF71</f>
        <v>922574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1290</v>
      </c>
      <c r="E252" s="85">
        <f>data!BB76</f>
        <v>422</v>
      </c>
      <c r="F252" s="85">
        <f>data!BC76</f>
        <v>0</v>
      </c>
      <c r="G252" s="85">
        <f>data!BD76</f>
        <v>2853</v>
      </c>
      <c r="H252" s="85">
        <f>data!BE76</f>
        <v>10898</v>
      </c>
      <c r="I252" s="85">
        <f>data!BF76</f>
        <v>4446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292</v>
      </c>
      <c r="E254" s="85">
        <f>data!BB78</f>
        <v>34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Public Hospital District #1-A of Whitman County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5.79</v>
      </c>
      <c r="E266" s="26">
        <f>data!BI60</f>
        <v>3.12</v>
      </c>
      <c r="F266" s="26">
        <f>data!BJ60</f>
        <v>0</v>
      </c>
      <c r="G266" s="26">
        <f>data!BK60</f>
        <v>11.04</v>
      </c>
      <c r="H266" s="26">
        <f>data!BL60</f>
        <v>11.09</v>
      </c>
      <c r="I266" s="26">
        <f>data!BM60</f>
        <v>4.1399999999999997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619016</v>
      </c>
      <c r="E267" s="14">
        <f>data!BI61</f>
        <v>372380</v>
      </c>
      <c r="F267" s="14">
        <f>data!BJ61</f>
        <v>0</v>
      </c>
      <c r="G267" s="14">
        <f>data!BK61</f>
        <v>668635</v>
      </c>
      <c r="H267" s="14">
        <f>data!BL61</f>
        <v>501890</v>
      </c>
      <c r="I267" s="14">
        <f>data!BM61</f>
        <v>349762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160096</v>
      </c>
      <c r="E268" s="14">
        <f>data!BI62</f>
        <v>96309</v>
      </c>
      <c r="F268" s="14">
        <f>data!BJ62</f>
        <v>0</v>
      </c>
      <c r="G268" s="14">
        <f>data!BK62</f>
        <v>172929</v>
      </c>
      <c r="H268" s="14">
        <f>data!BL62</f>
        <v>129804</v>
      </c>
      <c r="I268" s="14">
        <f>data!BM62</f>
        <v>90459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41375</v>
      </c>
      <c r="F269" s="14">
        <f>data!BJ63</f>
        <v>0</v>
      </c>
      <c r="G269" s="14">
        <f>data!BK63</f>
        <v>214888</v>
      </c>
      <c r="H269" s="14">
        <f>data!BL63</f>
        <v>0</v>
      </c>
      <c r="I269" s="14">
        <f>data!BM63</f>
        <v>94062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2667</v>
      </c>
      <c r="E270" s="14">
        <f>data!BI64</f>
        <v>9325</v>
      </c>
      <c r="F270" s="14">
        <f>data!BJ64</f>
        <v>0</v>
      </c>
      <c r="G270" s="14">
        <f>data!BK64</f>
        <v>21607</v>
      </c>
      <c r="H270" s="14">
        <f>data!BL64</f>
        <v>11081</v>
      </c>
      <c r="I270" s="14">
        <f>data!BM64</f>
        <v>6468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137162</v>
      </c>
      <c r="E271" s="14">
        <f>data!BI65</f>
        <v>4671</v>
      </c>
      <c r="F271" s="14">
        <f>data!BJ65</f>
        <v>0</v>
      </c>
      <c r="G271" s="14">
        <f>data!BK65</f>
        <v>3126</v>
      </c>
      <c r="H271" s="14">
        <f>data!BL65</f>
        <v>480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1123110</v>
      </c>
      <c r="E272" s="14">
        <f>data!BI66</f>
        <v>122212</v>
      </c>
      <c r="F272" s="14">
        <f>data!BJ66</f>
        <v>0</v>
      </c>
      <c r="G272" s="14">
        <f>data!BK66</f>
        <v>363042</v>
      </c>
      <c r="H272" s="14">
        <f>data!BL66</f>
        <v>159</v>
      </c>
      <c r="I272" s="14">
        <f>data!BM66</f>
        <v>30697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21724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21331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42655</v>
      </c>
      <c r="F274" s="14">
        <f>data!BJ68</f>
        <v>0</v>
      </c>
      <c r="G274" s="14">
        <f>data!BK68</f>
        <v>56032</v>
      </c>
      <c r="H274" s="14">
        <f>data!BL68</f>
        <v>3709</v>
      </c>
      <c r="I274" s="14">
        <f>data!BM68</f>
        <v>11706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3946</v>
      </c>
      <c r="E275" s="14">
        <f>data!BI69</f>
        <v>150910</v>
      </c>
      <c r="F275" s="14">
        <f>data!BJ69</f>
        <v>0</v>
      </c>
      <c r="G275" s="14">
        <f>data!BK69</f>
        <v>7013</v>
      </c>
      <c r="H275" s="14">
        <f>data!BL69</f>
        <v>0</v>
      </c>
      <c r="I275" s="14">
        <f>data!BM69</f>
        <v>88656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-15540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-1817390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2052181</v>
      </c>
      <c r="E277" s="14">
        <f>data!BI71</f>
        <v>839837</v>
      </c>
      <c r="F277" s="14">
        <f>data!BJ71</f>
        <v>0</v>
      </c>
      <c r="G277" s="14">
        <f>data!BK71</f>
        <v>1507272</v>
      </c>
      <c r="H277" s="14">
        <f>data!BL71</f>
        <v>668454</v>
      </c>
      <c r="I277" s="14">
        <f>data!BM71</f>
        <v>-1145580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1051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1032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272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195</v>
      </c>
      <c r="I286" s="85">
        <f>data!BM78</f>
        <v>62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Public Hospital District #1-A of Whitman County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</v>
      </c>
      <c r="D298" s="26">
        <f>data!BO60</f>
        <v>1.79</v>
      </c>
      <c r="E298" s="26">
        <f>data!BP60</f>
        <v>5.32</v>
      </c>
      <c r="F298" s="26">
        <f>data!BQ60</f>
        <v>0</v>
      </c>
      <c r="G298" s="26">
        <f>data!BR60</f>
        <v>5.91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648584</v>
      </c>
      <c r="D299" s="14">
        <f>data!BO61</f>
        <v>93031</v>
      </c>
      <c r="E299" s="14">
        <f>data!BP61</f>
        <v>308682</v>
      </c>
      <c r="F299" s="14">
        <f>data!BQ61</f>
        <v>0</v>
      </c>
      <c r="G299" s="14">
        <f>data!BR61</f>
        <v>558007</v>
      </c>
      <c r="H299" s="14">
        <f>data!BS61</f>
        <v>64053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167744</v>
      </c>
      <c r="D300" s="14">
        <f>data!BO62</f>
        <v>24061</v>
      </c>
      <c r="E300" s="14">
        <f>data!BP62</f>
        <v>79835</v>
      </c>
      <c r="F300" s="14">
        <f>data!BQ62</f>
        <v>0</v>
      </c>
      <c r="G300" s="14">
        <f>data!BR62</f>
        <v>144318</v>
      </c>
      <c r="H300" s="14">
        <f>data!BS62</f>
        <v>16566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167901</v>
      </c>
      <c r="D301" s="14">
        <f>data!BO63</f>
        <v>0</v>
      </c>
      <c r="E301" s="14">
        <f>data!BP63</f>
        <v>409197</v>
      </c>
      <c r="F301" s="14">
        <f>data!BQ63</f>
        <v>0</v>
      </c>
      <c r="G301" s="14">
        <f>data!BR63</f>
        <v>72971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11664</v>
      </c>
      <c r="D302" s="14">
        <f>data!BO64</f>
        <v>358</v>
      </c>
      <c r="E302" s="14">
        <f>data!BP64</f>
        <v>1804</v>
      </c>
      <c r="F302" s="14">
        <f>data!BQ64</f>
        <v>0</v>
      </c>
      <c r="G302" s="14">
        <f>data!BR64</f>
        <v>7011</v>
      </c>
      <c r="H302" s="14">
        <f>data!BS64</f>
        <v>745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960</v>
      </c>
      <c r="D303" s="14">
        <f>data!BO65</f>
        <v>0</v>
      </c>
      <c r="E303" s="14">
        <f>data!BP65</f>
        <v>40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33982</v>
      </c>
      <c r="D304" s="14">
        <f>data!BO66</f>
        <v>0</v>
      </c>
      <c r="E304" s="14">
        <f>data!BP66</f>
        <v>46109</v>
      </c>
      <c r="F304" s="14">
        <f>data!BQ66</f>
        <v>0</v>
      </c>
      <c r="G304" s="14">
        <f>data!BR66</f>
        <v>90627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44150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29104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11706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227579</v>
      </c>
      <c r="D307" s="14">
        <f>data!BO69</f>
        <v>386</v>
      </c>
      <c r="E307" s="14">
        <f>data!BP69</f>
        <v>5893</v>
      </c>
      <c r="F307" s="14">
        <f>data!BQ69</f>
        <v>0</v>
      </c>
      <c r="G307" s="14">
        <f>data!BR69</f>
        <v>58864</v>
      </c>
      <c r="H307" s="14">
        <f>data!BS69</f>
        <v>3234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-50000</v>
      </c>
      <c r="D308" s="14">
        <f>-data!BO70</f>
        <v>0</v>
      </c>
      <c r="E308" s="14">
        <f>-data!BP70</f>
        <v>-15000</v>
      </c>
      <c r="F308" s="14">
        <f>-data!BQ70</f>
        <v>0</v>
      </c>
      <c r="G308" s="14">
        <f>-data!BR70</f>
        <v>-35300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1281668</v>
      </c>
      <c r="D309" s="14">
        <f>data!BO71</f>
        <v>117836</v>
      </c>
      <c r="E309" s="14">
        <f>data!BP71</f>
        <v>836560</v>
      </c>
      <c r="F309" s="14">
        <f>data!BQ71</f>
        <v>0</v>
      </c>
      <c r="G309" s="14">
        <f>data!BR71</f>
        <v>908204</v>
      </c>
      <c r="H309" s="14">
        <f>data!BS71</f>
        <v>84598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2136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Public Hospital District #1-A of Whitman County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3.91</v>
      </c>
      <c r="E330" s="26">
        <f>data!BW60</f>
        <v>3.07</v>
      </c>
      <c r="F330" s="26">
        <f>data!BX60</f>
        <v>2.0299999999999998</v>
      </c>
      <c r="G330" s="26">
        <f>data!BY60</f>
        <v>6.6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269476</v>
      </c>
      <c r="E331" s="86">
        <f>data!BW61</f>
        <v>657415</v>
      </c>
      <c r="F331" s="86">
        <f>data!BX61</f>
        <v>172193</v>
      </c>
      <c r="G331" s="86">
        <f>data!BY61</f>
        <v>897531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69695</v>
      </c>
      <c r="E332" s="86">
        <f>data!BW62</f>
        <v>170028</v>
      </c>
      <c r="F332" s="86">
        <f>data!BX62</f>
        <v>44534</v>
      </c>
      <c r="G332" s="86">
        <f>data!BY62</f>
        <v>232129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241945</v>
      </c>
      <c r="E333" s="86">
        <f>data!BW63</f>
        <v>1324053</v>
      </c>
      <c r="F333" s="86">
        <f>data!BX63</f>
        <v>72100</v>
      </c>
      <c r="G333" s="86">
        <f>data!BY63</f>
        <v>2250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5418</v>
      </c>
      <c r="E334" s="86">
        <f>data!BW64</f>
        <v>9965</v>
      </c>
      <c r="F334" s="86">
        <f>data!BX64</f>
        <v>551</v>
      </c>
      <c r="G334" s="86">
        <f>data!BY64</f>
        <v>3387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680</v>
      </c>
      <c r="F335" s="86">
        <f>data!BX65</f>
        <v>480</v>
      </c>
      <c r="G335" s="86">
        <f>data!BY65</f>
        <v>1051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42710</v>
      </c>
      <c r="E336" s="86">
        <f>data!BW66</f>
        <v>23052</v>
      </c>
      <c r="F336" s="86">
        <f>data!BX66</f>
        <v>47861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13518</v>
      </c>
      <c r="E337" s="86">
        <f>data!BW67</f>
        <v>4857</v>
      </c>
      <c r="F337" s="86">
        <f>data!BX67</f>
        <v>3100</v>
      </c>
      <c r="G337" s="86">
        <f>data!BY67</f>
        <v>2790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7566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390</v>
      </c>
      <c r="E339" s="86">
        <f>data!BW69</f>
        <v>17950</v>
      </c>
      <c r="F339" s="86">
        <f>data!BX69</f>
        <v>7753</v>
      </c>
      <c r="G339" s="86">
        <f>data!BY69</f>
        <v>8825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-8399</v>
      </c>
      <c r="E340" s="14">
        <f>-data!BW70</f>
        <v>-247674</v>
      </c>
      <c r="F340" s="14">
        <f>-data!BX70</f>
        <v>0</v>
      </c>
      <c r="G340" s="14">
        <f>-data!BY70</f>
        <v>-30078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642319</v>
      </c>
      <c r="E341" s="14">
        <f>data!BW71</f>
        <v>1960326</v>
      </c>
      <c r="F341" s="14">
        <f>data!BX71</f>
        <v>348572</v>
      </c>
      <c r="G341" s="14">
        <f>data!BY71</f>
        <v>1117885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654</v>
      </c>
      <c r="E348" s="85">
        <f>data!BW76</f>
        <v>235</v>
      </c>
      <c r="F348" s="85">
        <f>data!BX76</f>
        <v>150</v>
      </c>
      <c r="G348" s="85">
        <f>data!BY76</f>
        <v>135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305</v>
      </c>
      <c r="E350" s="85">
        <f>data!BW78</f>
        <v>34</v>
      </c>
      <c r="F350" s="85">
        <f>data!BX78</f>
        <v>34</v>
      </c>
      <c r="G350" s="85">
        <f>data!BY78</f>
        <v>34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Public Hospital District #1-A of Whitman County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355.73000000000008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33345089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8624054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5764981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12049959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793670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4065224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558180</v>
      </c>
      <c r="E369" s="218"/>
      <c r="F369" s="219"/>
      <c r="G369" s="219"/>
      <c r="H369" s="219"/>
      <c r="I369" s="86">
        <f>data!CE67</f>
        <v>2634469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701344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1562769</v>
      </c>
      <c r="F371" s="219"/>
      <c r="G371" s="219"/>
      <c r="H371" s="219"/>
      <c r="I371" s="86">
        <f>data!CE69</f>
        <v>2577623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111256</v>
      </c>
      <c r="F372" s="220"/>
      <c r="G372" s="220"/>
      <c r="H372" s="220"/>
      <c r="I372" s="14">
        <f>-data!CE70</f>
        <v>-2989976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558180</v>
      </c>
      <c r="E373" s="86">
        <f>data!CD71</f>
        <v>1451513</v>
      </c>
      <c r="F373" s="219"/>
      <c r="G373" s="219"/>
      <c r="H373" s="219"/>
      <c r="I373" s="14">
        <f>data!CE71</f>
        <v>67566437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-1226000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28326030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123013469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151339499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27005</v>
      </c>
      <c r="E380" s="214"/>
      <c r="F380" s="211"/>
      <c r="G380" s="211"/>
      <c r="H380" s="211"/>
      <c r="I380" s="14">
        <f>data!CE76</f>
        <v>127457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22460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17800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363567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79.08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 Quality Assurance, Community Health Systems</dc:creator>
  <cp:keywords>Year End Report</cp:keywords>
  <cp:lastModifiedBy>Baranowski, Carrie (DOH)</cp:lastModifiedBy>
  <cp:lastPrinted>2022-05-20T16:29:03Z</cp:lastPrinted>
  <dcterms:created xsi:type="dcterms:W3CDTF">1999-06-02T22:01:56Z</dcterms:created>
  <dcterms:modified xsi:type="dcterms:W3CDTF">2022-06-01T15:40:57Z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2022-06-01T15:24:13Z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cbe0e81c-5763-455b-af7d-46c3f1d79822</vt:lpwstr>
  </property>
  <property fmtid="{D5CDD505-2E9C-101B-9397-08002B2CF9AE}" pid="8" name="MSIP_Label_1520fa42-cf58-4c22-8b93-58cf1d3bd1cb_ContentBits">
    <vt:lpwstr>0</vt:lpwstr>
  </property>
</Properties>
</file>