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E47D091-8363-43AF-BF8A-3B21ED1CA32C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<sst xmlns="http://schemas.openxmlformats.org/spreadsheetml/2006/main" count="1376" uniqueCount="1376">
  <si>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</si>
  <si>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</si>
  <si>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</si>
  <si>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</si>
  <si>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</si>
  <si>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</si>
  <si>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</si>
  <si>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</si>
  <si>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</si>
  <si>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</si>
  <si>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</si>
  <si>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</si>
  <si>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</si>
  <si>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</si>
  <si>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</si>
  <si>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</si>
  <si>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</si>
  <si>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</si>
  <si>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</si>
  <si>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</si>
  <si>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</si>
  <si>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</si>
  <si>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</si>
  <si>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</si>
  <si>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</si>
  <si>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</si>
  <si>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</si>
  <si>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</si>
  <si>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</si>
  <si>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</si>
  <si>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</si>
  <si>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</si>
  <si>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</si>
  <si>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</si>
  <si>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</si>
  <si>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</si>
  <si>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</si>
  <si>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</si>
  <si>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</si>
  <si>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</si>
  <si>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</si>
  <si>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</si>
  <si>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</si>
  <si>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</si>
  <si>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</si>
  <si>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</si>
  <si>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</si>
  <si>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</si>
  <si>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</si>
  <si>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</si>
  <si>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</si>
  <si>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</si>
  <si>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</si>
  <si>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</si>
  <si>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</si>
  <si>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</si>
  <si>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</si>
  <si>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</si>
  <si>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</si>
  <si>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</si>
  <si>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</si>
  <si>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</si>
  <si>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</si>
  <si>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</si>
  <si>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</si>
  <si>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</si>
  <si>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</si>
  <si>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</si>
  <si>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</si>
  <si>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</si>
  <si>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</si>
  <si>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</si>
  <si>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</si>
  <si>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</si>
  <si>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</si>
  <si>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</si>
  <si>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</si>
  <si>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</si>
  <si>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</si>
  <si>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</si>
  <si>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</si>
  <si>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</si>
  <si>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</si>
  <si>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</si>
  <si>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</si>
  <si>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</si>
  <si>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</si>
  <si>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</si>
  <si>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</si>
  <si>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</si>
  <si>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</si>
  <si>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</si>
  <si>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</si>
  <si>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</si>
  <si>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</si>
  <si>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</si>
  <si>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</si>
  <si>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</si>
  <si>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</si>
  <si>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</si>
  <si>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</si>
  <si>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</si>
  <si>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</si>
  <si>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</si>
  <si>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</si>
  <si>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</si>
  <si>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</si>
  <si>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</si>
  <si>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</si>
  <si>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</si>
  <si>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</si>
  <si>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</si>
  <si>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</si>
  <si>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</si>
  <si>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</si>
  <si>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</si>
  <si>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</si>
  <si>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</si>
  <si>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</si>
  <si>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</si>
  <si>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</si>
  <si>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</si>
  <si>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</si>
  <si>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</si>
  <si>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</si>
  <si>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</si>
  <si>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</si>
  <si>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</si>
  <si>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</si>
  <si>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</si>
  <si>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</si>
  <si>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</si>
  <si>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</si>
  <si>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</si>
  <si>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</si>
  <si>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</si>
  <si>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</si>
  <si>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</si>
  <si>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</si>
  <si>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</si>
  <si>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</si>
  <si>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</si>
  <si>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</si>
  <si>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</si>
  <si>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</si>
  <si>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</si>
  <si>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</si>
  <si>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</si>
  <si>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</si>
  <si>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</si>
  <si>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</si>
  <si>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</si>
  <si>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</si>
  <si>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</si>
  <si>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</si>
  <si>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</si>
  <si>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</si>
  <si>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</si>
  <si>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</si>
  <si>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</si>
  <si>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</si>
  <si>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</si>
  <si>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</si>
  <si>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</si>
  <si>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</si>
  <si>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</si>
  <si>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</si>
  <si>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</si>
  <si>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</si>
  <si>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</si>
  <si>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</si>
  <si>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</si>
  <si>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</si>
  <si>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</si>
  <si>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</si>
  <si>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</si>
  <si>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</si>
  <si>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</si>
  <si>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</si>
  <si>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</si>
  <si>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</si>
  <si>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</si>
  <si>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</si>
  <si>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</si>
  <si>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</si>
  <si>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</si>
  <si>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</si>
  <si>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</si>
  <si>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</si>
  <si>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</si>
  <si>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</si>
  <si>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</si>
  <si>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</si>
  <si>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</si>
  <si>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</si>
  <si>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</si>
  <si>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</si>
  <si>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</si>
  <si>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</si>
  <si>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</si>
  <si>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</si>
  <si>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</si>
  <si>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</si>
  <si>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</si>
  <si>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</si>
  <si>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</si>
  <si>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</si>
  <si>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</si>
  <si>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</si>
  <si>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</si>
  <si>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</si>
  <si>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</si>
  <si>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</si>
  <si>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</si>
  <si>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</si>
  <si>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</si>
  <si>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</si>
  <si>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</si>
  <si>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</si>
  <si>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</si>
  <si>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</si>
  <si>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</si>
  <si>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</si>
  <si>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</si>
  <si>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</si>
  <si>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</si>
  <si>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</si>
  <si>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</si>
  <si>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</si>
  <si>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</si>
  <si>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</si>
  <si>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</si>
  <si>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</si>
  <si>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</si>
  <si>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</si>
  <si>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</si>
  <si>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</si>
  <si>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</si>
  <si>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</si>
  <si>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</si>
  <si>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</si>
  <si>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</si>
  <si>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</si>
  <si>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</si>
  <si>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</si>
  <si>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</si>
  <si>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</si>
  <si>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</si>
  <si>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</si>
  <si>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</si>
  <si>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</si>
  <si>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</si>
  <si>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</si>
  <si>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</si>
  <si>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</si>
  <si>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</si>
  <si>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</si>
  <si>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</si>
  <si>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</si>
  <si>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</si>
  <si>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</si>
  <si>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</si>
  <si>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</si>
  <si>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</si>
  <si>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</si>
  <si>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</si>
  <si>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</si>
  <si>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</si>
  <si>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</si>
  <si>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</si>
  <si>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</si>
  <si>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</si>
  <si>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</si>
  <si>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</si>
  <si>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</si>
  <si>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</si>
  <si>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</si>
  <si>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</si>
  <si>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</si>
  <si>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</si>
  <si>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</si>
  <si>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</si>
  <si>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</si>
  <si>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</si>
  <si>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</si>
  <si>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</si>
  <si>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</si>
  <si>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</si>
  <si>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</si>
  <si>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</si>
  <si>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</si>
  <si>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</si>
  <si>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</si>
  <si>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</si>
  <si>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</si>
  <si>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</si>
  <si>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</si>
  <si>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</si>
  <si>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</si>
  <si>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</si>
  <si>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029</t>
  </si>
  <si>
    <t>Hospital Name</t>
  </si>
  <si>
    <t>Harborview Medical Center</t>
  </si>
  <si>
    <t>Mailing Address</t>
  </si>
  <si>
    <t>325 Ninth Avenue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</si>
  <si>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</si>
  <si>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</si>
  <si>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</si>
  <si>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</si>
  <si>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</si>
  <si>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</si>
  <si>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</si>
  <si>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</si>
  <si>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Sommer Kleweno-Walley</t>
  </si>
  <si>
    <t>Chief Financial Officer</t>
  </si>
  <si>
    <t>Jacqueline Cabe</t>
  </si>
  <si>
    <t>Chair of Governing Board</t>
  </si>
  <si>
    <t>Steffanie Fain</t>
  </si>
  <si>
    <t>Telephone Number</t>
  </si>
  <si>
    <t>206.744.3000</t>
  </si>
  <si>
    <t>Facsimile Number</t>
  </si>
  <si>
    <t>Name of Submitter</t>
  </si>
  <si>
    <t>Brandon Wong</t>
  </si>
  <si>
    <t>Email of Submitter</t>
  </si>
  <si>
    <t>branwong@uw.edu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</si>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</sst>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branwong@uw.edu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7" transitionEvaluation="1" transitionEntry="1" codeName="Sheet1">
    <tabColor rgb="FF92D050"/>
    <pageSetUpPr autoPageBreaks="0" fitToPage="1"/>
  </sheetPr>
  <dimension ref="A1:CF716"/>
  <sheetViews>
    <sheetView tabSelected="1" topLeftCell="A397" zoomScaleNormal="100" workbookViewId="0">
      <selection activeCell="G405" sqref="G405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137010148.22</v>
      </c>
      <c r="C47" s="24">
        <v>9803110.24</v>
      </c>
      <c r="D47" s="24">
        <v>16673066.5</v>
      </c>
      <c r="E47" s="24">
        <v>62586.96</v>
      </c>
      <c r="F47" s="24">
        <v>0</v>
      </c>
      <c r="G47" s="24">
        <v>1799541.99</v>
      </c>
      <c r="H47" s="24">
        <v>3619954.75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161.97</v>
      </c>
      <c r="O47" s="24">
        <v>0</v>
      </c>
      <c r="P47" s="24">
        <v>5733391.69</v>
      </c>
      <c r="Q47" s="24">
        <v>2641651.14</v>
      </c>
      <c r="R47" s="24">
        <v>3017714.69</v>
      </c>
      <c r="S47" s="24">
        <v>1031375.31</v>
      </c>
      <c r="T47" s="24">
        <v>0</v>
      </c>
      <c r="U47" s="24">
        <v>3948314.93</v>
      </c>
      <c r="V47" s="24">
        <v>1919101.32</v>
      </c>
      <c r="W47" s="24">
        <v>441908.69</v>
      </c>
      <c r="X47" s="24">
        <v>833061.77</v>
      </c>
      <c r="Y47" s="24">
        <v>5103924.11</v>
      </c>
      <c r="Z47" s="24">
        <v>297510.84</v>
      </c>
      <c r="AA47" s="24">
        <v>177239.9</v>
      </c>
      <c r="AB47" s="24">
        <v>8058260.59</v>
      </c>
      <c r="AC47" s="24">
        <v>2385784.13</v>
      </c>
      <c r="AD47" s="24">
        <v>0</v>
      </c>
      <c r="AE47" s="24">
        <v>2788128.35</v>
      </c>
      <c r="AF47" s="24">
        <v>2430351.48</v>
      </c>
      <c r="AG47" s="24">
        <v>6331135.94</v>
      </c>
      <c r="AH47" s="24">
        <v>0</v>
      </c>
      <c r="AI47" s="24">
        <v>0</v>
      </c>
      <c r="AJ47" s="24">
        <v>20505815.47</v>
      </c>
      <c r="AK47" s="24">
        <v>1050077.77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272821.2</v>
      </c>
      <c r="AV47" s="24">
        <v>1625941.22</v>
      </c>
      <c r="AW47" s="24">
        <v>49979.26</v>
      </c>
      <c r="AX47" s="24">
        <v>0</v>
      </c>
      <c r="AY47" s="24">
        <v>2551333.27</v>
      </c>
      <c r="AZ47" s="24">
        <v>0</v>
      </c>
      <c r="BA47" s="24">
        <v>186598.4</v>
      </c>
      <c r="BB47" s="24">
        <v>2911528.62</v>
      </c>
      <c r="BC47" s="24">
        <v>0</v>
      </c>
      <c r="BD47" s="24">
        <v>0</v>
      </c>
      <c r="BE47" s="24">
        <v>2870927.92</v>
      </c>
      <c r="BF47" s="24">
        <v>3403337.23</v>
      </c>
      <c r="BG47" s="24">
        <v>181912.34</v>
      </c>
      <c r="BH47" s="24">
        <v>322363.44</v>
      </c>
      <c r="BI47" s="24">
        <v>83800.61</v>
      </c>
      <c r="BJ47" s="24">
        <v>0</v>
      </c>
      <c r="BK47" s="24">
        <v>0</v>
      </c>
      <c r="BL47" s="24">
        <v>0</v>
      </c>
      <c r="BM47" s="24">
        <v>0</v>
      </c>
      <c r="BN47" s="24">
        <v>1670158.39</v>
      </c>
      <c r="BO47" s="24">
        <v>348675.95</v>
      </c>
      <c r="BP47" s="24">
        <v>209438.11</v>
      </c>
      <c r="BQ47" s="24">
        <v>0</v>
      </c>
      <c r="BR47" s="24">
        <v>0</v>
      </c>
      <c r="BS47" s="24">
        <v>50790.27</v>
      </c>
      <c r="BT47" s="24">
        <v>170305.22</v>
      </c>
      <c r="BU47" s="24">
        <v>0</v>
      </c>
      <c r="BV47" s="24">
        <v>0</v>
      </c>
      <c r="BW47" s="24">
        <v>6363826.81</v>
      </c>
      <c r="BX47" s="24">
        <v>2029495.35</v>
      </c>
      <c r="BY47" s="24">
        <v>3502912.58</v>
      </c>
      <c r="BZ47" s="24">
        <v>1692360.88</v>
      </c>
      <c r="CA47" s="24">
        <v>935210.86</v>
      </c>
      <c r="CB47" s="24">
        <v>217635.67</v>
      </c>
      <c r="CC47" s="24">
        <v>4705624.09</v>
      </c>
      <c r="CD47" s="20"/>
      <c r="CE47" s="32">
        <f>SUM(C47:CC47)</f>
        <v>137010148.22</v>
      </c>
    </row>
    <row r="48">
      <c r="A48" s="32" t="s">
        <v>232</v>
      </c>
      <c r="B48" s="312"/>
      <c r="C48" s="32" t="b">
        <f>IF($B$48,(ROUND((($B$48/$CE$61)*C61),0)))</f>
        <v>0</v>
      </c>
      <c r="D48" s="32" t="b">
        <f ref="D48:BO48" t="shared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ref="BP48:CD48" t="shared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>
      <c r="A49" s="20" t="s">
        <v>233</v>
      </c>
      <c r="B49" s="32">
        <f>B47+B48</f>
        <v>137010148.22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38719892.04</v>
      </c>
      <c r="C51" s="24">
        <v>454266.94</v>
      </c>
      <c r="D51" s="24">
        <v>276724.59</v>
      </c>
      <c r="E51" s="24">
        <v>0</v>
      </c>
      <c r="F51" s="24">
        <v>0</v>
      </c>
      <c r="G51" s="24">
        <v>26736.53</v>
      </c>
      <c r="H51" s="24">
        <v>63725.79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2739599.61</v>
      </c>
      <c r="Q51" s="24">
        <v>43810.91</v>
      </c>
      <c r="R51" s="24">
        <v>174773.36</v>
      </c>
      <c r="S51" s="24">
        <v>195482.03</v>
      </c>
      <c r="T51" s="24">
        <v>0</v>
      </c>
      <c r="U51" s="24">
        <v>411532.9</v>
      </c>
      <c r="V51" s="24">
        <v>335235.04</v>
      </c>
      <c r="W51" s="24">
        <v>340066.77</v>
      </c>
      <c r="X51" s="24">
        <v>613114.02</v>
      </c>
      <c r="Y51" s="24">
        <v>1209480.97</v>
      </c>
      <c r="Z51" s="24">
        <v>176469.99</v>
      </c>
      <c r="AA51" s="24">
        <v>244438.48</v>
      </c>
      <c r="AB51" s="24">
        <v>15927.09</v>
      </c>
      <c r="AC51" s="24">
        <v>404850.63</v>
      </c>
      <c r="AD51" s="24">
        <v>34705.4</v>
      </c>
      <c r="AE51" s="24">
        <v>6598.75</v>
      </c>
      <c r="AF51" s="24">
        <v>0</v>
      </c>
      <c r="AG51" s="24">
        <v>266400.74</v>
      </c>
      <c r="AH51" s="24">
        <v>0</v>
      </c>
      <c r="AI51" s="24">
        <v>0</v>
      </c>
      <c r="AJ51" s="24">
        <v>1050051.82</v>
      </c>
      <c r="AK51" s="24">
        <v>21296.02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1017.11</v>
      </c>
      <c r="AW51" s="24">
        <v>0</v>
      </c>
      <c r="AX51" s="24">
        <v>0</v>
      </c>
      <c r="AY51" s="24">
        <v>130211.61</v>
      </c>
      <c r="AZ51" s="24">
        <v>0</v>
      </c>
      <c r="BA51" s="24">
        <v>1586.29</v>
      </c>
      <c r="BB51" s="24">
        <v>0</v>
      </c>
      <c r="BC51" s="24">
        <v>0</v>
      </c>
      <c r="BD51" s="24">
        <v>0</v>
      </c>
      <c r="BE51" s="24">
        <v>2205312.75</v>
      </c>
      <c r="BF51" s="24">
        <v>59997.39</v>
      </c>
      <c r="BG51" s="24">
        <v>7154.07</v>
      </c>
      <c r="BH51" s="24">
        <v>908462.25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1053.95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10160.61</v>
      </c>
      <c r="BW51" s="24">
        <v>0</v>
      </c>
      <c r="BX51" s="24">
        <v>0</v>
      </c>
      <c r="BY51" s="24">
        <v>0</v>
      </c>
      <c r="BZ51" s="24">
        <v>1775.71</v>
      </c>
      <c r="CA51" s="24">
        <v>7511.8</v>
      </c>
      <c r="CB51" s="24">
        <v>0</v>
      </c>
      <c r="CC51" s="24">
        <v>26280360.12</v>
      </c>
      <c r="CD51" s="20"/>
      <c r="CE51" s="32">
        <f>SUM(C51:CD51)</f>
        <v>38719892.04</v>
      </c>
    </row>
    <row r="52">
      <c r="A52" s="39" t="s">
        <v>235</v>
      </c>
      <c r="B52" s="313"/>
      <c r="C52" s="32" t="b">
        <f>IF($B$52,ROUND(($B$52/($CE$90+$CF$90)*C90),0))</f>
        <v>0</v>
      </c>
      <c r="D52" s="32" t="b">
        <f ref="D52:BO52" t="shared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ref="BP52:CD52" t="shared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>
      <c r="A53" s="20" t="s">
        <v>233</v>
      </c>
      <c r="B53" s="32">
        <f>B51+B52</f>
        <v>38719892.04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29553</v>
      </c>
      <c r="D59" s="24">
        <v>102307</v>
      </c>
      <c r="E59" s="24">
        <v>2008</v>
      </c>
      <c r="F59" s="24">
        <v>0</v>
      </c>
      <c r="G59" s="24">
        <v>10575</v>
      </c>
      <c r="H59" s="24">
        <v>23130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/>
      <c r="P59" s="30">
        <v>3057453</v>
      </c>
      <c r="Q59" s="30">
        <v>1196361</v>
      </c>
      <c r="R59" s="30">
        <v>7000254</v>
      </c>
      <c r="S59" s="314"/>
      <c r="T59" s="314"/>
      <c r="U59" s="31">
        <v>1811031</v>
      </c>
      <c r="V59" s="30">
        <v>63709</v>
      </c>
      <c r="W59" s="30">
        <v>91226.900000000009</v>
      </c>
      <c r="X59" s="30">
        <v>332002.01000000013</v>
      </c>
      <c r="Y59" s="30">
        <v>427628.55000000028</v>
      </c>
      <c r="Z59" s="30">
        <v>11412.91</v>
      </c>
      <c r="AA59" s="30">
        <v>13732.110000000002</v>
      </c>
      <c r="AB59" s="314"/>
      <c r="AC59" s="30">
        <v>61493</v>
      </c>
      <c r="AD59" s="30">
        <v>0</v>
      </c>
      <c r="AE59" s="30">
        <v>132770</v>
      </c>
      <c r="AF59" s="30">
        <v>48840</v>
      </c>
      <c r="AG59" s="30">
        <v>50401</v>
      </c>
      <c r="AH59" s="30">
        <v>0</v>
      </c>
      <c r="AI59" s="30">
        <v>0</v>
      </c>
      <c r="AJ59" s="30">
        <v>265817</v>
      </c>
      <c r="AK59" s="30">
        <v>78048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848294</v>
      </c>
      <c r="AZ59" s="30">
        <v>0</v>
      </c>
      <c r="BA59" s="314"/>
      <c r="BB59" s="314"/>
      <c r="BC59" s="314"/>
      <c r="BD59" s="314"/>
      <c r="BE59" s="30">
        <v>1163874.7499999998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334.25</v>
      </c>
      <c r="D60" s="315">
        <v>673.6</v>
      </c>
      <c r="E60" s="315">
        <v>2.28</v>
      </c>
      <c r="F60" s="315">
        <v>0</v>
      </c>
      <c r="G60" s="315">
        <v>60.43</v>
      </c>
      <c r="H60" s="315">
        <v>129.24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0.01</v>
      </c>
      <c r="O60" s="315">
        <v>0</v>
      </c>
      <c r="P60" s="316">
        <v>207.37</v>
      </c>
      <c r="Q60" s="316">
        <v>70.18</v>
      </c>
      <c r="R60" s="316">
        <v>61.06</v>
      </c>
      <c r="S60" s="317">
        <v>57.25</v>
      </c>
      <c r="T60" s="317">
        <v>0</v>
      </c>
      <c r="U60" s="318">
        <v>149.31</v>
      </c>
      <c r="V60" s="316">
        <v>58.07</v>
      </c>
      <c r="W60" s="316">
        <v>10.96</v>
      </c>
      <c r="X60" s="316">
        <v>27.56</v>
      </c>
      <c r="Y60" s="316">
        <v>167.73999999999998</v>
      </c>
      <c r="Z60" s="316">
        <v>7.45</v>
      </c>
      <c r="AA60" s="316">
        <v>3.28</v>
      </c>
      <c r="AB60" s="317">
        <v>215.05</v>
      </c>
      <c r="AC60" s="316">
        <v>79.36999999999999</v>
      </c>
      <c r="AD60" s="316">
        <v>0</v>
      </c>
      <c r="AE60" s="316">
        <v>81.12</v>
      </c>
      <c r="AF60" s="316">
        <v>80.31</v>
      </c>
      <c r="AG60" s="316">
        <v>189.69</v>
      </c>
      <c r="AH60" s="316">
        <v>0</v>
      </c>
      <c r="AI60" s="316">
        <v>0</v>
      </c>
      <c r="AJ60" s="316">
        <v>666.53</v>
      </c>
      <c r="AK60" s="316">
        <v>31.77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8.4</v>
      </c>
      <c r="AV60" s="317">
        <v>58.099999999999994</v>
      </c>
      <c r="AW60" s="317">
        <v>3</v>
      </c>
      <c r="AX60" s="317">
        <v>0</v>
      </c>
      <c r="AY60" s="316">
        <v>141.88</v>
      </c>
      <c r="AZ60" s="316">
        <v>0</v>
      </c>
      <c r="BA60" s="317">
        <v>11.32</v>
      </c>
      <c r="BB60" s="317">
        <v>103.5</v>
      </c>
      <c r="BC60" s="317">
        <v>0</v>
      </c>
      <c r="BD60" s="317">
        <v>0</v>
      </c>
      <c r="BE60" s="316">
        <v>94.25</v>
      </c>
      <c r="BF60" s="317">
        <v>210.48</v>
      </c>
      <c r="BG60" s="317">
        <v>9.59</v>
      </c>
      <c r="BH60" s="317">
        <v>14.33</v>
      </c>
      <c r="BI60" s="317">
        <v>4.02</v>
      </c>
      <c r="BJ60" s="317">
        <v>0</v>
      </c>
      <c r="BK60" s="317">
        <v>0</v>
      </c>
      <c r="BL60" s="317">
        <v>0</v>
      </c>
      <c r="BM60" s="317">
        <v>0</v>
      </c>
      <c r="BN60" s="317">
        <v>45.07</v>
      </c>
      <c r="BO60" s="317">
        <v>10.48</v>
      </c>
      <c r="BP60" s="317">
        <v>8.69</v>
      </c>
      <c r="BQ60" s="317">
        <v>0</v>
      </c>
      <c r="BR60" s="317">
        <v>0</v>
      </c>
      <c r="BS60" s="317">
        <v>2.42</v>
      </c>
      <c r="BT60" s="317">
        <v>9.0400000000000009</v>
      </c>
      <c r="BU60" s="317">
        <v>0</v>
      </c>
      <c r="BV60" s="317">
        <v>0</v>
      </c>
      <c r="BW60" s="317">
        <v>122.05</v>
      </c>
      <c r="BX60" s="317">
        <v>54.48</v>
      </c>
      <c r="BY60" s="317">
        <v>97.65</v>
      </c>
      <c r="BZ60" s="317">
        <v>73.11</v>
      </c>
      <c r="CA60" s="317">
        <v>26.88</v>
      </c>
      <c r="CB60" s="317">
        <v>5.3</v>
      </c>
      <c r="CC60" s="317">
        <v>77.31</v>
      </c>
      <c r="CD60" s="247" t="s">
        <v>248</v>
      </c>
      <c r="CE60" s="268">
        <f ref="CE60:CE68" t="shared" si="4">SUM(C60:CD60)</f>
        <v>4555.2300000000005</v>
      </c>
    </row>
    <row r="61">
      <c r="A61" s="39" t="s">
        <v>263</v>
      </c>
      <c r="B61" s="20"/>
      <c r="C61" s="24">
        <v>50337311.95</v>
      </c>
      <c r="D61" s="24">
        <v>79621797.81</v>
      </c>
      <c r="E61" s="24">
        <v>254508.75</v>
      </c>
      <c r="F61" s="24">
        <v>0</v>
      </c>
      <c r="G61" s="24">
        <v>7859095.32</v>
      </c>
      <c r="H61" s="24">
        <v>12376657.19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452.8</v>
      </c>
      <c r="O61" s="24">
        <v>0</v>
      </c>
      <c r="P61" s="30">
        <v>21131868.56</v>
      </c>
      <c r="Q61" s="30">
        <v>8645966.46</v>
      </c>
      <c r="R61" s="30">
        <v>10402407.67</v>
      </c>
      <c r="S61" s="319">
        <v>3744440.03</v>
      </c>
      <c r="T61" s="319">
        <v>0</v>
      </c>
      <c r="U61" s="31">
        <v>11844669.55</v>
      </c>
      <c r="V61" s="30">
        <v>5984444.28</v>
      </c>
      <c r="W61" s="30">
        <v>1641452.01</v>
      </c>
      <c r="X61" s="30">
        <v>3980612.74</v>
      </c>
      <c r="Y61" s="30">
        <v>17015239.77</v>
      </c>
      <c r="Z61" s="30">
        <v>974800.84</v>
      </c>
      <c r="AA61" s="30">
        <v>483426.25</v>
      </c>
      <c r="AB61" s="320">
        <v>23318999.06</v>
      </c>
      <c r="AC61" s="30">
        <v>10225713.35</v>
      </c>
      <c r="AD61" s="30">
        <v>0</v>
      </c>
      <c r="AE61" s="30">
        <v>8419276.12</v>
      </c>
      <c r="AF61" s="30">
        <v>7343670.71</v>
      </c>
      <c r="AG61" s="30">
        <v>32128134.39</v>
      </c>
      <c r="AH61" s="30">
        <v>0</v>
      </c>
      <c r="AI61" s="30">
        <v>0</v>
      </c>
      <c r="AJ61" s="30">
        <v>64589971.8</v>
      </c>
      <c r="AK61" s="30">
        <v>3126721.27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809831.3</v>
      </c>
      <c r="AV61" s="319">
        <v>5573111.61</v>
      </c>
      <c r="AW61" s="319">
        <v>215427.34</v>
      </c>
      <c r="AX61" s="319">
        <v>0</v>
      </c>
      <c r="AY61" s="30">
        <v>7395848.06</v>
      </c>
      <c r="AZ61" s="30">
        <v>0</v>
      </c>
      <c r="BA61" s="319">
        <v>543083.34</v>
      </c>
      <c r="BB61" s="319">
        <v>8369459.38</v>
      </c>
      <c r="BC61" s="319">
        <v>0</v>
      </c>
      <c r="BD61" s="319">
        <v>0</v>
      </c>
      <c r="BE61" s="30">
        <v>8038796.69</v>
      </c>
      <c r="BF61" s="319">
        <v>10195218.7</v>
      </c>
      <c r="BG61" s="319">
        <v>517116.81</v>
      </c>
      <c r="BH61" s="319">
        <v>982469.28</v>
      </c>
      <c r="BI61" s="319">
        <v>263398.69</v>
      </c>
      <c r="BJ61" s="319">
        <v>0</v>
      </c>
      <c r="BK61" s="319">
        <v>0</v>
      </c>
      <c r="BL61" s="319">
        <v>0</v>
      </c>
      <c r="BM61" s="319">
        <v>0</v>
      </c>
      <c r="BN61" s="319">
        <v>5443678.94</v>
      </c>
      <c r="BO61" s="319">
        <v>1103905.47</v>
      </c>
      <c r="BP61" s="319">
        <v>654599.41</v>
      </c>
      <c r="BQ61" s="319">
        <v>0</v>
      </c>
      <c r="BR61" s="319">
        <v>0</v>
      </c>
      <c r="BS61" s="319">
        <v>173114.1</v>
      </c>
      <c r="BT61" s="319">
        <v>611567.07</v>
      </c>
      <c r="BU61" s="319">
        <v>0</v>
      </c>
      <c r="BV61" s="319">
        <v>0</v>
      </c>
      <c r="BW61" s="319">
        <v>22617490.29</v>
      </c>
      <c r="BX61" s="319">
        <v>6372279.82</v>
      </c>
      <c r="BY61" s="319">
        <v>10493768.92</v>
      </c>
      <c r="BZ61" s="319">
        <v>12659165.48</v>
      </c>
      <c r="CA61" s="319">
        <v>3103076.74</v>
      </c>
      <c r="CB61" s="319">
        <v>729791.24</v>
      </c>
      <c r="CC61" s="319">
        <v>12941283.690000001</v>
      </c>
      <c r="CD61" s="29" t="s">
        <v>248</v>
      </c>
      <c r="CE61" s="32">
        <f t="shared" si="4"/>
        <v>505259121.05000007</v>
      </c>
    </row>
    <row r="62">
      <c r="A62" s="39" t="s">
        <v>11</v>
      </c>
      <c r="B62" s="20"/>
      <c r="C62" s="32">
        <f>ROUND(C47+C48,0)</f>
        <v>9803110</v>
      </c>
      <c r="D62" s="32">
        <f ref="D62:BO62" t="shared" si="5">ROUND(D47+D48,0)</f>
        <v>16673067</v>
      </c>
      <c r="E62" s="32">
        <f t="shared" si="5"/>
        <v>62587</v>
      </c>
      <c r="F62" s="32">
        <f t="shared" si="5"/>
        <v>0</v>
      </c>
      <c r="G62" s="32">
        <f t="shared" si="5"/>
        <v>1799542</v>
      </c>
      <c r="H62" s="32">
        <f t="shared" si="5"/>
        <v>3619955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162</v>
      </c>
      <c r="O62" s="32">
        <f t="shared" si="5"/>
        <v>0</v>
      </c>
      <c r="P62" s="32">
        <f t="shared" si="5"/>
        <v>5733392</v>
      </c>
      <c r="Q62" s="32">
        <f t="shared" si="5"/>
        <v>2641651</v>
      </c>
      <c r="R62" s="32">
        <f t="shared" si="5"/>
        <v>3017715</v>
      </c>
      <c r="S62" s="32">
        <f t="shared" si="5"/>
        <v>1031375</v>
      </c>
      <c r="T62" s="32">
        <f t="shared" si="5"/>
        <v>0</v>
      </c>
      <c r="U62" s="32">
        <f t="shared" si="5"/>
        <v>3948315</v>
      </c>
      <c r="V62" s="32">
        <f t="shared" si="5"/>
        <v>1919101</v>
      </c>
      <c r="W62" s="32">
        <f t="shared" si="5"/>
        <v>441909</v>
      </c>
      <c r="X62" s="32">
        <f t="shared" si="5"/>
        <v>833062</v>
      </c>
      <c r="Y62" s="32">
        <f t="shared" si="5"/>
        <v>5103924</v>
      </c>
      <c r="Z62" s="32">
        <f t="shared" si="5"/>
        <v>297511</v>
      </c>
      <c r="AA62" s="32">
        <f t="shared" si="5"/>
        <v>177240</v>
      </c>
      <c r="AB62" s="32">
        <f t="shared" si="5"/>
        <v>8058261</v>
      </c>
      <c r="AC62" s="32">
        <f t="shared" si="5"/>
        <v>2385784</v>
      </c>
      <c r="AD62" s="32">
        <f t="shared" si="5"/>
        <v>0</v>
      </c>
      <c r="AE62" s="32">
        <f t="shared" si="5"/>
        <v>2788128</v>
      </c>
      <c r="AF62" s="32">
        <f t="shared" si="5"/>
        <v>2430351</v>
      </c>
      <c r="AG62" s="32">
        <f t="shared" si="5"/>
        <v>6331136</v>
      </c>
      <c r="AH62" s="32">
        <f t="shared" si="5"/>
        <v>0</v>
      </c>
      <c r="AI62" s="32">
        <f t="shared" si="5"/>
        <v>0</v>
      </c>
      <c r="AJ62" s="32">
        <f t="shared" si="5"/>
        <v>20505815</v>
      </c>
      <c r="AK62" s="32">
        <f t="shared" si="5"/>
        <v>1050078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272821</v>
      </c>
      <c r="AV62" s="32">
        <f t="shared" si="5"/>
        <v>1625941</v>
      </c>
      <c r="AW62" s="32">
        <f t="shared" si="5"/>
        <v>49979</v>
      </c>
      <c r="AX62" s="32">
        <f t="shared" si="5"/>
        <v>0</v>
      </c>
      <c r="AY62" s="32">
        <f t="shared" si="5"/>
        <v>2551333</v>
      </c>
      <c r="AZ62" s="32">
        <f t="shared" si="5"/>
        <v>0</v>
      </c>
      <c r="BA62" s="32">
        <f t="shared" si="5"/>
        <v>186598</v>
      </c>
      <c r="BB62" s="32">
        <f t="shared" si="5"/>
        <v>2911529</v>
      </c>
      <c r="BC62" s="32">
        <f t="shared" si="5"/>
        <v>0</v>
      </c>
      <c r="BD62" s="32">
        <f t="shared" si="5"/>
        <v>0</v>
      </c>
      <c r="BE62" s="32">
        <f t="shared" si="5"/>
        <v>2870928</v>
      </c>
      <c r="BF62" s="32">
        <f t="shared" si="5"/>
        <v>3403337</v>
      </c>
      <c r="BG62" s="32">
        <f t="shared" si="5"/>
        <v>181912</v>
      </c>
      <c r="BH62" s="32">
        <f t="shared" si="5"/>
        <v>322363</v>
      </c>
      <c r="BI62" s="32">
        <f t="shared" si="5"/>
        <v>83801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1670158</v>
      </c>
      <c r="BO62" s="32">
        <f t="shared" si="5"/>
        <v>348676</v>
      </c>
      <c r="BP62" s="32">
        <f ref="BP62:CC62" t="shared" si="6">ROUND(BP47+BP48,0)</f>
        <v>209438</v>
      </c>
      <c r="BQ62" s="32">
        <f t="shared" si="6"/>
        <v>0</v>
      </c>
      <c r="BR62" s="32">
        <f t="shared" si="6"/>
        <v>0</v>
      </c>
      <c r="BS62" s="32">
        <f t="shared" si="6"/>
        <v>50790</v>
      </c>
      <c r="BT62" s="32">
        <f t="shared" si="6"/>
        <v>170305</v>
      </c>
      <c r="BU62" s="32">
        <f t="shared" si="6"/>
        <v>0</v>
      </c>
      <c r="BV62" s="32">
        <f t="shared" si="6"/>
        <v>0</v>
      </c>
      <c r="BW62" s="32">
        <f t="shared" si="6"/>
        <v>6363827</v>
      </c>
      <c r="BX62" s="32">
        <f t="shared" si="6"/>
        <v>2029495</v>
      </c>
      <c r="BY62" s="32">
        <f t="shared" si="6"/>
        <v>3502913</v>
      </c>
      <c r="BZ62" s="32">
        <f t="shared" si="6"/>
        <v>1692361</v>
      </c>
      <c r="CA62" s="32">
        <f t="shared" si="6"/>
        <v>935211</v>
      </c>
      <c r="CB62" s="32">
        <f t="shared" si="6"/>
        <v>217636</v>
      </c>
      <c r="CC62" s="32">
        <f t="shared" si="6"/>
        <v>4705624</v>
      </c>
      <c r="CD62" s="29" t="s">
        <v>248</v>
      </c>
      <c r="CE62" s="32">
        <f t="shared" si="4"/>
        <v>137010147</v>
      </c>
    </row>
    <row r="63">
      <c r="A63" s="39" t="s">
        <v>264</v>
      </c>
      <c r="B63" s="20"/>
      <c r="C63" s="24">
        <v>0</v>
      </c>
      <c r="D63" s="24">
        <v>665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  <c r="R63" s="30">
        <v>0</v>
      </c>
      <c r="S63" s="319">
        <v>0</v>
      </c>
      <c r="T63" s="319">
        <v>0</v>
      </c>
      <c r="U63" s="31">
        <v>0</v>
      </c>
      <c r="V63" s="30">
        <v>101885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152085.45</v>
      </c>
      <c r="AC63" s="30">
        <v>0</v>
      </c>
      <c r="AD63" s="30">
        <v>0</v>
      </c>
      <c r="AE63" s="30">
        <v>0</v>
      </c>
      <c r="AF63" s="30">
        <v>67116.38</v>
      </c>
      <c r="AG63" s="30">
        <v>675</v>
      </c>
      <c r="AH63" s="30">
        <v>0</v>
      </c>
      <c r="AI63" s="30">
        <v>0</v>
      </c>
      <c r="AJ63" s="30">
        <v>144132.25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78464.5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219485.18</v>
      </c>
      <c r="BC63" s="319">
        <v>0</v>
      </c>
      <c r="BD63" s="319">
        <v>0</v>
      </c>
      <c r="BE63" s="30">
        <v>800</v>
      </c>
      <c r="BF63" s="319">
        <v>0</v>
      </c>
      <c r="BG63" s="319">
        <v>0</v>
      </c>
      <c r="BH63" s="319">
        <v>0</v>
      </c>
      <c r="BI63" s="319">
        <v>0</v>
      </c>
      <c r="BJ63" s="319">
        <v>439476</v>
      </c>
      <c r="BK63" s="319">
        <v>0</v>
      </c>
      <c r="BL63" s="319">
        <v>0</v>
      </c>
      <c r="BM63" s="319">
        <v>0</v>
      </c>
      <c r="BN63" s="319">
        <v>1298659.74</v>
      </c>
      <c r="BO63" s="319">
        <v>0</v>
      </c>
      <c r="BP63" s="319">
        <v>0</v>
      </c>
      <c r="BQ63" s="319">
        <v>0</v>
      </c>
      <c r="BR63" s="319">
        <v>0</v>
      </c>
      <c r="BS63" s="319">
        <v>3075</v>
      </c>
      <c r="BT63" s="319">
        <v>0</v>
      </c>
      <c r="BU63" s="319">
        <v>0</v>
      </c>
      <c r="BV63" s="319">
        <v>0</v>
      </c>
      <c r="BW63" s="319">
        <v>38118955.68</v>
      </c>
      <c r="BX63" s="319">
        <v>0</v>
      </c>
      <c r="BY63" s="319">
        <v>14031.51</v>
      </c>
      <c r="BZ63" s="319">
        <v>0</v>
      </c>
      <c r="CA63" s="319">
        <v>34784.22</v>
      </c>
      <c r="CB63" s="319">
        <v>0</v>
      </c>
      <c r="CC63" s="319">
        <v>7097.99</v>
      </c>
      <c r="CD63" s="29" t="s">
        <v>248</v>
      </c>
      <c r="CE63" s="32">
        <f t="shared" si="4"/>
        <v>40681388.9</v>
      </c>
    </row>
    <row r="64">
      <c r="A64" s="39" t="s">
        <v>265</v>
      </c>
      <c r="B64" s="20"/>
      <c r="C64" s="24">
        <v>6023257.4</v>
      </c>
      <c r="D64" s="24">
        <v>5770567.03</v>
      </c>
      <c r="E64" s="24">
        <v>19252.3</v>
      </c>
      <c r="F64" s="24">
        <v>0</v>
      </c>
      <c r="G64" s="24">
        <v>447073.37</v>
      </c>
      <c r="H64" s="24">
        <v>248520.45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42049.37</v>
      </c>
      <c r="O64" s="24">
        <v>0</v>
      </c>
      <c r="P64" s="30">
        <v>49383569.17</v>
      </c>
      <c r="Q64" s="30">
        <v>758721.72</v>
      </c>
      <c r="R64" s="30">
        <v>2509310.86</v>
      </c>
      <c r="S64" s="319">
        <v>2421363.39</v>
      </c>
      <c r="T64" s="319">
        <v>0</v>
      </c>
      <c r="U64" s="31">
        <v>6958032.61</v>
      </c>
      <c r="V64" s="30">
        <v>1601221.28</v>
      </c>
      <c r="W64" s="30">
        <v>169554.81</v>
      </c>
      <c r="X64" s="30">
        <v>581308.91</v>
      </c>
      <c r="Y64" s="30">
        <v>6798672.64</v>
      </c>
      <c r="Z64" s="30">
        <v>239488.1</v>
      </c>
      <c r="AA64" s="30">
        <v>106304.84</v>
      </c>
      <c r="AB64" s="320">
        <v>89915659.89</v>
      </c>
      <c r="AC64" s="30">
        <v>1523031.13</v>
      </c>
      <c r="AD64" s="30">
        <v>1559.13</v>
      </c>
      <c r="AE64" s="30">
        <v>131770.8</v>
      </c>
      <c r="AF64" s="30">
        <v>57843.18</v>
      </c>
      <c r="AG64" s="30">
        <v>3733972.84</v>
      </c>
      <c r="AH64" s="30">
        <v>0</v>
      </c>
      <c r="AI64" s="30">
        <v>0</v>
      </c>
      <c r="AJ64" s="30">
        <v>8998702.87</v>
      </c>
      <c r="AK64" s="30">
        <v>26733.72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4829.6</v>
      </c>
      <c r="AV64" s="319">
        <v>206625.49</v>
      </c>
      <c r="AW64" s="319">
        <v>496240</v>
      </c>
      <c r="AX64" s="319">
        <v>0</v>
      </c>
      <c r="AY64" s="30">
        <v>6045241.54</v>
      </c>
      <c r="AZ64" s="30">
        <v>0</v>
      </c>
      <c r="BA64" s="319">
        <v>899519.91</v>
      </c>
      <c r="BB64" s="319">
        <v>148664.68</v>
      </c>
      <c r="BC64" s="319">
        <v>0</v>
      </c>
      <c r="BD64" s="319">
        <v>15.37</v>
      </c>
      <c r="BE64" s="30">
        <v>1722789.7</v>
      </c>
      <c r="BF64" s="319">
        <v>1683309.37</v>
      </c>
      <c r="BG64" s="319">
        <v>2014.99</v>
      </c>
      <c r="BH64" s="319">
        <v>224987.12</v>
      </c>
      <c r="BI64" s="319">
        <v>272532.81</v>
      </c>
      <c r="BJ64" s="319">
        <v>0</v>
      </c>
      <c r="BK64" s="319">
        <v>0</v>
      </c>
      <c r="BL64" s="319">
        <v>0</v>
      </c>
      <c r="BM64" s="319">
        <v>325</v>
      </c>
      <c r="BN64" s="319">
        <v>1195570.88</v>
      </c>
      <c r="BO64" s="319">
        <v>44076.34</v>
      </c>
      <c r="BP64" s="319">
        <v>2095.6</v>
      </c>
      <c r="BQ64" s="319">
        <v>0</v>
      </c>
      <c r="BR64" s="319">
        <v>0</v>
      </c>
      <c r="BS64" s="319">
        <v>33968.31</v>
      </c>
      <c r="BT64" s="319">
        <v>2447.26</v>
      </c>
      <c r="BU64" s="319">
        <v>0</v>
      </c>
      <c r="BV64" s="319">
        <v>0</v>
      </c>
      <c r="BW64" s="319">
        <v>10834.91</v>
      </c>
      <c r="BX64" s="319">
        <v>96912.06</v>
      </c>
      <c r="BY64" s="319">
        <v>20095.47</v>
      </c>
      <c r="BZ64" s="319">
        <v>6733.3</v>
      </c>
      <c r="CA64" s="319">
        <v>94739.04</v>
      </c>
      <c r="CB64" s="319">
        <v>33909.45</v>
      </c>
      <c r="CC64" s="319">
        <v>-2882444.48</v>
      </c>
      <c r="CD64" s="29" t="s">
        <v>248</v>
      </c>
      <c r="CE64" s="32">
        <f t="shared" si="4"/>
        <v>198833575.53</v>
      </c>
    </row>
    <row r="65">
      <c r="A65" s="39" t="s">
        <v>266</v>
      </c>
      <c r="B65" s="20"/>
      <c r="C65" s="24">
        <v>572.52</v>
      </c>
      <c r="D65" s="24">
        <v>41.04</v>
      </c>
      <c r="E65" s="24">
        <v>0</v>
      </c>
      <c r="F65" s="24">
        <v>0</v>
      </c>
      <c r="G65" s="24">
        <v>34.42</v>
      </c>
      <c r="H65" s="24">
        <v>41.04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77.13</v>
      </c>
      <c r="R65" s="30">
        <v>45.6</v>
      </c>
      <c r="S65" s="319">
        <v>10281.45</v>
      </c>
      <c r="T65" s="319">
        <v>0</v>
      </c>
      <c r="U65" s="31">
        <v>1733.36</v>
      </c>
      <c r="V65" s="30">
        <v>2881.4</v>
      </c>
      <c r="W65" s="30">
        <v>0</v>
      </c>
      <c r="X65" s="30">
        <v>305.76</v>
      </c>
      <c r="Y65" s="30">
        <v>41.04</v>
      </c>
      <c r="Z65" s="30">
        <v>346.13</v>
      </c>
      <c r="AA65" s="30">
        <v>0</v>
      </c>
      <c r="AB65" s="320">
        <v>12542.69</v>
      </c>
      <c r="AC65" s="30">
        <v>0</v>
      </c>
      <c r="AD65" s="30">
        <v>0</v>
      </c>
      <c r="AE65" s="30">
        <v>0</v>
      </c>
      <c r="AF65" s="30">
        <v>86.64</v>
      </c>
      <c r="AG65" s="30">
        <v>0</v>
      </c>
      <c r="AH65" s="30">
        <v>0</v>
      </c>
      <c r="AI65" s="30">
        <v>0</v>
      </c>
      <c r="AJ65" s="30">
        <v>31887.64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510.12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301.6</v>
      </c>
      <c r="BC65" s="319">
        <v>0</v>
      </c>
      <c r="BD65" s="319">
        <v>0</v>
      </c>
      <c r="BE65" s="30">
        <v>5013992.29</v>
      </c>
      <c r="BF65" s="319">
        <v>615265.12</v>
      </c>
      <c r="BG65" s="319">
        <v>18456.45</v>
      </c>
      <c r="BH65" s="319">
        <v>192194.88</v>
      </c>
      <c r="BI65" s="319">
        <v>86.64</v>
      </c>
      <c r="BJ65" s="319">
        <v>0</v>
      </c>
      <c r="BK65" s="319">
        <v>0</v>
      </c>
      <c r="BL65" s="319">
        <v>0</v>
      </c>
      <c r="BM65" s="319">
        <v>0</v>
      </c>
      <c r="BN65" s="319">
        <v>523.04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11631.27</v>
      </c>
      <c r="BX65" s="319">
        <v>1493.98</v>
      </c>
      <c r="BY65" s="319">
        <v>212.16</v>
      </c>
      <c r="BZ65" s="319">
        <v>0</v>
      </c>
      <c r="CA65" s="319">
        <v>4996.92</v>
      </c>
      <c r="CB65" s="319">
        <v>0</v>
      </c>
      <c r="CC65" s="319">
        <v>5138803.36</v>
      </c>
      <c r="CD65" s="29" t="s">
        <v>248</v>
      </c>
      <c r="CE65" s="32">
        <f t="shared" si="4"/>
        <v>11059385.690000001</v>
      </c>
    </row>
    <row r="66">
      <c r="A66" s="39" t="s">
        <v>267</v>
      </c>
      <c r="B66" s="20"/>
      <c r="C66" s="24">
        <v>602744.96</v>
      </c>
      <c r="D66" s="24">
        <v>735431.71</v>
      </c>
      <c r="E66" s="24">
        <v>0</v>
      </c>
      <c r="F66" s="24">
        <v>0</v>
      </c>
      <c r="G66" s="24">
        <v>90213.09</v>
      </c>
      <c r="H66" s="24">
        <v>121282.06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1340049.22</v>
      </c>
      <c r="Q66" s="30">
        <v>111009.17</v>
      </c>
      <c r="R66" s="30">
        <v>25830.07</v>
      </c>
      <c r="S66" s="319">
        <v>3677685.12</v>
      </c>
      <c r="T66" s="319">
        <v>0</v>
      </c>
      <c r="U66" s="31">
        <v>11610862.3</v>
      </c>
      <c r="V66" s="30">
        <v>117546.19</v>
      </c>
      <c r="W66" s="30">
        <v>90252.25</v>
      </c>
      <c r="X66" s="30">
        <v>91830.22</v>
      </c>
      <c r="Y66" s="30">
        <v>203501.74</v>
      </c>
      <c r="Z66" s="30">
        <v>5832.58</v>
      </c>
      <c r="AA66" s="30">
        <v>0</v>
      </c>
      <c r="AB66" s="320">
        <v>5027666.12</v>
      </c>
      <c r="AC66" s="30">
        <v>1600</v>
      </c>
      <c r="AD66" s="30">
        <v>3454573</v>
      </c>
      <c r="AE66" s="30">
        <v>22712.27</v>
      </c>
      <c r="AF66" s="30">
        <v>172109.02</v>
      </c>
      <c r="AG66" s="30">
        <v>382726.89</v>
      </c>
      <c r="AH66" s="30">
        <v>61383.51</v>
      </c>
      <c r="AI66" s="30">
        <v>0</v>
      </c>
      <c r="AJ66" s="30">
        <v>2081693.78</v>
      </c>
      <c r="AK66" s="30">
        <v>2201.34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364518.02</v>
      </c>
      <c r="AV66" s="319">
        <v>8132733.06</v>
      </c>
      <c r="AW66" s="319">
        <v>31014255</v>
      </c>
      <c r="AX66" s="319">
        <v>0</v>
      </c>
      <c r="AY66" s="30">
        <v>392518.31</v>
      </c>
      <c r="AZ66" s="30">
        <v>0</v>
      </c>
      <c r="BA66" s="319">
        <v>139563.12</v>
      </c>
      <c r="BB66" s="319">
        <v>7604535.67</v>
      </c>
      <c r="BC66" s="319">
        <v>0</v>
      </c>
      <c r="BD66" s="319">
        <v>3634314.87</v>
      </c>
      <c r="BE66" s="30">
        <v>8273073.57</v>
      </c>
      <c r="BF66" s="319">
        <v>410354.25</v>
      </c>
      <c r="BG66" s="319">
        <v>41023.02</v>
      </c>
      <c r="BH66" s="319">
        <v>78930056.24</v>
      </c>
      <c r="BI66" s="319">
        <v>17879.16</v>
      </c>
      <c r="BJ66" s="319">
        <v>7554590.83</v>
      </c>
      <c r="BK66" s="319">
        <v>18856693.18</v>
      </c>
      <c r="BL66" s="319">
        <v>5942195.55</v>
      </c>
      <c r="BM66" s="319">
        <v>0</v>
      </c>
      <c r="BN66" s="319">
        <v>3936764.53</v>
      </c>
      <c r="BO66" s="319">
        <v>3306.13</v>
      </c>
      <c r="BP66" s="319">
        <v>352166.17</v>
      </c>
      <c r="BQ66" s="319">
        <v>0</v>
      </c>
      <c r="BR66" s="319">
        <v>6928728.34</v>
      </c>
      <c r="BS66" s="319">
        <v>21401.4</v>
      </c>
      <c r="BT66" s="319">
        <v>3930</v>
      </c>
      <c r="BU66" s="319">
        <v>0</v>
      </c>
      <c r="BV66" s="319">
        <v>6465977.25</v>
      </c>
      <c r="BW66" s="319">
        <v>1451904.11</v>
      </c>
      <c r="BX66" s="319">
        <v>40380.03</v>
      </c>
      <c r="BY66" s="319">
        <v>10640.75</v>
      </c>
      <c r="BZ66" s="319">
        <v>0</v>
      </c>
      <c r="CA66" s="319">
        <v>167809.34</v>
      </c>
      <c r="CB66" s="319">
        <v>36463.07</v>
      </c>
      <c r="CC66" s="319">
        <v>24553529.439999998</v>
      </c>
      <c r="CD66" s="29" t="s">
        <v>248</v>
      </c>
      <c r="CE66" s="32">
        <f t="shared" si="4"/>
        <v>245312041.02000004</v>
      </c>
    </row>
    <row r="67">
      <c r="A67" s="39" t="s">
        <v>16</v>
      </c>
      <c r="B67" s="20"/>
      <c r="C67" s="32">
        <f ref="C67:BN67" t="shared" si="7">ROUND(C51+C52,0)</f>
        <v>454267</v>
      </c>
      <c r="D67" s="32">
        <f t="shared" si="7"/>
        <v>276725</v>
      </c>
      <c r="E67" s="32">
        <f t="shared" si="7"/>
        <v>0</v>
      </c>
      <c r="F67" s="32">
        <f t="shared" si="7"/>
        <v>0</v>
      </c>
      <c r="G67" s="32">
        <f t="shared" si="7"/>
        <v>26737</v>
      </c>
      <c r="H67" s="32">
        <f t="shared" si="7"/>
        <v>63726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2739600</v>
      </c>
      <c r="Q67" s="32">
        <f t="shared" si="7"/>
        <v>43811</v>
      </c>
      <c r="R67" s="32">
        <f t="shared" si="7"/>
        <v>174773</v>
      </c>
      <c r="S67" s="32">
        <f t="shared" si="7"/>
        <v>195482</v>
      </c>
      <c r="T67" s="32">
        <f t="shared" si="7"/>
        <v>0</v>
      </c>
      <c r="U67" s="32">
        <f t="shared" si="7"/>
        <v>411533</v>
      </c>
      <c r="V67" s="32">
        <f t="shared" si="7"/>
        <v>335235</v>
      </c>
      <c r="W67" s="32">
        <f t="shared" si="7"/>
        <v>340067</v>
      </c>
      <c r="X67" s="32">
        <f t="shared" si="7"/>
        <v>613114</v>
      </c>
      <c r="Y67" s="32">
        <f t="shared" si="7"/>
        <v>1209481</v>
      </c>
      <c r="Z67" s="32">
        <f t="shared" si="7"/>
        <v>176470</v>
      </c>
      <c r="AA67" s="32">
        <f t="shared" si="7"/>
        <v>244438</v>
      </c>
      <c r="AB67" s="32">
        <f t="shared" si="7"/>
        <v>15927</v>
      </c>
      <c r="AC67" s="32">
        <f t="shared" si="7"/>
        <v>404851</v>
      </c>
      <c r="AD67" s="32">
        <f t="shared" si="7"/>
        <v>34705</v>
      </c>
      <c r="AE67" s="32">
        <f t="shared" si="7"/>
        <v>6599</v>
      </c>
      <c r="AF67" s="32">
        <f t="shared" si="7"/>
        <v>0</v>
      </c>
      <c r="AG67" s="32">
        <f t="shared" si="7"/>
        <v>266401</v>
      </c>
      <c r="AH67" s="32">
        <f t="shared" si="7"/>
        <v>0</v>
      </c>
      <c r="AI67" s="32">
        <f t="shared" si="7"/>
        <v>0</v>
      </c>
      <c r="AJ67" s="32">
        <f t="shared" si="7"/>
        <v>1050052</v>
      </c>
      <c r="AK67" s="32">
        <f t="shared" si="7"/>
        <v>21296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1017</v>
      </c>
      <c r="AW67" s="32">
        <f t="shared" si="7"/>
        <v>0</v>
      </c>
      <c r="AX67" s="32">
        <f t="shared" si="7"/>
        <v>0</v>
      </c>
      <c r="AY67" s="32">
        <f t="shared" si="7"/>
        <v>130212</v>
      </c>
      <c r="AZ67" s="32">
        <f t="shared" si="7"/>
        <v>0</v>
      </c>
      <c r="BA67" s="32">
        <f t="shared" si="7"/>
        <v>1586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2205313</v>
      </c>
      <c r="BF67" s="32">
        <f t="shared" si="7"/>
        <v>59997</v>
      </c>
      <c r="BG67" s="32">
        <f t="shared" si="7"/>
        <v>7154</v>
      </c>
      <c r="BH67" s="32">
        <f t="shared" si="7"/>
        <v>908462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0</v>
      </c>
      <c r="BO67" s="32">
        <f ref="BO67:CC67" t="shared" si="8">ROUND(BO51+BO52,0)</f>
        <v>1054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10161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1776</v>
      </c>
      <c r="CA67" s="32">
        <f t="shared" si="8"/>
        <v>7512</v>
      </c>
      <c r="CB67" s="32">
        <f t="shared" si="8"/>
        <v>0</v>
      </c>
      <c r="CC67" s="32">
        <f t="shared" si="8"/>
        <v>26280360</v>
      </c>
      <c r="CD67" s="29" t="s">
        <v>248</v>
      </c>
      <c r="CE67" s="32">
        <f t="shared" si="4"/>
        <v>38719894</v>
      </c>
    </row>
    <row r="68">
      <c r="A68" s="39" t="s">
        <v>268</v>
      </c>
      <c r="B68" s="32"/>
      <c r="C68" s="24">
        <v>1565.14</v>
      </c>
      <c r="D68" s="24">
        <v>144.76</v>
      </c>
      <c r="E68" s="24">
        <v>0</v>
      </c>
      <c r="F68" s="24">
        <v>0</v>
      </c>
      <c r="G68" s="24">
        <v>81.14</v>
      </c>
      <c r="H68" s="24">
        <v>167.87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30428.7</v>
      </c>
      <c r="Q68" s="30">
        <v>0</v>
      </c>
      <c r="R68" s="30">
        <v>109273.92</v>
      </c>
      <c r="S68" s="319">
        <v>2261636.33</v>
      </c>
      <c r="T68" s="319">
        <v>0</v>
      </c>
      <c r="U68" s="31">
        <v>8297.61</v>
      </c>
      <c r="V68" s="30">
        <v>210817.14</v>
      </c>
      <c r="W68" s="30">
        <v>0</v>
      </c>
      <c r="X68" s="30">
        <v>0</v>
      </c>
      <c r="Y68" s="30">
        <v>46386.14</v>
      </c>
      <c r="Z68" s="30">
        <v>81.12</v>
      </c>
      <c r="AA68" s="30">
        <v>89.99</v>
      </c>
      <c r="AB68" s="320">
        <v>1242683.55</v>
      </c>
      <c r="AC68" s="30">
        <v>15038.21</v>
      </c>
      <c r="AD68" s="30">
        <v>0</v>
      </c>
      <c r="AE68" s="30">
        <v>104.2</v>
      </c>
      <c r="AF68" s="30">
        <v>973.32</v>
      </c>
      <c r="AG68" s="30">
        <v>280.23</v>
      </c>
      <c r="AH68" s="30">
        <v>0</v>
      </c>
      <c r="AI68" s="30">
        <v>0</v>
      </c>
      <c r="AJ68" s="30">
        <v>715004.01</v>
      </c>
      <c r="AK68" s="30">
        <v>81.21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30108.48</v>
      </c>
      <c r="AW68" s="319">
        <v>0</v>
      </c>
      <c r="AX68" s="319">
        <v>0</v>
      </c>
      <c r="AY68" s="30">
        <v>163.11</v>
      </c>
      <c r="AZ68" s="30">
        <v>0</v>
      </c>
      <c r="BA68" s="319">
        <v>81.2</v>
      </c>
      <c r="BB68" s="319">
        <v>174.58</v>
      </c>
      <c r="BC68" s="319">
        <v>0</v>
      </c>
      <c r="BD68" s="319">
        <v>0</v>
      </c>
      <c r="BE68" s="30">
        <v>87228.5</v>
      </c>
      <c r="BF68" s="319">
        <v>135.94</v>
      </c>
      <c r="BG68" s="319">
        <v>179.85</v>
      </c>
      <c r="BH68" s="319">
        <v>1893457.46</v>
      </c>
      <c r="BI68" s="319">
        <v>861.95</v>
      </c>
      <c r="BJ68" s="319">
        <v>0</v>
      </c>
      <c r="BK68" s="319">
        <v>0</v>
      </c>
      <c r="BL68" s="319">
        <v>0</v>
      </c>
      <c r="BM68" s="319">
        <v>0</v>
      </c>
      <c r="BN68" s="319">
        <v>8741.51</v>
      </c>
      <c r="BO68" s="319">
        <v>226.41</v>
      </c>
      <c r="BP68" s="319">
        <v>0</v>
      </c>
      <c r="BQ68" s="319">
        <v>0</v>
      </c>
      <c r="BR68" s="319">
        <v>0</v>
      </c>
      <c r="BS68" s="319">
        <v>81.14</v>
      </c>
      <c r="BT68" s="319">
        <v>81.2</v>
      </c>
      <c r="BU68" s="319">
        <v>0</v>
      </c>
      <c r="BV68" s="319">
        <v>0</v>
      </c>
      <c r="BW68" s="319">
        <v>710.75</v>
      </c>
      <c r="BX68" s="319">
        <v>81.71</v>
      </c>
      <c r="BY68" s="319">
        <v>478.38</v>
      </c>
      <c r="BZ68" s="319">
        <v>0</v>
      </c>
      <c r="CA68" s="319">
        <v>1241.72</v>
      </c>
      <c r="CB68" s="319">
        <v>0</v>
      </c>
      <c r="CC68" s="319">
        <v>-2631235.6400000006</v>
      </c>
      <c r="CD68" s="29" t="s">
        <v>248</v>
      </c>
      <c r="CE68" s="32">
        <f t="shared" si="4"/>
        <v>4035932.84</v>
      </c>
    </row>
    <row r="69">
      <c r="A69" s="39" t="s">
        <v>269</v>
      </c>
      <c r="B69" s="20"/>
      <c r="C69" s="32">
        <f ref="C69:BN69" t="shared" si="9">SUM(C70:C83)</f>
        <v>61601</v>
      </c>
      <c r="D69" s="32">
        <f t="shared" si="9"/>
        <v>254262.76</v>
      </c>
      <c r="E69" s="32">
        <f t="shared" si="9"/>
        <v>5655.84</v>
      </c>
      <c r="F69" s="32">
        <f t="shared" si="9"/>
        <v>0</v>
      </c>
      <c r="G69" s="32">
        <f t="shared" si="9"/>
        <v>19850.51</v>
      </c>
      <c r="H69" s="32">
        <f t="shared" si="9"/>
        <v>111934.43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22025</v>
      </c>
      <c r="Q69" s="32">
        <f t="shared" si="9"/>
        <v>25100.55</v>
      </c>
      <c r="R69" s="32">
        <f t="shared" si="9"/>
        <v>0</v>
      </c>
      <c r="S69" s="32">
        <f t="shared" si="9"/>
        <v>1132211.34</v>
      </c>
      <c r="T69" s="32">
        <f t="shared" si="9"/>
        <v>0</v>
      </c>
      <c r="U69" s="32">
        <f t="shared" si="9"/>
        <v>112923.1</v>
      </c>
      <c r="V69" s="32">
        <f t="shared" si="9"/>
        <v>9753.88</v>
      </c>
      <c r="W69" s="32">
        <f t="shared" si="9"/>
        <v>5490</v>
      </c>
      <c r="X69" s="32">
        <f t="shared" si="9"/>
        <v>0</v>
      </c>
      <c r="Y69" s="32">
        <f t="shared" si="9"/>
        <v>17161.32</v>
      </c>
      <c r="Z69" s="32">
        <f t="shared" si="9"/>
        <v>7710.78</v>
      </c>
      <c r="AA69" s="32">
        <f t="shared" si="9"/>
        <v>4595.87</v>
      </c>
      <c r="AB69" s="32">
        <f t="shared" si="9"/>
        <v>202336.35</v>
      </c>
      <c r="AC69" s="32">
        <f t="shared" si="9"/>
        <v>4914.12</v>
      </c>
      <c r="AD69" s="32">
        <f t="shared" si="9"/>
        <v>0</v>
      </c>
      <c r="AE69" s="32">
        <f t="shared" si="9"/>
        <v>2197.15</v>
      </c>
      <c r="AF69" s="32">
        <f t="shared" si="9"/>
        <v>75210.79</v>
      </c>
      <c r="AG69" s="32">
        <f t="shared" si="9"/>
        <v>113628.36</v>
      </c>
      <c r="AH69" s="32">
        <f t="shared" si="9"/>
        <v>0</v>
      </c>
      <c r="AI69" s="32">
        <f t="shared" si="9"/>
        <v>0</v>
      </c>
      <c r="AJ69" s="32">
        <f t="shared" si="9"/>
        <v>128334.99</v>
      </c>
      <c r="AK69" s="32">
        <f t="shared" si="9"/>
        <v>3094.09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1983.07</v>
      </c>
      <c r="AV69" s="32">
        <f t="shared" si="9"/>
        <v>-1017552.77</v>
      </c>
      <c r="AW69" s="32">
        <f t="shared" si="9"/>
        <v>19640</v>
      </c>
      <c r="AX69" s="32">
        <f t="shared" si="9"/>
        <v>0</v>
      </c>
      <c r="AY69" s="32">
        <f t="shared" si="9"/>
        <v>-485756.08</v>
      </c>
      <c r="AZ69" s="32">
        <f t="shared" si="9"/>
        <v>0</v>
      </c>
      <c r="BA69" s="32">
        <f t="shared" si="9"/>
        <v>0</v>
      </c>
      <c r="BB69" s="32">
        <f t="shared" si="9"/>
        <v>247688.45</v>
      </c>
      <c r="BC69" s="32">
        <f t="shared" si="9"/>
        <v>0</v>
      </c>
      <c r="BD69" s="32">
        <f t="shared" si="9"/>
        <v>0</v>
      </c>
      <c r="BE69" s="32">
        <f t="shared" si="9"/>
        <v>48464.07</v>
      </c>
      <c r="BF69" s="32">
        <f t="shared" si="9"/>
        <v>7671.21</v>
      </c>
      <c r="BG69" s="32">
        <f t="shared" si="9"/>
        <v>28505.79</v>
      </c>
      <c r="BH69" s="32">
        <f t="shared" si="9"/>
        <v>29442</v>
      </c>
      <c r="BI69" s="32">
        <f t="shared" si="9"/>
        <v>12844.1</v>
      </c>
      <c r="BJ69" s="32">
        <f t="shared" si="9"/>
        <v>0</v>
      </c>
      <c r="BK69" s="32">
        <f t="shared" si="9"/>
        <v>-571.71</v>
      </c>
      <c r="BL69" s="32">
        <f t="shared" si="9"/>
        <v>0</v>
      </c>
      <c r="BM69" s="32">
        <f t="shared" si="9"/>
        <v>572.48</v>
      </c>
      <c r="BN69" s="32">
        <f t="shared" si="9"/>
        <v>991377.89</v>
      </c>
      <c r="BO69" s="32">
        <f ref="BO69:CD69" t="shared" si="10">SUM(BO70:BO83)</f>
        <v>866.5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10433.71</v>
      </c>
      <c r="BT69" s="32">
        <f t="shared" si="10"/>
        <v>7785</v>
      </c>
      <c r="BU69" s="32">
        <f t="shared" si="10"/>
        <v>0</v>
      </c>
      <c r="BV69" s="32">
        <f t="shared" si="10"/>
        <v>0</v>
      </c>
      <c r="BW69" s="32">
        <f t="shared" si="10"/>
        <v>36966.08</v>
      </c>
      <c r="BX69" s="32">
        <f t="shared" si="10"/>
        <v>718502.79</v>
      </c>
      <c r="BY69" s="32">
        <f t="shared" si="10"/>
        <v>51269.92</v>
      </c>
      <c r="BZ69" s="32">
        <f t="shared" si="10"/>
        <v>7802.35</v>
      </c>
      <c r="CA69" s="32">
        <f t="shared" si="10"/>
        <v>927538.43</v>
      </c>
      <c r="CB69" s="32">
        <f t="shared" si="10"/>
        <v>59172.96</v>
      </c>
      <c r="CC69" s="32">
        <f t="shared" si="10"/>
        <v>6634381.5299999993</v>
      </c>
      <c r="CD69" s="32">
        <f t="shared" si="10"/>
        <v>0</v>
      </c>
      <c r="CE69" s="32">
        <f>SUM(CE70:CE84)</f>
        <v>98480145.339999989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61601</v>
      </c>
      <c r="D83" s="24">
        <v>254262.76</v>
      </c>
      <c r="E83" s="30">
        <v>5655.84</v>
      </c>
      <c r="F83" s="30">
        <v>0</v>
      </c>
      <c r="G83" s="24">
        <v>19850.51</v>
      </c>
      <c r="H83" s="24">
        <v>111934.43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22025</v>
      </c>
      <c r="Q83" s="30">
        <v>25100.55</v>
      </c>
      <c r="R83" s="31">
        <v>0</v>
      </c>
      <c r="S83" s="30">
        <v>1132211.34</v>
      </c>
      <c r="T83" s="24">
        <v>0</v>
      </c>
      <c r="U83" s="30">
        <v>112923.1</v>
      </c>
      <c r="V83" s="30">
        <v>9753.88</v>
      </c>
      <c r="W83" s="24">
        <v>5490</v>
      </c>
      <c r="X83" s="30">
        <v>0</v>
      </c>
      <c r="Y83" s="30">
        <v>17161.32</v>
      </c>
      <c r="Z83" s="30">
        <v>7710.78</v>
      </c>
      <c r="AA83" s="30">
        <v>4595.87</v>
      </c>
      <c r="AB83" s="30">
        <v>202336.35</v>
      </c>
      <c r="AC83" s="30">
        <v>4914.12</v>
      </c>
      <c r="AD83" s="30">
        <v>0</v>
      </c>
      <c r="AE83" s="30">
        <v>2197.15</v>
      </c>
      <c r="AF83" s="30">
        <v>75210.79</v>
      </c>
      <c r="AG83" s="30">
        <v>113628.36</v>
      </c>
      <c r="AH83" s="30">
        <v>0</v>
      </c>
      <c r="AI83" s="30">
        <v>0</v>
      </c>
      <c r="AJ83" s="30">
        <v>128334.99</v>
      </c>
      <c r="AK83" s="30">
        <v>3094.09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1983.07</v>
      </c>
      <c r="AV83" s="30">
        <v>-1017552.77</v>
      </c>
      <c r="AW83" s="30">
        <v>19640</v>
      </c>
      <c r="AX83" s="30">
        <v>0</v>
      </c>
      <c r="AY83" s="30">
        <v>-485756.08</v>
      </c>
      <c r="AZ83" s="30">
        <v>0</v>
      </c>
      <c r="BA83" s="30">
        <v>0</v>
      </c>
      <c r="BB83" s="30">
        <v>247688.45</v>
      </c>
      <c r="BC83" s="30">
        <v>0</v>
      </c>
      <c r="BD83" s="30">
        <v>0</v>
      </c>
      <c r="BE83" s="30">
        <v>48464.07</v>
      </c>
      <c r="BF83" s="30">
        <v>7671.21</v>
      </c>
      <c r="BG83" s="30">
        <v>28505.79</v>
      </c>
      <c r="BH83" s="31">
        <v>29442</v>
      </c>
      <c r="BI83" s="30">
        <v>12844.1</v>
      </c>
      <c r="BJ83" s="30">
        <v>0</v>
      </c>
      <c r="BK83" s="30">
        <v>-571.71</v>
      </c>
      <c r="BL83" s="30">
        <v>0</v>
      </c>
      <c r="BM83" s="30">
        <v>572.48</v>
      </c>
      <c r="BN83" s="30">
        <v>991377.89</v>
      </c>
      <c r="BO83" s="30">
        <v>866.5</v>
      </c>
      <c r="BP83" s="30">
        <v>0</v>
      </c>
      <c r="BQ83" s="30">
        <v>0</v>
      </c>
      <c r="BR83" s="30">
        <v>0</v>
      </c>
      <c r="BS83" s="30">
        <v>10433.71</v>
      </c>
      <c r="BT83" s="30">
        <v>7785</v>
      </c>
      <c r="BU83" s="30">
        <v>0</v>
      </c>
      <c r="BV83" s="30">
        <v>0</v>
      </c>
      <c r="BW83" s="30">
        <v>36966.08</v>
      </c>
      <c r="BX83" s="30">
        <v>718502.79</v>
      </c>
      <c r="BY83" s="30">
        <v>51269.92</v>
      </c>
      <c r="BZ83" s="30">
        <v>7802.35</v>
      </c>
      <c r="CA83" s="30">
        <v>927538.43</v>
      </c>
      <c r="CB83" s="30">
        <v>59172.96</v>
      </c>
      <c r="CC83" s="30">
        <v>6634381.5299999993</v>
      </c>
      <c r="CD83" s="35"/>
      <c r="CE83" s="32">
        <f t="shared" si="11"/>
        <v>10659020</v>
      </c>
    </row>
    <row r="84">
      <c r="A84" s="39" t="s">
        <v>284</v>
      </c>
      <c r="B84" s="20"/>
      <c r="C84" s="24">
        <v>3736.21</v>
      </c>
      <c r="D84" s="24">
        <v>4584.42</v>
      </c>
      <c r="E84" s="24">
        <v>0</v>
      </c>
      <c r="F84" s="24">
        <v>0</v>
      </c>
      <c r="G84" s="24">
        <v>14434.25</v>
      </c>
      <c r="H84" s="24">
        <v>4294.86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9257.6</v>
      </c>
      <c r="Q84" s="24">
        <v>0</v>
      </c>
      <c r="R84" s="24">
        <v>0</v>
      </c>
      <c r="S84" s="24">
        <v>1318.06</v>
      </c>
      <c r="T84" s="24">
        <v>0</v>
      </c>
      <c r="U84" s="24">
        <v>54716.69</v>
      </c>
      <c r="V84" s="24">
        <v>330.81</v>
      </c>
      <c r="W84" s="24">
        <v>0</v>
      </c>
      <c r="X84" s="24">
        <v>0</v>
      </c>
      <c r="Y84" s="24">
        <v>32137.22</v>
      </c>
      <c r="Z84" s="24">
        <v>0</v>
      </c>
      <c r="AA84" s="24">
        <v>0</v>
      </c>
      <c r="AB84" s="24">
        <v>26506235.16</v>
      </c>
      <c r="AC84" s="24">
        <v>0</v>
      </c>
      <c r="AD84" s="24">
        <v>0</v>
      </c>
      <c r="AE84" s="24">
        <v>1400</v>
      </c>
      <c r="AF84" s="24">
        <v>6383269.28</v>
      </c>
      <c r="AG84" s="24">
        <v>262869.11</v>
      </c>
      <c r="AH84" s="24">
        <v>0</v>
      </c>
      <c r="AI84" s="24">
        <v>0</v>
      </c>
      <c r="AJ84" s="24">
        <v>17788257.42</v>
      </c>
      <c r="AK84" s="24">
        <v>321651.24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1220979.93</v>
      </c>
      <c r="AV84" s="24">
        <v>6678305.19</v>
      </c>
      <c r="AW84" s="24">
        <v>200</v>
      </c>
      <c r="AX84" s="24">
        <v>0</v>
      </c>
      <c r="AY84" s="24">
        <v>3831766.12</v>
      </c>
      <c r="AZ84" s="24">
        <v>0</v>
      </c>
      <c r="BA84" s="24">
        <v>0</v>
      </c>
      <c r="BB84" s="24">
        <v>2095268.44</v>
      </c>
      <c r="BC84" s="24">
        <v>0</v>
      </c>
      <c r="BD84" s="24">
        <v>0</v>
      </c>
      <c r="BE84" s="24">
        <v>370360.89</v>
      </c>
      <c r="BF84" s="24">
        <v>1222.18</v>
      </c>
      <c r="BG84" s="24">
        <v>0</v>
      </c>
      <c r="BH84" s="24">
        <v>6179969.02</v>
      </c>
      <c r="BI84" s="24">
        <v>444845.05</v>
      </c>
      <c r="BJ84" s="24">
        <v>0</v>
      </c>
      <c r="BK84" s="24">
        <v>164994.48</v>
      </c>
      <c r="BL84" s="24">
        <v>0</v>
      </c>
      <c r="BM84" s="24">
        <v>0</v>
      </c>
      <c r="BN84" s="24">
        <v>850891.61</v>
      </c>
      <c r="BO84" s="24">
        <v>13494.28</v>
      </c>
      <c r="BP84" s="24">
        <v>0</v>
      </c>
      <c r="BQ84" s="24">
        <v>0</v>
      </c>
      <c r="BR84" s="24">
        <v>0</v>
      </c>
      <c r="BS84" s="24">
        <v>7016.8</v>
      </c>
      <c r="BT84" s="24">
        <v>0</v>
      </c>
      <c r="BU84" s="24">
        <v>0</v>
      </c>
      <c r="BV84" s="24">
        <v>0</v>
      </c>
      <c r="BW84" s="24">
        <v>-7000</v>
      </c>
      <c r="BX84" s="24">
        <v>249247.3</v>
      </c>
      <c r="BY84" s="24">
        <v>0</v>
      </c>
      <c r="BZ84" s="24">
        <v>0</v>
      </c>
      <c r="CA84" s="24">
        <v>41128.89</v>
      </c>
      <c r="CB84" s="24">
        <v>97711.66</v>
      </c>
      <c r="CC84" s="24">
        <v>14192231.17</v>
      </c>
      <c r="CD84" s="35"/>
      <c r="CE84" s="32">
        <f t="shared" si="11"/>
        <v>87821125.339999989</v>
      </c>
    </row>
    <row r="85">
      <c r="A85" s="39" t="s">
        <v>285</v>
      </c>
      <c r="B85" s="32"/>
      <c r="C85" s="32">
        <f>SUM(C61:C69)-C84</f>
        <v>67280693.76000002</v>
      </c>
      <c r="D85" s="32">
        <f ref="D85:BO85" t="shared" si="12">SUM(D61:D69)-D84</f>
        <v>103328117.69000001</v>
      </c>
      <c r="E85" s="32">
        <f t="shared" si="12"/>
        <v>342003.89</v>
      </c>
      <c r="F85" s="32">
        <f t="shared" si="12"/>
        <v>0</v>
      </c>
      <c r="G85" s="32">
        <f t="shared" si="12"/>
        <v>10228192.6</v>
      </c>
      <c r="H85" s="32">
        <f t="shared" si="12"/>
        <v>16537989.179999998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42664.170000000006</v>
      </c>
      <c r="O85" s="32">
        <f t="shared" si="12"/>
        <v>0</v>
      </c>
      <c r="P85" s="32">
        <f t="shared" si="12"/>
        <v>80371675.050000012</v>
      </c>
      <c r="Q85" s="32">
        <f t="shared" si="12"/>
        <v>12226337.030000003</v>
      </c>
      <c r="R85" s="32">
        <f t="shared" si="12"/>
        <v>16239356.12</v>
      </c>
      <c r="S85" s="32">
        <f t="shared" si="12"/>
        <v>14473156.6</v>
      </c>
      <c r="T85" s="32">
        <f t="shared" si="12"/>
        <v>0</v>
      </c>
      <c r="U85" s="32">
        <f t="shared" si="12"/>
        <v>34841649.84</v>
      </c>
      <c r="V85" s="32">
        <f t="shared" si="12"/>
        <v>10282554.360000001</v>
      </c>
      <c r="W85" s="32">
        <f t="shared" si="12"/>
        <v>2688725.07</v>
      </c>
      <c r="X85" s="32">
        <f t="shared" si="12"/>
        <v>6100233.63</v>
      </c>
      <c r="Y85" s="32">
        <f t="shared" si="12"/>
        <v>30362270.43</v>
      </c>
      <c r="Z85" s="32">
        <f t="shared" si="12"/>
        <v>1702240.55</v>
      </c>
      <c r="AA85" s="32">
        <f t="shared" si="12"/>
        <v>1016094.95</v>
      </c>
      <c r="AB85" s="32">
        <f t="shared" si="12"/>
        <v>101439925.95</v>
      </c>
      <c r="AC85" s="32">
        <f t="shared" si="12"/>
        <v>14560931.81</v>
      </c>
      <c r="AD85" s="32">
        <f t="shared" si="12"/>
        <v>3490837.13</v>
      </c>
      <c r="AE85" s="32">
        <f t="shared" si="12"/>
        <v>11369387.54</v>
      </c>
      <c r="AF85" s="32">
        <f t="shared" si="12"/>
        <v>3764091.7600000007</v>
      </c>
      <c r="AG85" s="32">
        <f t="shared" si="12"/>
        <v>42694085.6</v>
      </c>
      <c r="AH85" s="32">
        <f t="shared" si="12"/>
        <v>61383.51</v>
      </c>
      <c r="AI85" s="32">
        <f t="shared" si="12"/>
        <v>0</v>
      </c>
      <c r="AJ85" s="32">
        <f t="shared" si="12"/>
        <v>80457336.92</v>
      </c>
      <c r="AK85" s="32">
        <f t="shared" si="12"/>
        <v>3908554.3899999997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233003.06000000029</v>
      </c>
      <c r="AV85" s="32">
        <f t="shared" si="12"/>
        <v>7952653.3000000017</v>
      </c>
      <c r="AW85" s="32">
        <f t="shared" si="12"/>
        <v>31795341.34</v>
      </c>
      <c r="AX85" s="32">
        <f t="shared" si="12"/>
        <v>0</v>
      </c>
      <c r="AY85" s="32">
        <f t="shared" si="12"/>
        <v>12197793.819999997</v>
      </c>
      <c r="AZ85" s="32">
        <f t="shared" si="12"/>
        <v>0</v>
      </c>
      <c r="BA85" s="32">
        <f t="shared" si="12"/>
        <v>1770431.57</v>
      </c>
      <c r="BB85" s="32">
        <f t="shared" si="12"/>
        <v>17406570.099999994</v>
      </c>
      <c r="BC85" s="32">
        <f t="shared" si="12"/>
        <v>0</v>
      </c>
      <c r="BD85" s="32">
        <f t="shared" si="12"/>
        <v>3634330.24</v>
      </c>
      <c r="BE85" s="32">
        <f t="shared" si="12"/>
        <v>27891024.93</v>
      </c>
      <c r="BF85" s="32">
        <f t="shared" si="12"/>
        <v>16374066.41</v>
      </c>
      <c r="BG85" s="32">
        <f t="shared" si="12"/>
        <v>796362.91</v>
      </c>
      <c r="BH85" s="32">
        <f t="shared" si="12"/>
        <v>77303462.96</v>
      </c>
      <c r="BI85" s="32">
        <f t="shared" si="12"/>
        <v>206559.3</v>
      </c>
      <c r="BJ85" s="32">
        <f t="shared" si="12"/>
        <v>7994066.83</v>
      </c>
      <c r="BK85" s="32">
        <f t="shared" si="12"/>
        <v>18691126.99</v>
      </c>
      <c r="BL85" s="32">
        <f t="shared" si="12"/>
        <v>5942195.55</v>
      </c>
      <c r="BM85" s="32">
        <f t="shared" si="12"/>
        <v>897.48</v>
      </c>
      <c r="BN85" s="32">
        <f t="shared" si="12"/>
        <v>13694582.919999998</v>
      </c>
      <c r="BO85" s="32">
        <f t="shared" si="12"/>
        <v>1488616.5699999998</v>
      </c>
      <c r="BP85" s="32">
        <f ref="BP85:CD85" t="shared" si="13">SUM(BP61:BP69)-BP84</f>
        <v>1218299.18</v>
      </c>
      <c r="BQ85" s="32">
        <f t="shared" si="13"/>
        <v>0</v>
      </c>
      <c r="BR85" s="32">
        <f t="shared" si="13"/>
        <v>6928728.34</v>
      </c>
      <c r="BS85" s="32">
        <f t="shared" si="13"/>
        <v>285846.86000000004</v>
      </c>
      <c r="BT85" s="32">
        <f t="shared" si="13"/>
        <v>796115.52999999991</v>
      </c>
      <c r="BU85" s="32">
        <f t="shared" si="13"/>
        <v>0</v>
      </c>
      <c r="BV85" s="32">
        <f t="shared" si="13"/>
        <v>6476138.25</v>
      </c>
      <c r="BW85" s="32">
        <f t="shared" si="13"/>
        <v>68619320.089999989</v>
      </c>
      <c r="BX85" s="32">
        <f t="shared" si="13"/>
        <v>9009898.09</v>
      </c>
      <c r="BY85" s="32">
        <f t="shared" si="13"/>
        <v>14093410.110000001</v>
      </c>
      <c r="BZ85" s="32">
        <f t="shared" si="13"/>
        <v>14367838.13</v>
      </c>
      <c r="CA85" s="32">
        <f t="shared" si="13"/>
        <v>5235780.5200000005</v>
      </c>
      <c r="CB85" s="32">
        <f t="shared" si="13"/>
        <v>979261.05999999994</v>
      </c>
      <c r="CC85" s="32">
        <f t="shared" si="13"/>
        <v>60555168.72</v>
      </c>
      <c r="CD85" s="32">
        <f t="shared" si="13"/>
        <v>0</v>
      </c>
      <c r="CE85" s="32">
        <f t="shared" si="11"/>
        <v>1103749380.6899998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206209642.55</v>
      </c>
      <c r="D87" s="24">
        <v>309885321.77</v>
      </c>
      <c r="E87" s="24">
        <v>5899931.79</v>
      </c>
      <c r="F87" s="24">
        <v>0</v>
      </c>
      <c r="G87" s="24">
        <v>35359417.27</v>
      </c>
      <c r="H87" s="24">
        <v>69092008.25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508215627.96</v>
      </c>
      <c r="Q87" s="24">
        <v>11315249.85</v>
      </c>
      <c r="R87" s="24">
        <v>48647835.64</v>
      </c>
      <c r="S87" s="24">
        <v>0</v>
      </c>
      <c r="T87" s="24">
        <v>0</v>
      </c>
      <c r="U87" s="24">
        <v>126858288.63</v>
      </c>
      <c r="V87" s="24">
        <v>50676454.88</v>
      </c>
      <c r="W87" s="24">
        <v>15024768.09</v>
      </c>
      <c r="X87" s="24">
        <v>106914607.9</v>
      </c>
      <c r="Y87" s="24">
        <v>96426700.18</v>
      </c>
      <c r="Z87" s="24">
        <v>31814.63</v>
      </c>
      <c r="AA87" s="24">
        <v>831893.75</v>
      </c>
      <c r="AB87" s="24">
        <v>194719292.8</v>
      </c>
      <c r="AC87" s="24">
        <v>65632528.8</v>
      </c>
      <c r="AD87" s="24">
        <v>9818538.87</v>
      </c>
      <c r="AE87" s="24">
        <v>24715993.03</v>
      </c>
      <c r="AF87" s="24">
        <v>5313.97</v>
      </c>
      <c r="AG87" s="24">
        <v>85054578.38</v>
      </c>
      <c r="AH87" s="24">
        <v>0</v>
      </c>
      <c r="AI87" s="24">
        <v>0</v>
      </c>
      <c r="AJ87" s="24">
        <v>11047313.34</v>
      </c>
      <c r="AK87" s="24">
        <v>15334091.39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253</v>
      </c>
      <c r="AV87" s="24">
        <v>4171828.11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2001889294.8300002</v>
      </c>
    </row>
    <row r="88">
      <c r="A88" s="26" t="s">
        <v>288</v>
      </c>
      <c r="B88" s="20"/>
      <c r="C88" s="24">
        <v>1522313.05</v>
      </c>
      <c r="D88" s="24">
        <v>16720352.7</v>
      </c>
      <c r="E88" s="24">
        <v>746482.69</v>
      </c>
      <c r="F88" s="24">
        <v>0</v>
      </c>
      <c r="G88" s="24">
        <v>74895.24</v>
      </c>
      <c r="H88" s="24">
        <v>323790.38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1729.28</v>
      </c>
      <c r="O88" s="24">
        <v>0</v>
      </c>
      <c r="P88" s="24">
        <v>162848188.96</v>
      </c>
      <c r="Q88" s="24">
        <v>10560942.18</v>
      </c>
      <c r="R88" s="24">
        <v>52414580.92</v>
      </c>
      <c r="S88" s="24">
        <v>0</v>
      </c>
      <c r="T88" s="24">
        <v>0</v>
      </c>
      <c r="U88" s="24">
        <v>89657839.58</v>
      </c>
      <c r="V88" s="24">
        <v>30421606.99</v>
      </c>
      <c r="W88" s="24">
        <v>22881370.18</v>
      </c>
      <c r="X88" s="24">
        <v>80085821.09</v>
      </c>
      <c r="Y88" s="24">
        <v>62779441.47</v>
      </c>
      <c r="Z88" s="24">
        <v>25339731.31</v>
      </c>
      <c r="AA88" s="24">
        <v>3445600.69</v>
      </c>
      <c r="AB88" s="24">
        <v>187965309.9</v>
      </c>
      <c r="AC88" s="24">
        <v>3453484.53</v>
      </c>
      <c r="AD88" s="24">
        <v>298814.89</v>
      </c>
      <c r="AE88" s="24">
        <v>8899574.72</v>
      </c>
      <c r="AF88" s="24">
        <v>9586276.89</v>
      </c>
      <c r="AG88" s="24">
        <v>152123505.92</v>
      </c>
      <c r="AH88" s="24">
        <v>0</v>
      </c>
      <c r="AI88" s="24">
        <v>0</v>
      </c>
      <c r="AJ88" s="24">
        <v>163927616.27</v>
      </c>
      <c r="AK88" s="24">
        <v>63688.69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469621.55</v>
      </c>
      <c r="AV88" s="24">
        <v>1207436.73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1087820016.8</v>
      </c>
    </row>
    <row r="89">
      <c r="A89" s="26" t="s">
        <v>289</v>
      </c>
      <c r="B89" s="20"/>
      <c r="C89" s="32">
        <f>C87+C88</f>
        <v>207731955.60000002</v>
      </c>
      <c r="D89" s="32">
        <f ref="D89:AV89" t="shared" si="15">D87+D88</f>
        <v>326605674.46999997</v>
      </c>
      <c r="E89" s="32">
        <f t="shared" si="15"/>
        <v>6646414.48</v>
      </c>
      <c r="F89" s="32">
        <f t="shared" si="15"/>
        <v>0</v>
      </c>
      <c r="G89" s="32">
        <f t="shared" si="15"/>
        <v>35434312.510000005</v>
      </c>
      <c r="H89" s="32">
        <f t="shared" si="15"/>
        <v>69415798.63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1729.28</v>
      </c>
      <c r="O89" s="32">
        <f t="shared" si="15"/>
        <v>0</v>
      </c>
      <c r="P89" s="32">
        <f t="shared" si="15"/>
        <v>671063816.92</v>
      </c>
      <c r="Q89" s="32">
        <f t="shared" si="15"/>
        <v>21876192.03</v>
      </c>
      <c r="R89" s="32">
        <f t="shared" si="15"/>
        <v>101062416.56</v>
      </c>
      <c r="S89" s="32">
        <f t="shared" si="15"/>
        <v>0</v>
      </c>
      <c r="T89" s="32">
        <f t="shared" si="15"/>
        <v>0</v>
      </c>
      <c r="U89" s="32">
        <f t="shared" si="15"/>
        <v>216516128.20999998</v>
      </c>
      <c r="V89" s="32">
        <f t="shared" si="15"/>
        <v>81098061.87</v>
      </c>
      <c r="W89" s="32">
        <f t="shared" si="15"/>
        <v>37906138.269999996</v>
      </c>
      <c r="X89" s="32">
        <f t="shared" si="15"/>
        <v>187000428.99</v>
      </c>
      <c r="Y89" s="32">
        <f t="shared" si="15"/>
        <v>159206141.65</v>
      </c>
      <c r="Z89" s="32">
        <f t="shared" si="15"/>
        <v>25371545.939999998</v>
      </c>
      <c r="AA89" s="32">
        <f t="shared" si="15"/>
        <v>4277494.4399999995</v>
      </c>
      <c r="AB89" s="32">
        <f t="shared" si="15"/>
        <v>382684602.70000005</v>
      </c>
      <c r="AC89" s="32">
        <f t="shared" si="15"/>
        <v>69086013.33</v>
      </c>
      <c r="AD89" s="32">
        <f t="shared" si="15"/>
        <v>10117353.76</v>
      </c>
      <c r="AE89" s="32">
        <f t="shared" si="15"/>
        <v>33615567.75</v>
      </c>
      <c r="AF89" s="32">
        <f t="shared" si="15"/>
        <v>9591590.8600000013</v>
      </c>
      <c r="AG89" s="32">
        <f t="shared" si="15"/>
        <v>237178084.29999998</v>
      </c>
      <c r="AH89" s="32">
        <f t="shared" si="15"/>
        <v>0</v>
      </c>
      <c r="AI89" s="32">
        <f t="shared" si="15"/>
        <v>0</v>
      </c>
      <c r="AJ89" s="32">
        <f t="shared" si="15"/>
        <v>174974929.61</v>
      </c>
      <c r="AK89" s="32">
        <f t="shared" si="15"/>
        <v>15397780.08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469874.55</v>
      </c>
      <c r="AV89" s="32">
        <f t="shared" si="15"/>
        <v>5379264.84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3089709311.6300011</v>
      </c>
    </row>
    <row r="90">
      <c r="A90" s="39" t="s">
        <v>290</v>
      </c>
      <c r="B90" s="32"/>
      <c r="C90" s="24">
        <v>44523</v>
      </c>
      <c r="D90" s="24">
        <v>82549</v>
      </c>
      <c r="E90" s="24">
        <v>0</v>
      </c>
      <c r="F90" s="24">
        <v>0</v>
      </c>
      <c r="G90" s="24">
        <v>12696</v>
      </c>
      <c r="H90" s="24">
        <v>22122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39214</v>
      </c>
      <c r="Q90" s="24">
        <v>8185</v>
      </c>
      <c r="R90" s="24">
        <v>6168</v>
      </c>
      <c r="S90" s="24">
        <v>24528</v>
      </c>
      <c r="T90" s="24">
        <v>0</v>
      </c>
      <c r="U90" s="24">
        <v>39663</v>
      </c>
      <c r="V90" s="24">
        <v>15289</v>
      </c>
      <c r="W90" s="24">
        <v>2089</v>
      </c>
      <c r="X90" s="24">
        <v>2296</v>
      </c>
      <c r="Y90" s="24">
        <v>30559</v>
      </c>
      <c r="Z90" s="24">
        <v>2863</v>
      </c>
      <c r="AA90" s="24">
        <v>1694</v>
      </c>
      <c r="AB90" s="24">
        <v>18296</v>
      </c>
      <c r="AC90" s="24">
        <v>3706</v>
      </c>
      <c r="AD90" s="24">
        <v>1602</v>
      </c>
      <c r="AE90" s="24">
        <v>7948</v>
      </c>
      <c r="AF90" s="24">
        <v>10250</v>
      </c>
      <c r="AG90" s="24">
        <v>26332</v>
      </c>
      <c r="AH90" s="24">
        <v>0</v>
      </c>
      <c r="AI90" s="24">
        <v>0</v>
      </c>
      <c r="AJ90" s="24">
        <v>195675</v>
      </c>
      <c r="AK90" s="24">
        <v>6608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1620</v>
      </c>
      <c r="AW90" s="24">
        <v>0</v>
      </c>
      <c r="AX90" s="24">
        <v>0</v>
      </c>
      <c r="AY90" s="24">
        <v>27282</v>
      </c>
      <c r="AZ90" s="24">
        <v>0</v>
      </c>
      <c r="BA90" s="24">
        <v>5539</v>
      </c>
      <c r="BB90" s="24">
        <v>6774</v>
      </c>
      <c r="BC90" s="24">
        <v>0</v>
      </c>
      <c r="BD90" s="24">
        <v>3131</v>
      </c>
      <c r="BE90" s="24">
        <v>145714</v>
      </c>
      <c r="BF90" s="24">
        <v>25971</v>
      </c>
      <c r="BG90" s="24">
        <v>6792</v>
      </c>
      <c r="BH90" s="24">
        <v>58967</v>
      </c>
      <c r="BI90" s="24">
        <v>20298</v>
      </c>
      <c r="BJ90" s="24">
        <v>3022</v>
      </c>
      <c r="BK90" s="24">
        <v>4440</v>
      </c>
      <c r="BL90" s="24">
        <v>2763</v>
      </c>
      <c r="BM90" s="24">
        <v>0</v>
      </c>
      <c r="BN90" s="24">
        <v>5674</v>
      </c>
      <c r="BO90" s="24">
        <v>1305</v>
      </c>
      <c r="BP90" s="24">
        <v>816</v>
      </c>
      <c r="BQ90" s="24">
        <v>0</v>
      </c>
      <c r="BR90" s="24">
        <v>3541</v>
      </c>
      <c r="BS90" s="24">
        <v>654</v>
      </c>
      <c r="BT90" s="24">
        <v>1057</v>
      </c>
      <c r="BU90" s="24">
        <v>0</v>
      </c>
      <c r="BV90" s="24">
        <v>14834</v>
      </c>
      <c r="BW90" s="24">
        <v>128316</v>
      </c>
      <c r="BX90" s="24">
        <v>5124</v>
      </c>
      <c r="BY90" s="24">
        <v>3237</v>
      </c>
      <c r="BZ90" s="24">
        <v>1806</v>
      </c>
      <c r="CA90" s="24">
        <v>9794</v>
      </c>
      <c r="CB90" s="24">
        <v>0</v>
      </c>
      <c r="CC90" s="24">
        <v>70548.75</v>
      </c>
      <c r="CD90" s="264" t="s">
        <v>248</v>
      </c>
      <c r="CE90" s="32">
        <f t="shared" si="14"/>
        <v>1163874.75</v>
      </c>
      <c r="CF90" s="32">
        <f>BE59-CE90</f>
        <v>0</v>
      </c>
    </row>
    <row r="91">
      <c r="A91" s="26" t="s">
        <v>291</v>
      </c>
      <c r="B91" s="20"/>
      <c r="C91" s="24">
        <v>158897</v>
      </c>
      <c r="D91" s="24">
        <v>493140</v>
      </c>
      <c r="E91" s="24">
        <v>9676</v>
      </c>
      <c r="F91" s="24">
        <v>0</v>
      </c>
      <c r="G91" s="24">
        <v>55070</v>
      </c>
      <c r="H91" s="24">
        <v>131499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12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848294</v>
      </c>
      <c r="CF91" s="32">
        <f>AY59-CE91</f>
        <v>0</v>
      </c>
    </row>
    <row r="92">
      <c r="A92" s="26" t="s">
        <v>292</v>
      </c>
      <c r="B92" s="20"/>
      <c r="C92" s="24">
        <v>15326.664330234089</v>
      </c>
      <c r="D92" s="24">
        <v>28176.559270638652</v>
      </c>
      <c r="E92" s="24">
        <v>0</v>
      </c>
      <c r="F92" s="24">
        <v>0</v>
      </c>
      <c r="G92" s="24">
        <v>4309.2786838844486</v>
      </c>
      <c r="H92" s="24">
        <v>7505.0510723853386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13528.176312992404</v>
      </c>
      <c r="Q92" s="24">
        <v>2825.1389511071411</v>
      </c>
      <c r="R92" s="24">
        <v>2128.9501588795169</v>
      </c>
      <c r="S92" s="24">
        <v>8466.0975189683522</v>
      </c>
      <c r="T92" s="24">
        <v>0</v>
      </c>
      <c r="U92" s="24">
        <v>13690.102164662498</v>
      </c>
      <c r="V92" s="24">
        <v>5277.1593675598151</v>
      </c>
      <c r="W92" s="24">
        <v>721.0403505024824</v>
      </c>
      <c r="X92" s="24">
        <v>792.48858054269954</v>
      </c>
      <c r="Y92" s="24">
        <v>10547.760685019321</v>
      </c>
      <c r="Z92" s="24">
        <v>988.19460195720774</v>
      </c>
      <c r="AA92" s="24">
        <v>584.70194052235763</v>
      </c>
      <c r="AB92" s="24">
        <v>6237.4663157662453</v>
      </c>
      <c r="AC92" s="24">
        <v>1279.1649300920055</v>
      </c>
      <c r="AD92" s="24">
        <v>552.94717161559447</v>
      </c>
      <c r="AE92" s="24">
        <v>2644.4022887839051</v>
      </c>
      <c r="AF92" s="24">
        <v>3530.8170481702678</v>
      </c>
      <c r="AG92" s="24">
        <v>9087.7293111381514</v>
      </c>
      <c r="AH92" s="24">
        <v>0</v>
      </c>
      <c r="AI92" s="24">
        <v>0</v>
      </c>
      <c r="AJ92" s="24">
        <v>67464.464627886045</v>
      </c>
      <c r="AK92" s="24">
        <v>2152.7901819954386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559.16006118430892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1911.8441845061034</v>
      </c>
      <c r="BB92" s="24">
        <v>2329.7374934772261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20353.081066577255</v>
      </c>
      <c r="BI92" s="24">
        <v>7006.0684703204342</v>
      </c>
      <c r="BJ92" s="29" t="s">
        <v>248</v>
      </c>
      <c r="BK92" s="24">
        <v>1532.5127602829209</v>
      </c>
      <c r="BL92" s="24">
        <v>953.67854879768242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225.7349876632951</v>
      </c>
      <c r="BT92" s="24">
        <v>364.83468189618179</v>
      </c>
      <c r="BU92" s="24">
        <v>0</v>
      </c>
      <c r="BV92" s="24">
        <v>5120.1113256839744</v>
      </c>
      <c r="BW92" s="24">
        <v>44289.618772176407</v>
      </c>
      <c r="BX92" s="24">
        <v>1768.6025638940737</v>
      </c>
      <c r="BY92" s="24">
        <v>1117.2846407738323</v>
      </c>
      <c r="BZ92" s="24">
        <v>623.35992006102583</v>
      </c>
      <c r="CA92" s="24">
        <v>3380.5022464439025</v>
      </c>
      <c r="CB92" s="24">
        <v>0</v>
      </c>
      <c r="CC92" s="29" t="s">
        <v>248</v>
      </c>
      <c r="CD92" s="29" t="s">
        <v>248</v>
      </c>
      <c r="CE92" s="32">
        <f t="shared" si="14"/>
        <v>299353.27758904261</v>
      </c>
      <c r="CF92" s="20"/>
    </row>
    <row r="93">
      <c r="A93" s="26" t="s">
        <v>293</v>
      </c>
      <c r="B93" s="20"/>
      <c r="C93" s="24">
        <v>599981.69</v>
      </c>
      <c r="D93" s="24">
        <v>731273.34</v>
      </c>
      <c r="E93" s="24">
        <v>0</v>
      </c>
      <c r="F93" s="24">
        <v>0</v>
      </c>
      <c r="G93" s="24">
        <v>85003.3</v>
      </c>
      <c r="H93" s="24">
        <v>119059.83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1055913.03</v>
      </c>
      <c r="Q93" s="24">
        <v>109639.81</v>
      </c>
      <c r="R93" s="24">
        <v>25737.07</v>
      </c>
      <c r="S93" s="24">
        <v>53789.2</v>
      </c>
      <c r="T93" s="24">
        <v>0</v>
      </c>
      <c r="U93" s="24">
        <v>2846.8</v>
      </c>
      <c r="V93" s="24">
        <v>36099.61</v>
      </c>
      <c r="W93" s="24">
        <v>70363.2</v>
      </c>
      <c r="X93" s="24">
        <v>43168.18</v>
      </c>
      <c r="Y93" s="24">
        <v>54912.78</v>
      </c>
      <c r="Z93" s="24">
        <v>1488.58</v>
      </c>
      <c r="AA93" s="24">
        <v>0</v>
      </c>
      <c r="AB93" s="24">
        <v>7920.42</v>
      </c>
      <c r="AC93" s="24">
        <v>0</v>
      </c>
      <c r="AD93" s="24">
        <v>0</v>
      </c>
      <c r="AE93" s="24">
        <v>21713.18</v>
      </c>
      <c r="AF93" s="24">
        <v>0</v>
      </c>
      <c r="AG93" s="24">
        <v>376149.28</v>
      </c>
      <c r="AH93" s="24">
        <v>0</v>
      </c>
      <c r="AI93" s="24">
        <v>0</v>
      </c>
      <c r="AJ93" s="24">
        <v>177373.51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43.74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61964.34</v>
      </c>
      <c r="BX93" s="24">
        <v>0</v>
      </c>
      <c r="BY93" s="24">
        <v>0</v>
      </c>
      <c r="BZ93" s="24">
        <v>0</v>
      </c>
      <c r="CA93" s="24">
        <v>5858.49</v>
      </c>
      <c r="CB93" s="24">
        <v>0</v>
      </c>
      <c r="CC93" s="29" t="s">
        <v>248</v>
      </c>
      <c r="CD93" s="29" t="s">
        <v>248</v>
      </c>
      <c r="CE93" s="32">
        <f t="shared" si="14"/>
        <v>3640299.38</v>
      </c>
      <c r="CF93" s="32">
        <f>BA59</f>
        <v>0</v>
      </c>
    </row>
    <row r="94">
      <c r="A94" s="26" t="s">
        <v>294</v>
      </c>
      <c r="B94" s="20"/>
      <c r="C94" s="315">
        <v>294.03</v>
      </c>
      <c r="D94" s="315">
        <v>453.83000000000004</v>
      </c>
      <c r="E94" s="315">
        <v>1.48</v>
      </c>
      <c r="F94" s="315">
        <v>0</v>
      </c>
      <c r="G94" s="315">
        <v>41.43</v>
      </c>
      <c r="H94" s="315">
        <v>70.5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107.2</v>
      </c>
      <c r="Q94" s="316">
        <v>58.16</v>
      </c>
      <c r="R94" s="316">
        <v>0</v>
      </c>
      <c r="S94" s="317">
        <v>0</v>
      </c>
      <c r="T94" s="317">
        <v>0</v>
      </c>
      <c r="U94" s="318">
        <v>0</v>
      </c>
      <c r="V94" s="316">
        <v>6.78</v>
      </c>
      <c r="W94" s="316">
        <v>0</v>
      </c>
      <c r="X94" s="316">
        <v>0</v>
      </c>
      <c r="Y94" s="316">
        <v>19.48</v>
      </c>
      <c r="Z94" s="316">
        <v>3.71</v>
      </c>
      <c r="AA94" s="316">
        <v>0</v>
      </c>
      <c r="AB94" s="317">
        <v>0</v>
      </c>
      <c r="AC94" s="316">
        <v>10.25</v>
      </c>
      <c r="AD94" s="316">
        <v>0</v>
      </c>
      <c r="AE94" s="316">
        <v>0</v>
      </c>
      <c r="AF94" s="316">
        <v>4.16</v>
      </c>
      <c r="AG94" s="316">
        <v>107.86</v>
      </c>
      <c r="AH94" s="316">
        <v>0</v>
      </c>
      <c r="AI94" s="316">
        <v>0</v>
      </c>
      <c r="AJ94" s="316">
        <v>156.89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4.01</v>
      </c>
      <c r="AV94" s="317">
        <v>12.42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1352.1900000000003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98104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/>
      <c r="D108" s="42"/>
      <c r="E108" s="43"/>
      <c r="F108" s="16"/>
    </row>
    <row r="109">
      <c r="A109" s="44" t="s">
        <v>321</v>
      </c>
      <c r="B109" s="40" t="s">
        <v>299</v>
      </c>
      <c r="C109" s="41" t="s">
        <v>322</v>
      </c>
      <c r="D109" s="42"/>
      <c r="E109" s="43"/>
      <c r="F109" s="16"/>
    </row>
    <row r="110">
      <c r="A110" s="44" t="s">
        <v>323</v>
      </c>
      <c r="B110" s="40" t="s">
        <v>299</v>
      </c>
      <c r="C110" s="41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>
        <v>1</v>
      </c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15180</v>
      </c>
      <c r="D127" s="50">
        <v>167573</v>
      </c>
      <c r="E127" s="20"/>
    </row>
    <row r="128">
      <c r="A128" s="20" t="s">
        <v>338</v>
      </c>
      <c r="B128" s="46" t="s">
        <v>299</v>
      </c>
      <c r="C128" s="47"/>
      <c r="D128" s="50"/>
      <c r="E128" s="20"/>
    </row>
    <row r="129">
      <c r="A129" s="20" t="s">
        <v>339</v>
      </c>
      <c r="B129" s="46" t="s">
        <v>299</v>
      </c>
      <c r="C129" s="47"/>
      <c r="D129" s="50"/>
      <c r="E129" s="20"/>
    </row>
    <row r="130">
      <c r="A130" s="20" t="s">
        <v>340</v>
      </c>
      <c r="B130" s="46" t="s">
        <v>299</v>
      </c>
      <c r="C130" s="47"/>
      <c r="D130" s="50"/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89</v>
      </c>
      <c r="D132" s="20"/>
      <c r="E132" s="20"/>
    </row>
    <row r="133">
      <c r="A133" s="20" t="s">
        <v>343</v>
      </c>
      <c r="B133" s="46" t="s">
        <v>299</v>
      </c>
      <c r="C133" s="47">
        <v>228</v>
      </c>
      <c r="D133" s="20"/>
      <c r="E133" s="20"/>
    </row>
    <row r="134">
      <c r="A134" s="20" t="s">
        <v>344</v>
      </c>
      <c r="B134" s="46" t="s">
        <v>299</v>
      </c>
      <c r="C134" s="47">
        <v>0</v>
      </c>
      <c r="D134" s="20"/>
      <c r="E134" s="20"/>
    </row>
    <row r="135">
      <c r="A135" s="20" t="s">
        <v>345</v>
      </c>
      <c r="B135" s="46" t="s">
        <v>299</v>
      </c>
      <c r="C135" s="47">
        <v>0</v>
      </c>
      <c r="D135" s="20"/>
      <c r="E135" s="20"/>
    </row>
    <row r="136">
      <c r="A136" s="20" t="s">
        <v>346</v>
      </c>
      <c r="B136" s="46" t="s">
        <v>299</v>
      </c>
      <c r="C136" s="47">
        <v>0</v>
      </c>
      <c r="D136" s="20"/>
      <c r="E136" s="20"/>
    </row>
    <row r="137">
      <c r="A137" s="20" t="s">
        <v>347</v>
      </c>
      <c r="B137" s="46" t="s">
        <v>299</v>
      </c>
      <c r="C137" s="47">
        <v>28</v>
      </c>
      <c r="D137" s="20"/>
      <c r="E137" s="20"/>
    </row>
    <row r="138">
      <c r="A138" s="20" t="s">
        <v>123</v>
      </c>
      <c r="B138" s="46" t="s">
        <v>299</v>
      </c>
      <c r="C138" s="47">
        <v>68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0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413</v>
      </c>
    </row>
    <row r="144">
      <c r="A144" s="20" t="s">
        <v>352</v>
      </c>
      <c r="B144" s="46" t="s">
        <v>299</v>
      </c>
      <c r="C144" s="47">
        <v>413</v>
      </c>
      <c r="D144" s="20"/>
      <c r="E144" s="20"/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/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5319</v>
      </c>
      <c r="C154" s="50">
        <v>5480</v>
      </c>
      <c r="D154" s="50">
        <v>4381</v>
      </c>
      <c r="E154" s="32">
        <f>SUM(B154:D154)</f>
        <v>15180</v>
      </c>
    </row>
    <row r="155">
      <c r="A155" s="20" t="s">
        <v>242</v>
      </c>
      <c r="B155" s="50">
        <v>59634</v>
      </c>
      <c r="C155" s="50">
        <v>66624</v>
      </c>
      <c r="D155" s="50">
        <v>41315</v>
      </c>
      <c r="E155" s="32">
        <f>SUM(B155:D155)</f>
        <v>167573</v>
      </c>
    </row>
    <row r="156">
      <c r="A156" s="20" t="s">
        <v>359</v>
      </c>
      <c r="B156" s="50">
        <v>130614</v>
      </c>
      <c r="C156" s="50">
        <v>119124</v>
      </c>
      <c r="D156" s="50">
        <v>61689</v>
      </c>
      <c r="E156" s="32">
        <f>SUM(B156:D156)</f>
        <v>311427</v>
      </c>
    </row>
    <row r="157">
      <c r="A157" s="20" t="s">
        <v>287</v>
      </c>
      <c r="B157" s="50">
        <v>670291401</v>
      </c>
      <c r="C157" s="50">
        <v>732490416</v>
      </c>
      <c r="D157" s="50">
        <v>599107478</v>
      </c>
      <c r="E157" s="32">
        <f>SUM(B157:D157)</f>
        <v>2001889295</v>
      </c>
      <c r="F157" s="18"/>
    </row>
    <row r="158">
      <c r="A158" s="20" t="s">
        <v>288</v>
      </c>
      <c r="B158" s="50">
        <v>305784145</v>
      </c>
      <c r="C158" s="50">
        <v>307250839</v>
      </c>
      <c r="D158" s="50">
        <v>474785033</v>
      </c>
      <c r="E158" s="32">
        <f>SUM(B158:D158)</f>
        <v>1087820017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359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359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29317596.51</v>
      </c>
      <c r="D181" s="20"/>
      <c r="E181" s="20"/>
    </row>
    <row r="182">
      <c r="A182" s="20" t="s">
        <v>369</v>
      </c>
      <c r="B182" s="46" t="s">
        <v>299</v>
      </c>
      <c r="C182" s="47">
        <v>803787.01</v>
      </c>
      <c r="D182" s="20"/>
      <c r="E182" s="20"/>
    </row>
    <row r="183">
      <c r="A183" s="25" t="s">
        <v>370</v>
      </c>
      <c r="B183" s="46" t="s">
        <v>299</v>
      </c>
      <c r="C183" s="47">
        <v>2536144.36</v>
      </c>
      <c r="D183" s="20"/>
      <c r="E183" s="20"/>
    </row>
    <row r="184">
      <c r="A184" s="20" t="s">
        <v>371</v>
      </c>
      <c r="B184" s="46" t="s">
        <v>299</v>
      </c>
      <c r="C184" s="47">
        <v>62906510.03</v>
      </c>
      <c r="D184" s="20"/>
      <c r="E184" s="20"/>
    </row>
    <row r="185">
      <c r="A185" s="20" t="s">
        <v>372</v>
      </c>
      <c r="B185" s="46" t="s">
        <v>299</v>
      </c>
      <c r="C185" s="47">
        <v>0</v>
      </c>
      <c r="D185" s="20"/>
      <c r="E185" s="20"/>
    </row>
    <row r="186">
      <c r="A186" s="20" t="s">
        <v>373</v>
      </c>
      <c r="B186" s="46" t="s">
        <v>299</v>
      </c>
      <c r="C186" s="47">
        <v>39313204.63</v>
      </c>
      <c r="D186" s="20"/>
      <c r="E186" s="20"/>
    </row>
    <row r="187">
      <c r="A187" s="20" t="s">
        <v>374</v>
      </c>
      <c r="B187" s="46" t="s">
        <v>299</v>
      </c>
      <c r="C187" s="47">
        <v>2132905.68</v>
      </c>
      <c r="D187" s="20"/>
      <c r="E187" s="20"/>
    </row>
    <row r="188">
      <c r="A188" s="20" t="s">
        <v>374</v>
      </c>
      <c r="B188" s="46" t="s">
        <v>299</v>
      </c>
      <c r="C188" s="47"/>
      <c r="D188" s="20"/>
      <c r="E188" s="20"/>
    </row>
    <row r="189">
      <c r="A189" s="20" t="s">
        <v>230</v>
      </c>
      <c r="B189" s="20"/>
      <c r="C189" s="27"/>
      <c r="D189" s="32">
        <f>SUM(C181:C188)</f>
        <v>137010148.22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-332684</v>
      </c>
      <c r="D191" s="20"/>
      <c r="E191" s="20"/>
    </row>
    <row r="192">
      <c r="A192" s="20" t="s">
        <v>377</v>
      </c>
      <c r="B192" s="46" t="s">
        <v>299</v>
      </c>
      <c r="C192" s="47">
        <v>4368617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4035933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5838281</v>
      </c>
      <c r="D195" s="20"/>
      <c r="E195" s="20"/>
    </row>
    <row r="196">
      <c r="A196" s="20" t="s">
        <v>380</v>
      </c>
      <c r="B196" s="46" t="s">
        <v>299</v>
      </c>
      <c r="C196" s="47">
        <v>1745732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7584013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2751226</v>
      </c>
      <c r="D199" s="20"/>
      <c r="E199" s="20"/>
    </row>
    <row r="200">
      <c r="A200" s="20" t="s">
        <v>383</v>
      </c>
      <c r="B200" s="46" t="s">
        <v>299</v>
      </c>
      <c r="C200" s="47">
        <v>-987171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1764055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/>
      <c r="D204" s="20"/>
      <c r="E204" s="20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230</v>
      </c>
      <c r="B206" s="20"/>
      <c r="C206" s="27"/>
      <c r="D206" s="32">
        <f>SUM(C204:C205)</f>
        <v>0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2432000</v>
      </c>
      <c r="C211" s="47">
        <v>0</v>
      </c>
      <c r="D211" s="50">
        <v>0</v>
      </c>
      <c r="E211" s="32">
        <f ref="E211:E219" t="shared" si="16">SUM(B211:C211)-D211</f>
        <v>2432000</v>
      </c>
    </row>
    <row r="212">
      <c r="A212" s="20" t="s">
        <v>394</v>
      </c>
      <c r="B212" s="50">
        <v>7378000</v>
      </c>
      <c r="C212" s="47">
        <v>0</v>
      </c>
      <c r="D212" s="50">
        <v>0</v>
      </c>
      <c r="E212" s="32">
        <f t="shared" si="16"/>
        <v>7378000</v>
      </c>
    </row>
    <row r="213">
      <c r="A213" s="20" t="s">
        <v>395</v>
      </c>
      <c r="B213" s="50">
        <v>448580110.26</v>
      </c>
      <c r="C213" s="47">
        <v>10663000</v>
      </c>
      <c r="D213" s="50">
        <v>0</v>
      </c>
      <c r="E213" s="32">
        <f t="shared" si="16"/>
        <v>459243110.26</v>
      </c>
    </row>
    <row r="214">
      <c r="A214" s="20" t="s">
        <v>396</v>
      </c>
      <c r="B214" s="50">
        <v>128340791.79</v>
      </c>
      <c r="C214" s="47">
        <v>0</v>
      </c>
      <c r="D214" s="50">
        <v>4176000</v>
      </c>
      <c r="E214" s="32">
        <f t="shared" si="16"/>
        <v>124164791.79</v>
      </c>
    </row>
    <row r="215">
      <c r="A215" s="20" t="s">
        <v>397</v>
      </c>
      <c r="B215" s="50">
        <v>0</v>
      </c>
      <c r="C215" s="47">
        <v>0</v>
      </c>
      <c r="D215" s="50">
        <v>0</v>
      </c>
      <c r="E215" s="32">
        <f t="shared" si="16"/>
        <v>0</v>
      </c>
    </row>
    <row r="216">
      <c r="A216" s="20" t="s">
        <v>398</v>
      </c>
      <c r="B216" s="50">
        <v>190056000</v>
      </c>
      <c r="C216" s="47">
        <v>11189000</v>
      </c>
      <c r="D216" s="50">
        <v>2308000</v>
      </c>
      <c r="E216" s="32">
        <f t="shared" si="16"/>
        <v>198937000</v>
      </c>
    </row>
    <row r="217">
      <c r="A217" s="20" t="s">
        <v>399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400</v>
      </c>
      <c r="B218" s="50">
        <v>13854000</v>
      </c>
      <c r="C218" s="47">
        <v>304000</v>
      </c>
      <c r="D218" s="50">
        <v>0</v>
      </c>
      <c r="E218" s="32">
        <f t="shared" si="16"/>
        <v>14158000</v>
      </c>
    </row>
    <row r="219">
      <c r="A219" s="20" t="s">
        <v>401</v>
      </c>
      <c r="B219" s="50">
        <v>5792412.5199999977</v>
      </c>
      <c r="C219" s="47">
        <v>13520000</v>
      </c>
      <c r="D219" s="50">
        <v>6791000</v>
      </c>
      <c r="E219" s="32">
        <f t="shared" si="16"/>
        <v>12521412.519999996</v>
      </c>
    </row>
    <row r="220">
      <c r="A220" s="20" t="s">
        <v>230</v>
      </c>
      <c r="B220" s="32">
        <f>SUM(B211:B219)</f>
        <v>796433314.56999993</v>
      </c>
      <c r="C220" s="266">
        <f>SUM(C211:C219)</f>
        <v>35676000</v>
      </c>
      <c r="D220" s="32">
        <f>SUM(D211:D219)</f>
        <v>13275000</v>
      </c>
      <c r="E220" s="32">
        <f>SUM(E211:E219)</f>
        <v>818834314.56999993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4677000</v>
      </c>
      <c r="C225" s="47">
        <v>295000</v>
      </c>
      <c r="D225" s="50">
        <v>0</v>
      </c>
      <c r="E225" s="32">
        <f ref="E225:E232" t="shared" si="17">SUM(B225:C225)-D225</f>
        <v>4972000</v>
      </c>
    </row>
    <row r="226">
      <c r="A226" s="20" t="s">
        <v>395</v>
      </c>
      <c r="B226" s="50">
        <v>242913000</v>
      </c>
      <c r="C226" s="47">
        <v>15161000</v>
      </c>
      <c r="D226" s="50">
        <v>0</v>
      </c>
      <c r="E226" s="32">
        <f t="shared" si="17"/>
        <v>258074000</v>
      </c>
    </row>
    <row r="227">
      <c r="A227" s="20" t="s">
        <v>396</v>
      </c>
      <c r="B227" s="50">
        <v>117959000</v>
      </c>
      <c r="C227" s="47">
        <v>-1069000</v>
      </c>
      <c r="D227" s="50">
        <v>0</v>
      </c>
      <c r="E227" s="32">
        <f t="shared" si="17"/>
        <v>116890000</v>
      </c>
    </row>
    <row r="228">
      <c r="A228" s="20" t="s">
        <v>397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>
      <c r="A229" s="20" t="s">
        <v>398</v>
      </c>
      <c r="B229" s="50">
        <v>154127000</v>
      </c>
      <c r="C229" s="47">
        <v>11625000</v>
      </c>
      <c r="D229" s="50">
        <v>2308000</v>
      </c>
      <c r="E229" s="32">
        <f t="shared" si="17"/>
        <v>163444000</v>
      </c>
    </row>
    <row r="230">
      <c r="A230" s="20" t="s">
        <v>399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>
      <c r="A231" s="20" t="s">
        <v>400</v>
      </c>
      <c r="B231" s="50">
        <v>7863000</v>
      </c>
      <c r="C231" s="47">
        <v>851000</v>
      </c>
      <c r="D231" s="50">
        <v>0</v>
      </c>
      <c r="E231" s="32">
        <f t="shared" si="17"/>
        <v>8714000</v>
      </c>
    </row>
    <row r="232">
      <c r="A232" s="20" t="s">
        <v>401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>
      <c r="A233" s="20" t="s">
        <v>230</v>
      </c>
      <c r="B233" s="32">
        <f>SUM(B224:B232)</f>
        <v>527539000</v>
      </c>
      <c r="C233" s="266">
        <f>SUM(C224:C232)</f>
        <v>26863000</v>
      </c>
      <c r="D233" s="32">
        <f>SUM(D224:D232)</f>
        <v>2308000</v>
      </c>
      <c r="E233" s="32">
        <f>SUM(E224:E232)</f>
        <v>552094000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4" t="s">
        <v>404</v>
      </c>
      <c r="C236" s="344"/>
      <c r="D236" s="38"/>
      <c r="E236" s="38"/>
    </row>
    <row r="237">
      <c r="A237" s="56" t="s">
        <v>404</v>
      </c>
      <c r="B237" s="38"/>
      <c r="C237" s="47">
        <v>46108339.939880587</v>
      </c>
      <c r="D237" s="40">
        <f>C237</f>
        <v>46108339.939880587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722354288</v>
      </c>
      <c r="D239" s="20"/>
      <c r="E239" s="20"/>
    </row>
    <row r="240">
      <c r="A240" s="20" t="s">
        <v>407</v>
      </c>
      <c r="B240" s="46" t="s">
        <v>299</v>
      </c>
      <c r="C240" s="47">
        <v>721256191</v>
      </c>
      <c r="D240" s="20"/>
      <c r="E240" s="20"/>
    </row>
    <row r="241">
      <c r="A241" s="20" t="s">
        <v>408</v>
      </c>
      <c r="B241" s="46" t="s">
        <v>299</v>
      </c>
      <c r="C241" s="47">
        <v>417324908</v>
      </c>
      <c r="D241" s="20"/>
      <c r="E241" s="20"/>
    </row>
    <row r="242">
      <c r="A242" s="20" t="s">
        <v>409</v>
      </c>
      <c r="B242" s="46" t="s">
        <v>299</v>
      </c>
      <c r="C242" s="47">
        <v>25903345</v>
      </c>
      <c r="D242" s="20"/>
      <c r="E242" s="20"/>
    </row>
    <row r="243">
      <c r="A243" s="20" t="s">
        <v>410</v>
      </c>
      <c r="B243" s="46" t="s">
        <v>299</v>
      </c>
      <c r="C243" s="47">
        <v>0</v>
      </c>
      <c r="D243" s="20"/>
      <c r="E243" s="20"/>
    </row>
    <row r="244">
      <c r="A244" s="20" t="s">
        <v>411</v>
      </c>
      <c r="B244" s="46" t="s">
        <v>299</v>
      </c>
      <c r="C244" s="47">
        <v>-54761129.556138121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1832077602.443862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9828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55675238.6672693</v>
      </c>
      <c r="D249" s="20"/>
      <c r="E249" s="20"/>
    </row>
    <row r="250">
      <c r="A250" s="26" t="s">
        <v>416</v>
      </c>
      <c r="B250" s="46" t="s">
        <v>299</v>
      </c>
      <c r="C250" s="47">
        <v>71105023.948988244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126780262.61625755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/>
      <c r="D254" s="20"/>
      <c r="E254" s="20"/>
    </row>
    <row r="255">
      <c r="A255" s="20" t="s">
        <v>418</v>
      </c>
      <c r="B255" s="46" t="s">
        <v>299</v>
      </c>
      <c r="C255" s="47"/>
      <c r="D255" s="20"/>
      <c r="E255" s="20"/>
    </row>
    <row r="256">
      <c r="A256" s="20" t="s">
        <v>420</v>
      </c>
      <c r="B256" s="20"/>
      <c r="C256" s="27"/>
      <c r="D256" s="32">
        <f>SUM(C254:C255)</f>
        <v>0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2004966205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250093646</v>
      </c>
      <c r="D266" s="20"/>
      <c r="E266" s="20"/>
    </row>
    <row r="267">
      <c r="A267" s="20" t="s">
        <v>425</v>
      </c>
      <c r="B267" s="46" t="s">
        <v>299</v>
      </c>
      <c r="C267" s="47">
        <v>0</v>
      </c>
      <c r="D267" s="20"/>
      <c r="E267" s="20"/>
    </row>
    <row r="268">
      <c r="A268" s="20" t="s">
        <v>426</v>
      </c>
      <c r="B268" s="46" t="s">
        <v>299</v>
      </c>
      <c r="C268" s="47">
        <v>193384564</v>
      </c>
      <c r="D268" s="20"/>
      <c r="E268" s="20"/>
    </row>
    <row r="269">
      <c r="A269" s="20" t="s">
        <v>427</v>
      </c>
      <c r="B269" s="46" t="s">
        <v>299</v>
      </c>
      <c r="C269" s="47">
        <v>0</v>
      </c>
      <c r="D269" s="20"/>
      <c r="E269" s="20"/>
    </row>
    <row r="270">
      <c r="A270" s="20" t="s">
        <v>428</v>
      </c>
      <c r="B270" s="46" t="s">
        <v>299</v>
      </c>
      <c r="C270" s="47">
        <v>34256697</v>
      </c>
      <c r="D270" s="20"/>
      <c r="E270" s="20"/>
    </row>
    <row r="271">
      <c r="A271" s="20" t="s">
        <v>429</v>
      </c>
      <c r="B271" s="46" t="s">
        <v>299</v>
      </c>
      <c r="C271" s="47">
        <v>29639042</v>
      </c>
      <c r="D271" s="20"/>
      <c r="E271" s="20"/>
    </row>
    <row r="272">
      <c r="A272" s="20" t="s">
        <v>430</v>
      </c>
      <c r="B272" s="46" t="s">
        <v>299</v>
      </c>
      <c r="C272" s="47">
        <v>0</v>
      </c>
      <c r="D272" s="20"/>
      <c r="E272" s="20"/>
    </row>
    <row r="273">
      <c r="A273" s="20" t="s">
        <v>431</v>
      </c>
      <c r="B273" s="46" t="s">
        <v>299</v>
      </c>
      <c r="C273" s="47">
        <v>10714527</v>
      </c>
      <c r="D273" s="20"/>
      <c r="E273" s="20"/>
    </row>
    <row r="274">
      <c r="A274" s="20" t="s">
        <v>432</v>
      </c>
      <c r="B274" s="46" t="s">
        <v>299</v>
      </c>
      <c r="C274" s="47">
        <v>0</v>
      </c>
      <c r="D274" s="20"/>
      <c r="E274" s="20"/>
    </row>
    <row r="275">
      <c r="A275" s="20" t="s">
        <v>433</v>
      </c>
      <c r="B275" s="46" t="s">
        <v>299</v>
      </c>
      <c r="C275" s="47">
        <v>0</v>
      </c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518088476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>
        <v>0</v>
      </c>
      <c r="D278" s="20"/>
      <c r="E278" s="20"/>
    </row>
    <row r="279">
      <c r="A279" s="20" t="s">
        <v>425</v>
      </c>
      <c r="B279" s="46" t="s">
        <v>299</v>
      </c>
      <c r="C279" s="47">
        <v>0</v>
      </c>
      <c r="D279" s="20"/>
      <c r="E279" s="20"/>
    </row>
    <row r="280">
      <c r="A280" s="20" t="s">
        <v>436</v>
      </c>
      <c r="B280" s="46" t="s">
        <v>299</v>
      </c>
      <c r="C280" s="47">
        <v>268044700</v>
      </c>
      <c r="D280" s="20"/>
      <c r="E280" s="20"/>
    </row>
    <row r="281">
      <c r="A281" s="20" t="s">
        <v>437</v>
      </c>
      <c r="B281" s="20"/>
      <c r="C281" s="27"/>
      <c r="D281" s="32">
        <f>SUM(C278:C280)</f>
        <v>268044700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47">
        <v>2432000</v>
      </c>
      <c r="D283" s="20"/>
      <c r="E283" s="20"/>
    </row>
    <row r="284">
      <c r="A284" s="20" t="s">
        <v>394</v>
      </c>
      <c r="B284" s="46" t="s">
        <v>299</v>
      </c>
      <c r="C284" s="47">
        <v>7378000</v>
      </c>
      <c r="D284" s="20"/>
      <c r="E284" s="20"/>
    </row>
    <row r="285">
      <c r="A285" s="20" t="s">
        <v>395</v>
      </c>
      <c r="B285" s="46" t="s">
        <v>299</v>
      </c>
      <c r="C285" s="47">
        <v>459243110.26</v>
      </c>
      <c r="D285" s="20"/>
      <c r="E285" s="20"/>
    </row>
    <row r="286">
      <c r="A286" s="20" t="s">
        <v>439</v>
      </c>
      <c r="B286" s="46" t="s">
        <v>299</v>
      </c>
      <c r="C286" s="47">
        <v>124164791.79</v>
      </c>
      <c r="D286" s="20"/>
      <c r="E286" s="20"/>
    </row>
    <row r="287">
      <c r="A287" s="20" t="s">
        <v>440</v>
      </c>
      <c r="B287" s="46" t="s">
        <v>299</v>
      </c>
      <c r="C287" s="47">
        <v>0</v>
      </c>
      <c r="D287" s="20"/>
      <c r="E287" s="20"/>
    </row>
    <row r="288">
      <c r="A288" s="20" t="s">
        <v>441</v>
      </c>
      <c r="B288" s="46" t="s">
        <v>299</v>
      </c>
      <c r="C288" s="47">
        <v>198937000</v>
      </c>
      <c r="D288" s="20"/>
      <c r="E288" s="20"/>
    </row>
    <row r="289">
      <c r="A289" s="20" t="s">
        <v>400</v>
      </c>
      <c r="B289" s="46" t="s">
        <v>299</v>
      </c>
      <c r="C289" s="47">
        <v>14158000</v>
      </c>
      <c r="D289" s="20"/>
      <c r="E289" s="20"/>
    </row>
    <row r="290">
      <c r="A290" s="20" t="s">
        <v>401</v>
      </c>
      <c r="B290" s="46" t="s">
        <v>299</v>
      </c>
      <c r="C290" s="47">
        <v>12521412.519999998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818834314.56999993</v>
      </c>
      <c r="E291" s="20"/>
    </row>
    <row r="292">
      <c r="A292" s="20" t="s">
        <v>443</v>
      </c>
      <c r="B292" s="46" t="s">
        <v>299</v>
      </c>
      <c r="C292" s="47">
        <v>552094509</v>
      </c>
      <c r="D292" s="20"/>
      <c r="E292" s="20"/>
    </row>
    <row r="293">
      <c r="A293" s="20" t="s">
        <v>444</v>
      </c>
      <c r="B293" s="20"/>
      <c r="C293" s="27"/>
      <c r="D293" s="32">
        <f>D291-C292</f>
        <v>266739805.56999993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47"/>
      <c r="D295" s="20"/>
      <c r="E295" s="20"/>
    </row>
    <row r="296">
      <c r="A296" s="20" t="s">
        <v>447</v>
      </c>
      <c r="B296" s="46" t="s">
        <v>299</v>
      </c>
      <c r="C296" s="47"/>
      <c r="D296" s="20"/>
      <c r="E296" s="20"/>
    </row>
    <row r="297">
      <c r="A297" s="20" t="s">
        <v>448</v>
      </c>
      <c r="B297" s="46" t="s">
        <v>299</v>
      </c>
      <c r="C297" s="47"/>
      <c r="D297" s="20"/>
      <c r="E297" s="20"/>
    </row>
    <row r="298">
      <c r="A298" s="20" t="s">
        <v>436</v>
      </c>
      <c r="B298" s="46" t="s">
        <v>299</v>
      </c>
      <c r="C298" s="47">
        <v>62708148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62708148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/>
      <c r="D302" s="20"/>
      <c r="E302" s="20"/>
    </row>
    <row r="303">
      <c r="A303" s="20" t="s">
        <v>452</v>
      </c>
      <c r="B303" s="46" t="s">
        <v>299</v>
      </c>
      <c r="C303" s="47"/>
      <c r="D303" s="20"/>
      <c r="E303" s="20"/>
    </row>
    <row r="304">
      <c r="A304" s="20" t="s">
        <v>453</v>
      </c>
      <c r="B304" s="46" t="s">
        <v>299</v>
      </c>
      <c r="C304" s="47"/>
      <c r="D304" s="20"/>
      <c r="E304" s="20"/>
    </row>
    <row r="305">
      <c r="A305" s="20" t="s">
        <v>454</v>
      </c>
      <c r="B305" s="46" t="s">
        <v>299</v>
      </c>
      <c r="C305" s="47"/>
      <c r="D305" s="20"/>
      <c r="E305" s="20"/>
    </row>
    <row r="306">
      <c r="A306" s="20" t="s">
        <v>455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1115581129.57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44308321</v>
      </c>
      <c r="D315" s="20"/>
      <c r="E315" s="20"/>
    </row>
    <row r="316">
      <c r="A316" s="20" t="s">
        <v>461</v>
      </c>
      <c r="B316" s="46" t="s">
        <v>299</v>
      </c>
      <c r="C316" s="47">
        <v>61456197</v>
      </c>
      <c r="D316" s="20"/>
      <c r="E316" s="20"/>
    </row>
    <row r="317">
      <c r="A317" s="20" t="s">
        <v>462</v>
      </c>
      <c r="B317" s="46" t="s">
        <v>299</v>
      </c>
      <c r="C317" s="47">
        <v>0</v>
      </c>
      <c r="D317" s="20"/>
      <c r="E317" s="20"/>
    </row>
    <row r="318">
      <c r="A318" s="20" t="s">
        <v>463</v>
      </c>
      <c r="B318" s="46" t="s">
        <v>299</v>
      </c>
      <c r="C318" s="47">
        <v>16031613</v>
      </c>
      <c r="D318" s="20"/>
      <c r="E318" s="20"/>
    </row>
    <row r="319">
      <c r="A319" s="20" t="s">
        <v>464</v>
      </c>
      <c r="B319" s="46" t="s">
        <v>299</v>
      </c>
      <c r="C319" s="47">
        <v>34017074</v>
      </c>
      <c r="D319" s="20"/>
      <c r="E319" s="20"/>
    </row>
    <row r="320">
      <c r="A320" s="20" t="s">
        <v>465</v>
      </c>
      <c r="B320" s="46" t="s">
        <v>299</v>
      </c>
      <c r="C320" s="47">
        <v>0</v>
      </c>
      <c r="D320" s="20"/>
      <c r="E320" s="20"/>
    </row>
    <row r="321">
      <c r="A321" s="20" t="s">
        <v>466</v>
      </c>
      <c r="B321" s="46" t="s">
        <v>299</v>
      </c>
      <c r="C321" s="47">
        <v>0</v>
      </c>
      <c r="D321" s="20"/>
      <c r="E321" s="20"/>
    </row>
    <row r="322">
      <c r="A322" s="20" t="s">
        <v>467</v>
      </c>
      <c r="B322" s="46" t="s">
        <v>299</v>
      </c>
      <c r="C322" s="47">
        <v>15427354</v>
      </c>
      <c r="D322" s="20"/>
      <c r="E322" s="20"/>
    </row>
    <row r="323">
      <c r="A323" s="20" t="s">
        <v>468</v>
      </c>
      <c r="B323" s="46" t="s">
        <v>299</v>
      </c>
      <c r="C323" s="47">
        <v>0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171240559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>
        <v>0</v>
      </c>
      <c r="D326" s="20"/>
      <c r="E326" s="20"/>
    </row>
    <row r="327">
      <c r="A327" s="20" t="s">
        <v>472</v>
      </c>
      <c r="B327" s="46" t="s">
        <v>299</v>
      </c>
      <c r="C327" s="47">
        <v>0</v>
      </c>
      <c r="D327" s="20"/>
      <c r="E327" s="20"/>
    </row>
    <row r="328">
      <c r="A328" s="20" t="s">
        <v>473</v>
      </c>
      <c r="B328" s="46" t="s">
        <v>299</v>
      </c>
      <c r="C328" s="47">
        <v>36914731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36914731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>
        <v>0</v>
      </c>
      <c r="D331" s="20"/>
      <c r="E331" s="20"/>
    </row>
    <row r="332">
      <c r="A332" s="20" t="s">
        <v>477</v>
      </c>
      <c r="B332" s="46" t="s">
        <v>299</v>
      </c>
      <c r="C332" s="47">
        <v>0</v>
      </c>
      <c r="D332" s="20"/>
      <c r="E332" s="20"/>
    </row>
    <row r="333">
      <c r="A333" s="20" t="s">
        <v>478</v>
      </c>
      <c r="B333" s="46" t="s">
        <v>299</v>
      </c>
      <c r="C333" s="47">
        <v>0</v>
      </c>
      <c r="D333" s="20"/>
      <c r="E333" s="20"/>
    </row>
    <row r="334">
      <c r="A334" s="26" t="s">
        <v>479</v>
      </c>
      <c r="B334" s="46" t="s">
        <v>299</v>
      </c>
      <c r="C334" s="47">
        <v>0</v>
      </c>
      <c r="D334" s="20"/>
      <c r="E334" s="20"/>
    </row>
    <row r="335">
      <c r="A335" s="20" t="s">
        <v>480</v>
      </c>
      <c r="B335" s="46" t="s">
        <v>299</v>
      </c>
      <c r="C335" s="47">
        <v>0</v>
      </c>
      <c r="D335" s="20"/>
      <c r="E335" s="20"/>
    </row>
    <row r="336">
      <c r="A336" s="26" t="s">
        <v>481</v>
      </c>
      <c r="B336" s="46" t="s">
        <v>299</v>
      </c>
      <c r="C336" s="47">
        <v>19151614</v>
      </c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>
        <v>156440207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175591821</v>
      </c>
      <c r="E339" s="20"/>
    </row>
    <row r="340">
      <c r="A340" s="20" t="s">
        <v>484</v>
      </c>
      <c r="B340" s="20"/>
      <c r="C340" s="27"/>
      <c r="D340" s="32">
        <f>C323</f>
        <v>0</v>
      </c>
      <c r="E340" s="20"/>
    </row>
    <row r="341">
      <c r="A341" s="20" t="s">
        <v>485</v>
      </c>
      <c r="B341" s="20"/>
      <c r="C341" s="27"/>
      <c r="D341" s="32">
        <f>D339-D340</f>
        <v>175591821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731834019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1115581130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1115581129.57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2001889295</v>
      </c>
      <c r="D358" s="20"/>
      <c r="E358" s="20"/>
    </row>
    <row r="359">
      <c r="A359" s="20" t="s">
        <v>497</v>
      </c>
      <c r="B359" s="46" t="s">
        <v>299</v>
      </c>
      <c r="C359" s="234">
        <v>1087820019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3089709314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46108339.939880587</v>
      </c>
      <c r="D362" s="20"/>
      <c r="E362" s="45"/>
    </row>
    <row r="363">
      <c r="A363" s="20" t="s">
        <v>500</v>
      </c>
      <c r="B363" s="46" t="s">
        <v>299</v>
      </c>
      <c r="C363" s="47">
        <v>1832077603.443862</v>
      </c>
      <c r="D363" s="20"/>
      <c r="E363" s="20"/>
    </row>
    <row r="364">
      <c r="A364" s="20" t="s">
        <v>501</v>
      </c>
      <c r="B364" s="46" t="s">
        <v>299</v>
      </c>
      <c r="C364" s="47">
        <v>126780262.61625755</v>
      </c>
      <c r="D364" s="20"/>
      <c r="E364" s="20"/>
    </row>
    <row r="365">
      <c r="A365" s="20" t="s">
        <v>502</v>
      </c>
      <c r="B365" s="46" t="s">
        <v>299</v>
      </c>
      <c r="C365" s="47">
        <v>0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2004966206</v>
      </c>
      <c r="E366" s="20"/>
    </row>
    <row r="367">
      <c r="A367" s="20" t="s">
        <v>503</v>
      </c>
      <c r="B367" s="20"/>
      <c r="C367" s="27"/>
      <c r="D367" s="32">
        <f>D360-D366</f>
        <v>1084743108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87821123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87821123</v>
      </c>
      <c r="E381" s="32"/>
      <c r="F381" s="60"/>
    </row>
    <row r="382">
      <c r="A382" s="56" t="s">
        <v>518</v>
      </c>
      <c r="B382" s="46" t="s">
        <v>299</v>
      </c>
      <c r="C382" s="47">
        <v>0</v>
      </c>
      <c r="D382" s="32"/>
      <c r="E382" s="20"/>
    </row>
    <row r="383">
      <c r="A383" s="20" t="s">
        <v>519</v>
      </c>
      <c r="B383" s="20"/>
      <c r="C383" s="27"/>
      <c r="D383" s="32">
        <f>D381+C382</f>
        <v>87821123</v>
      </c>
      <c r="E383" s="20"/>
    </row>
    <row r="384">
      <c r="A384" s="20" t="s">
        <v>520</v>
      </c>
      <c r="B384" s="20"/>
      <c r="C384" s="27"/>
      <c r="D384" s="32">
        <f>D367+D383</f>
        <v>1172564231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505259121</v>
      </c>
      <c r="D389" s="20"/>
      <c r="E389" s="20"/>
    </row>
    <row r="390">
      <c r="A390" s="20" t="s">
        <v>11</v>
      </c>
      <c r="B390" s="46" t="s">
        <v>299</v>
      </c>
      <c r="C390" s="47">
        <v>137010148</v>
      </c>
      <c r="D390" s="20"/>
      <c r="E390" s="20"/>
    </row>
    <row r="391">
      <c r="A391" s="20" t="s">
        <v>264</v>
      </c>
      <c r="B391" s="46" t="s">
        <v>299</v>
      </c>
      <c r="C391" s="47">
        <v>40681390</v>
      </c>
      <c r="D391" s="20"/>
      <c r="E391" s="20"/>
    </row>
    <row r="392">
      <c r="A392" s="20" t="s">
        <v>523</v>
      </c>
      <c r="B392" s="46" t="s">
        <v>299</v>
      </c>
      <c r="C392" s="47">
        <v>198833579</v>
      </c>
      <c r="D392" s="20"/>
      <c r="E392" s="20"/>
    </row>
    <row r="393">
      <c r="A393" s="20" t="s">
        <v>524</v>
      </c>
      <c r="B393" s="46" t="s">
        <v>299</v>
      </c>
      <c r="C393" s="47">
        <v>11059387</v>
      </c>
      <c r="D393" s="20"/>
      <c r="E393" s="20"/>
    </row>
    <row r="394">
      <c r="A394" s="20" t="s">
        <v>525</v>
      </c>
      <c r="B394" s="46" t="s">
        <v>299</v>
      </c>
      <c r="C394" s="47">
        <v>245312114</v>
      </c>
      <c r="D394" s="20"/>
      <c r="E394" s="20"/>
    </row>
    <row r="395">
      <c r="A395" s="20" t="s">
        <v>16</v>
      </c>
      <c r="B395" s="46" t="s">
        <v>299</v>
      </c>
      <c r="C395" s="47">
        <v>38719892</v>
      </c>
      <c r="D395" s="20"/>
      <c r="E395" s="20"/>
    </row>
    <row r="396">
      <c r="A396" s="20" t="s">
        <v>526</v>
      </c>
      <c r="B396" s="46" t="s">
        <v>299</v>
      </c>
      <c r="C396" s="47">
        <v>4035933</v>
      </c>
      <c r="D396" s="20"/>
      <c r="E396" s="20"/>
    </row>
    <row r="397">
      <c r="A397" s="20" t="s">
        <v>527</v>
      </c>
      <c r="B397" s="46" t="s">
        <v>299</v>
      </c>
      <c r="C397" s="47">
        <v>7584013</v>
      </c>
      <c r="D397" s="20"/>
      <c r="E397" s="20"/>
    </row>
    <row r="398">
      <c r="A398" s="20" t="s">
        <v>528</v>
      </c>
      <c r="B398" s="46" t="s">
        <v>299</v>
      </c>
      <c r="C398" s="47">
        <v>1764055</v>
      </c>
      <c r="D398" s="20"/>
      <c r="E398" s="20"/>
    </row>
    <row r="399">
      <c r="A399" s="20" t="s">
        <v>529</v>
      </c>
      <c r="B399" s="46" t="s">
        <v>299</v>
      </c>
      <c r="C399" s="47">
        <v>0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1310951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1310951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1191570583</v>
      </c>
      <c r="E416" s="32"/>
    </row>
    <row r="417">
      <c r="A417" s="32" t="s">
        <v>534</v>
      </c>
      <c r="B417" s="20"/>
      <c r="C417" s="27"/>
      <c r="D417" s="32">
        <f>D384-D416</f>
        <v>-19006352</v>
      </c>
      <c r="E417" s="32"/>
    </row>
    <row r="418">
      <c r="A418" s="32" t="s">
        <v>535</v>
      </c>
      <c r="B418" s="20"/>
      <c r="C418" s="236">
        <v>15125581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15125581</v>
      </c>
      <c r="E420" s="32"/>
    </row>
    <row r="421">
      <c r="A421" s="32" t="s">
        <v>538</v>
      </c>
      <c r="B421" s="20"/>
      <c r="C421" s="27"/>
      <c r="D421" s="32">
        <f>D417+D420</f>
        <v>-3880771</v>
      </c>
      <c r="E421" s="32"/>
      <c r="F421" s="63"/>
    </row>
    <row r="422">
      <c r="A422" s="32" t="s">
        <v>539</v>
      </c>
      <c r="B422" s="46" t="s">
        <v>299</v>
      </c>
      <c r="C422" s="47"/>
      <c r="D422" s="32"/>
      <c r="E422" s="20"/>
    </row>
    <row r="423">
      <c r="A423" s="20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20"/>
      <c r="C424" s="27"/>
      <c r="D424" s="32">
        <f>D421+C422-C423</f>
        <v>-3880771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1018160.75</v>
      </c>
      <c r="E612" s="258">
        <f>SUM(C624:D647)+SUM(C668:D713)</f>
        <v>1016132434.9850957</v>
      </c>
      <c r="F612" s="258">
        <f>CE64-(AX64+BD64+BE64+BG64+BJ64+BN64+BP64+BQ64+CB64+CC64+CD64)</f>
        <v>198759624.02</v>
      </c>
      <c r="G612" s="256">
        <f>CE91-(AX91+AY91+BD91+BE91+BG91+BJ91+BN91+BP91+BQ91+CB91+CC91+CD91)</f>
        <v>848294</v>
      </c>
      <c r="H612" s="261">
        <f>CE60-(AX60+AY60+AZ60+BD60+BE60+BG60+BJ60+BN60+BO60+BP60+BQ60+BR60+CB60+CC60+CD60)</f>
        <v>4162.6600000000008</v>
      </c>
      <c r="I612" s="256">
        <f>CE92-(AX92+AY92+AZ92+BD92+BE92+BF92+BG92+BJ92+BN92+BO92+BP92+BQ92+BR92+CB92+CC92+CD92)</f>
        <v>299353.27758904261</v>
      </c>
      <c r="J612" s="256">
        <f>CE93-(AX93+AY93+AZ93+BA93+BD93+BE93+BF93+BG93+BJ93+BN93+BO93+BP93+BQ93+BR93+CB93+CC93+CD93)</f>
        <v>3640299.38</v>
      </c>
      <c r="K612" s="256">
        <f>CE89-(AW89+AX89+AY89+AZ89+BA89+BB89+BC89+BD89+BE89+BF89+BG89+BH89+BI89+BJ89+BK89+BL89+BM89+BN89+BO89+BP89+BQ89+BR89+BS89+BT89+BU89+BV89+BW89+BX89+CB89+CC89+CD89)</f>
        <v>3089709311.6300011</v>
      </c>
      <c r="L612" s="262">
        <f>CE94-(AW94+AX94+AY94+AZ94+BA94+BB94+BC94+BD94+BE94+BF94+BG94+BH94+BI94+BJ94+BK94+BL94+BM94+BN94+BO94+BP94+BQ94+BR94+BS94+BT94+BU94+BV94+BW94+BX94+BY94+BZ94+CA94+CB94+CC94+CD94)</f>
        <v>1352.1900000000003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27891024.93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0</v>
      </c>
      <c r="D615" s="256">
        <f>SUM(C614:C615)</f>
        <v>27891024.93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7994066.83</v>
      </c>
      <c r="D617" s="256">
        <f>(D615/D612)*BJ90</f>
        <v>82783.2710487612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796362.91</v>
      </c>
      <c r="D618" s="256">
        <f>(D615/D612)*BG90</f>
        <v>186056.90832666648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13694582.919999998</v>
      </c>
      <c r="D619" s="256">
        <f>(D615/D612)*BN90</f>
        <v>155430.93313390837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60555168.72</v>
      </c>
      <c r="D620" s="256">
        <f>(D615/D612)*CC90</f>
        <v>1932579.8455993687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1218299.18</v>
      </c>
      <c r="D621" s="256">
        <f>(D615/D612)*BP90</f>
        <v>22353.126795429896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979261.05999999994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87616945.704904139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3634330.24</v>
      </c>
      <c r="D624" s="256">
        <f>(D615/D612)*BD90</f>
        <v>85769.16666236642</v>
      </c>
      <c r="E624" s="258">
        <f>(E623/E612)*SUM(C624:D624)</f>
        <v>320768.96328495163</v>
      </c>
      <c r="F624" s="258">
        <f>SUM(C624:E624)</f>
        <v>4040868.3699473185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12197793.819999997</v>
      </c>
      <c r="D625" s="256">
        <f>(D615/D612)*AY90</f>
        <v>747350.49660896871</v>
      </c>
      <c r="E625" s="258">
        <f>(E623/E612)*SUM(C625:D625)</f>
        <v>1116206.871939003</v>
      </c>
      <c r="F625" s="258">
        <f>(F624/F612)*AY64</f>
        <v>122902.35226657287</v>
      </c>
      <c r="G625" s="256">
        <f>SUM(C625:F625)</f>
        <v>14184253.540814541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6928728.34</v>
      </c>
      <c r="D626" s="256">
        <f>(D615/D612)*BR90</f>
        <v>97000.517135560367</v>
      </c>
      <c r="E626" s="258">
        <f>(E623/E612)*SUM(C626:D626)</f>
        <v>605799.87668837048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1488616.5699999998</v>
      </c>
      <c r="D627" s="256">
        <f>(D615/D612)*BO90</f>
        <v>35748.566750044134</v>
      </c>
      <c r="E627" s="258">
        <f>(E623/E612)*SUM(C627:D627)</f>
        <v>131439.77381554246</v>
      </c>
      <c r="F627" s="258">
        <f>(F624/F612)*BO64</f>
        <v>896.09088891777117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9288229.7352784351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16374066.41</v>
      </c>
      <c r="D629" s="256">
        <f>(D615/D612)*BF90</f>
        <v>711437.56863248756</v>
      </c>
      <c r="E629" s="258">
        <f>(E623/E612)*SUM(C629:D629)</f>
        <v>1473213.1589311224</v>
      </c>
      <c r="F629" s="258">
        <f>(F624/F612)*BF64</f>
        <v>34222.401172304992</v>
      </c>
      <c r="G629" s="256">
        <f>(G625/G612)*BF91</f>
        <v>0</v>
      </c>
      <c r="H629" s="258">
        <f>(H628/H612)*BF60</f>
        <v>469648.39662172855</v>
      </c>
      <c r="I629" s="256">
        <f>SUM(C629:H629)</f>
        <v>19062587.935357645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1770431.57</v>
      </c>
      <c r="D630" s="256">
        <f>(D615/D612)*BA90</f>
        <v>151732.80553907622</v>
      </c>
      <c r="E630" s="258">
        <f>(E623/E612)*SUM(C630:D630)</f>
        <v>165740.37588907243</v>
      </c>
      <c r="F630" s="258">
        <f>(F624/F612)*BA64</f>
        <v>18287.625418787804</v>
      </c>
      <c r="G630" s="256">
        <f>(G625/G612)*BA91</f>
        <v>0</v>
      </c>
      <c r="H630" s="258">
        <f>(H628/H612)*BA60</f>
        <v>25258.55116760722</v>
      </c>
      <c r="I630" s="256">
        <f>(I629/I612)*BA92</f>
        <v>121744.77653751176</v>
      </c>
      <c r="J630" s="256">
        <f>SUM(C630:I630)</f>
        <v>2253195.7045520558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31795341.34</v>
      </c>
      <c r="D631" s="256">
        <f>(D615/D612)*AW90</f>
        <v>0</v>
      </c>
      <c r="E631" s="258">
        <f>(E623/E612)*SUM(C631:D631)</f>
        <v>2741582.2976820292</v>
      </c>
      <c r="F631" s="258">
        <f>(F624/F612)*AW64</f>
        <v>10088.771951494948</v>
      </c>
      <c r="G631" s="256">
        <f>(G625/G612)*AW91</f>
        <v>0</v>
      </c>
      <c r="H631" s="258">
        <f>(H628/H612)*AW60</f>
        <v>6693.9623235708177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17406570.099999994</v>
      </c>
      <c r="D632" s="256">
        <f>(D615/D612)*BB90</f>
        <v>185563.82464735553</v>
      </c>
      <c r="E632" s="258">
        <f>(E623/E612)*SUM(C632:D632)</f>
        <v>1516897.7879658346</v>
      </c>
      <c r="F632" s="258">
        <f>(F624/F612)*BB64</f>
        <v>3022.4166809647986</v>
      </c>
      <c r="G632" s="256">
        <f>(G625/G612)*BB91</f>
        <v>0</v>
      </c>
      <c r="H632" s="258">
        <f>(H628/H612)*BB60</f>
        <v>230941.70016319322</v>
      </c>
      <c r="I632" s="256">
        <f>(I629/I612)*BB92</f>
        <v>148355.90307675631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206559.3</v>
      </c>
      <c r="D634" s="256">
        <f>(D615/D612)*BI90</f>
        <v>556034.02903631865</v>
      </c>
      <c r="E634" s="258">
        <f>(E623/E612)*SUM(C634:D634)</f>
        <v>65755.305120318561</v>
      </c>
      <c r="F634" s="258">
        <f>(F624/F612)*BI64</f>
        <v>5540.7088694786826</v>
      </c>
      <c r="G634" s="256">
        <f>(G625/G612)*BI91</f>
        <v>0</v>
      </c>
      <c r="H634" s="258">
        <f>(H628/H612)*BI60</f>
        <v>8969.9095135848947</v>
      </c>
      <c r="I634" s="256">
        <f>(I629/I612)*BI92</f>
        <v>446141.08578415122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18691126.99</v>
      </c>
      <c r="D635" s="256">
        <f>(D615/D612)*BK90</f>
        <v>121627.30756336855</v>
      </c>
      <c r="E635" s="258">
        <f>(E623/E612)*SUM(C635:D635)</f>
        <v>1622146.8925686723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97589.241347996431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77303462.96</v>
      </c>
      <c r="D636" s="256">
        <f>(D615/D612)*BH90</f>
        <v>1615314.7398849444</v>
      </c>
      <c r="E636" s="258">
        <f>(E623/E612)*SUM(C636:D636)</f>
        <v>6804843.564441124</v>
      </c>
      <c r="F636" s="258">
        <f>(F624/F612)*BH64</f>
        <v>4574.084607656835</v>
      </c>
      <c r="G636" s="256">
        <f>(G625/G612)*BH91</f>
        <v>0</v>
      </c>
      <c r="H636" s="258">
        <f>(H628/H612)*BH60</f>
        <v>31974.826698923272</v>
      </c>
      <c r="I636" s="256">
        <f>(I629/I612)*BH92</f>
        <v>1296068.647425069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5942195.55</v>
      </c>
      <c r="D637" s="256">
        <f>(D615/D612)*BL90</f>
        <v>75688.344774231373</v>
      </c>
      <c r="E637" s="258">
        <f>(E623/E612)*SUM(C637:D637)</f>
        <v>518897.52586687641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60729.521136151823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897.48</v>
      </c>
      <c r="D638" s="256">
        <f>(D615/D612)*BM90</f>
        <v>0</v>
      </c>
      <c r="E638" s="258">
        <f>(E623/E612)*SUM(C638:D638)</f>
        <v>77.386031312336513</v>
      </c>
      <c r="F638" s="258">
        <f>(F624/F612)*BM64</f>
        <v>6.6073893362805451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285846.86000000004</v>
      </c>
      <c r="D639" s="256">
        <f>(D615/D612)*BS90</f>
        <v>17915.373681631314</v>
      </c>
      <c r="E639" s="258">
        <f>(E623/E612)*SUM(C639:D639)</f>
        <v>26192.175566243262</v>
      </c>
      <c r="F639" s="258">
        <f>(F624/F612)*BS64</f>
        <v>690.59030543222093</v>
      </c>
      <c r="G639" s="256">
        <f>(G625/G612)*BS91</f>
        <v>0</v>
      </c>
      <c r="H639" s="258">
        <f>(H628/H612)*BS60</f>
        <v>5399.7962743471262</v>
      </c>
      <c r="I639" s="256">
        <f>(I629/I612)*BS92</f>
        <v>14374.631495853528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796115.52999999991</v>
      </c>
      <c r="D640" s="256">
        <f>(D615/D612)*BT90</f>
        <v>28954.969390648774</v>
      </c>
      <c r="E640" s="258">
        <f>(E623/E612)*SUM(C640:D640)</f>
        <v>71142.4561001135</v>
      </c>
      <c r="F640" s="258">
        <f>(F624/F612)*BT64</f>
        <v>49.753845006479779</v>
      </c>
      <c r="G640" s="256">
        <f>(G625/G612)*BT91</f>
        <v>0</v>
      </c>
      <c r="H640" s="258">
        <f>(H628/H612)*BT60</f>
        <v>20171.1398016934</v>
      </c>
      <c r="I640" s="256">
        <f>(I629/I612)*BT92</f>
        <v>23232.393717304552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6476138.25</v>
      </c>
      <c r="D642" s="256">
        <f>(D615/D612)*BV90</f>
        <v>406355.73882770474</v>
      </c>
      <c r="E642" s="258">
        <f>(E623/E612)*SUM(C642:D642)</f>
        <v>593449.31956855708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326044.77616130153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68619320.089999989</v>
      </c>
      <c r="D643" s="256">
        <f>(D615/D612)*BW90</f>
        <v>3515029.1885813512</v>
      </c>
      <c r="E643" s="258">
        <f>(E623/E612)*SUM(C643:D643)</f>
        <v>6219850.0378474332</v>
      </c>
      <c r="F643" s="258">
        <f>(F624/F612)*BW64</f>
        <v>220.27836551864442</v>
      </c>
      <c r="G643" s="256">
        <f>(G625/G612)*BW91</f>
        <v>0</v>
      </c>
      <c r="H643" s="258">
        <f>(H628/H612)*BW60</f>
        <v>272332.70053060609</v>
      </c>
      <c r="I643" s="256">
        <f>(I629/I612)*BW92</f>
        <v>2820329.0749570965</v>
      </c>
      <c r="J643" s="256">
        <f>(J630/J612)*BW93</f>
        <v>38353.379804548691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9009898.09</v>
      </c>
      <c r="D644" s="256">
        <f>(D615/D612)*BX90</f>
        <v>140364.48737718479</v>
      </c>
      <c r="E644" s="258">
        <f>(E623/E612)*SUM(C644:D644)</f>
        <v>788989.73384255008</v>
      </c>
      <c r="F644" s="258">
        <f>(F624/F612)*BX64</f>
        <v>1970.2637286184011</v>
      </c>
      <c r="G644" s="256">
        <f>(G625/G612)*BX91</f>
        <v>0</v>
      </c>
      <c r="H644" s="258">
        <f>(H628/H612)*BX60</f>
        <v>121562.35579604605</v>
      </c>
      <c r="I644" s="256">
        <f>(I629/I612)*BX92</f>
        <v>112623.25960971481</v>
      </c>
      <c r="J644" s="256">
        <f>(J630/J612)*BX93</f>
        <v>0</v>
      </c>
      <c r="K644" s="258">
        <f>SUM(C631:J644)</f>
        <v>270274196.80772716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14093410.110000001</v>
      </c>
      <c r="D645" s="256">
        <f>(D615/D612)*BY90</f>
        <v>88672.881662753149</v>
      </c>
      <c r="E645" s="258">
        <f>(E623/E612)*SUM(C645:D645)</f>
        <v>1222863.0370225175</v>
      </c>
      <c r="F645" s="258">
        <f>(F624/F612)*BY64</f>
        <v>408.54952057090958</v>
      </c>
      <c r="G645" s="256">
        <f>(G625/G612)*BY91</f>
        <v>0</v>
      </c>
      <c r="H645" s="258">
        <f>(H628/H612)*BY60</f>
        <v>217888.47363223013</v>
      </c>
      <c r="I645" s="256">
        <f>(I629/I612)*BY92</f>
        <v>71147.832036816326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14367838.13</v>
      </c>
      <c r="D646" s="256">
        <f>(D615/D612)*BZ90</f>
        <v>49472.729157532347</v>
      </c>
      <c r="E646" s="258">
        <f>(E623/E612)*SUM(C646:D646)</f>
        <v>1243145.7743754224</v>
      </c>
      <c r="F646" s="258">
        <f>(F624/F612)*BZ64</f>
        <v>136.890875747624</v>
      </c>
      <c r="G646" s="256">
        <f>(G625/G612)*BZ91</f>
        <v>0</v>
      </c>
      <c r="H646" s="258">
        <f>(H628/H612)*BZ60</f>
        <v>163131.86182542081</v>
      </c>
      <c r="I646" s="256">
        <f>(I629/I612)*BZ92</f>
        <v>39695.08330506341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5235780.5200000005</v>
      </c>
      <c r="D647" s="256">
        <f>(D615/D612)*CA90</f>
        <v>268292.30862063775</v>
      </c>
      <c r="E647" s="258">
        <f>(E623/E612)*SUM(C647:D647)</f>
        <v>474593.69820053631</v>
      </c>
      <c r="F647" s="258">
        <f>(F624/F612)*CA64</f>
        <v>1926.0853003860184</v>
      </c>
      <c r="G647" s="256">
        <f>(G625/G612)*CA91</f>
        <v>0</v>
      </c>
      <c r="H647" s="258">
        <f>(H628/H612)*CA60</f>
        <v>59977.902419194521</v>
      </c>
      <c r="I647" s="256">
        <f>(I629/I612)*CA92</f>
        <v>215267.79949600835</v>
      </c>
      <c r="J647" s="256">
        <f>(J630/J612)*CA93</f>
        <v>3626.1645335228372</v>
      </c>
      <c r="K647" s="258">
        <v>0</v>
      </c>
      <c r="L647" s="258">
        <f>SUM(C645:K647)</f>
        <v>37817275.831984378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425753234.79999995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67280693.76000002</v>
      </c>
      <c r="D668" s="256">
        <f>(D615/D612)*C90</f>
        <v>1219642.4807756436</v>
      </c>
      <c r="E668" s="258">
        <f>(E623/E612)*SUM(C668:D668)</f>
        <v>5906503.950209748</v>
      </c>
      <c r="F668" s="258">
        <f>(F624/F612)*C64</f>
        <v>122455.40527517811</v>
      </c>
      <c r="G668" s="256">
        <f>(G625/G612)*C91</f>
        <v>2656903.5439067213</v>
      </c>
      <c r="H668" s="258">
        <f>(H628/H612)*C60</f>
        <v>745818.96888451523</v>
      </c>
      <c r="I668" s="256">
        <f>(I629/I612)*C92</f>
        <v>975990.2711066592</v>
      </c>
      <c r="J668" s="256">
        <f>(J630/J612)*C93</f>
        <v>371364.00762672519</v>
      </c>
      <c r="K668" s="256">
        <f>(K644/K612)*C89</f>
        <v>18171478.863643944</v>
      </c>
      <c r="L668" s="256">
        <f>(L647/L612)*C94</f>
        <v>8223262.7166880127</v>
      </c>
      <c r="M668" s="231">
        <f ref="M668:M713" t="shared" si="18">ROUND(SUM(D668:L668),0)</f>
        <v>38393420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103328117.69000001</v>
      </c>
      <c r="D669" s="256">
        <f>(D615/D612)*D90</f>
        <v>2261309.1468577725</v>
      </c>
      <c r="E669" s="258">
        <f>(E623/E612)*SUM(C669:D669)</f>
        <v>9104544.6042794734</v>
      </c>
      <c r="F669" s="258">
        <f>(F624/F612)*D64</f>
        <v>117318.10171788954</v>
      </c>
      <c r="G669" s="256">
        <f>(G625/G612)*D91</f>
        <v>8245752.994972595</v>
      </c>
      <c r="H669" s="258">
        <f>(H628/H612)*D60</f>
        <v>1503017.6737191009</v>
      </c>
      <c r="I669" s="256">
        <f>(I629/I612)*D92</f>
        <v>1794261.7603463528</v>
      </c>
      <c r="J669" s="256">
        <f>(J630/J612)*D93</f>
        <v>452628.14305713365</v>
      </c>
      <c r="K669" s="256">
        <f>(K644/K612)*D89</f>
        <v>28570029.551956806</v>
      </c>
      <c r="L669" s="256">
        <f>(L647/L612)*D94</f>
        <v>12692457.636004902</v>
      </c>
      <c r="M669" s="231">
        <f t="shared" si="18"/>
        <v>64741320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342003.89</v>
      </c>
      <c r="D670" s="256">
        <f>(D615/D612)*E90</f>
        <v>0</v>
      </c>
      <c r="E670" s="258">
        <f>(E623/E612)*SUM(C670:D670)</f>
        <v>29489.597250613824</v>
      </c>
      <c r="F670" s="258">
        <f>(F624/F612)*E64</f>
        <v>391.40751298115055</v>
      </c>
      <c r="G670" s="256">
        <f>(G625/G612)*E91</f>
        <v>161791.59260930939</v>
      </c>
      <c r="H670" s="258">
        <f>(H628/H612)*E60</f>
        <v>5087.4113659138211</v>
      </c>
      <c r="I670" s="256">
        <f>(I629/I612)*E92</f>
        <v>0</v>
      </c>
      <c r="J670" s="256">
        <f>(J630/J612)*E93</f>
        <v>0</v>
      </c>
      <c r="K670" s="256">
        <f>(K644/K612)*E89</f>
        <v>581399.13954739214</v>
      </c>
      <c r="L670" s="256">
        <f>(L647/L612)*E94</f>
        <v>41391.792744611979</v>
      </c>
      <c r="M670" s="231">
        <f t="shared" si="18"/>
        <v>819551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10228192.6</v>
      </c>
      <c r="D672" s="256">
        <f>(D615/D612)*G90</f>
        <v>347788.35514065926</v>
      </c>
      <c r="E672" s="258">
        <f>(E623/E612)*SUM(C672:D672)</f>
        <v>911923.60091945191</v>
      </c>
      <c r="F672" s="258">
        <f>(F624/F612)*G64</f>
        <v>9089.1932845323281</v>
      </c>
      <c r="G672" s="256">
        <f>(G625/G612)*G91</f>
        <v>920820.89758109418</v>
      </c>
      <c r="H672" s="258">
        <f>(H628/H612)*G60</f>
        <v>134838.7144044615</v>
      </c>
      <c r="I672" s="256">
        <f>(I629/I612)*G92</f>
        <v>274411.57321244042</v>
      </c>
      <c r="J672" s="256">
        <f>(J630/J612)*G93</f>
        <v>52613.549172636944</v>
      </c>
      <c r="K672" s="256">
        <f>(K644/K612)*G89</f>
        <v>3099637.9876338067</v>
      </c>
      <c r="L672" s="256">
        <f>(L647/L612)*G94</f>
        <v>1158690.5225738338</v>
      </c>
      <c r="M672" s="231">
        <f t="shared" si="18"/>
        <v>6909814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16537989.179999998</v>
      </c>
      <c r="D673" s="256">
        <f>(D615/D612)*H90</f>
        <v>605999.841873162</v>
      </c>
      <c r="E673" s="258">
        <f>(E623/E612)*SUM(C673:D673)</f>
        <v>1478256.085110565</v>
      </c>
      <c r="F673" s="258">
        <f>(F624/F612)*H64</f>
        <v>5052.5272959312078</v>
      </c>
      <c r="G673" s="256">
        <f>(G625/G612)*H91</f>
        <v>2198783.8607411715</v>
      </c>
      <c r="H673" s="258">
        <f>(H628/H612)*H60</f>
        <v>288375.89689943084</v>
      </c>
      <c r="I673" s="256">
        <f>(I629/I612)*H92</f>
        <v>477915.91653490689</v>
      </c>
      <c r="J673" s="256">
        <f>(J630/J612)*H93</f>
        <v>73693.141562631034</v>
      </c>
      <c r="K673" s="256">
        <f>(K644/K612)*H89</f>
        <v>6072189.1052568</v>
      </c>
      <c r="L673" s="256">
        <f>(L647/L612)*H94</f>
        <v>1971703.6408750976</v>
      </c>
      <c r="M673" s="231">
        <f t="shared" si="18"/>
        <v>13171970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42664.170000000006</v>
      </c>
      <c r="D679" s="256">
        <f>(D615/D612)*N90</f>
        <v>0</v>
      </c>
      <c r="E679" s="258">
        <f>(E623/E612)*SUM(C679:D679)</f>
        <v>3678.7569589682762</v>
      </c>
      <c r="F679" s="258">
        <f>(F624/F612)*N64</f>
        <v>854.88171980096945</v>
      </c>
      <c r="G679" s="256">
        <f>(G625/G612)*N91</f>
        <v>0</v>
      </c>
      <c r="H679" s="258">
        <f>(H628/H612)*N60</f>
        <v>22.31320774523606</v>
      </c>
      <c r="I679" s="256">
        <f>(I629/I612)*N92</f>
        <v>0</v>
      </c>
      <c r="J679" s="256">
        <f>(J630/J612)*N93</f>
        <v>0</v>
      </c>
      <c r="K679" s="256">
        <f>(K644/K612)*N89</f>
        <v>151.26981729200165</v>
      </c>
      <c r="L679" s="256">
        <f>(L647/L612)*N94</f>
        <v>0</v>
      </c>
      <c r="M679" s="231">
        <f t="shared" si="18"/>
        <v>4707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80371675.050000012</v>
      </c>
      <c r="D681" s="256">
        <f>(D615/D612)*P90</f>
        <v>1074210.188916652</v>
      </c>
      <c r="E681" s="258">
        <f>(E623/E612)*SUM(C681:D681)</f>
        <v>7022745.7161828354</v>
      </c>
      <c r="F681" s="258">
        <f>(F624/F612)*P64</f>
        <v>1003989.1332964022</v>
      </c>
      <c r="G681" s="256">
        <f>(G625/G612)*P91</f>
        <v>0</v>
      </c>
      <c r="H681" s="258">
        <f>(H628/H612)*P60</f>
        <v>462708.98901296017</v>
      </c>
      <c r="I681" s="256">
        <f>(I629/I612)*P92</f>
        <v>861463.92866780306</v>
      </c>
      <c r="J681" s="256">
        <f>(J630/J612)*P93</f>
        <v>653566.76888936153</v>
      </c>
      <c r="K681" s="256">
        <f>(K644/K612)*P89</f>
        <v>58701714.572979294</v>
      </c>
      <c r="L681" s="256">
        <f>(L647/L612)*P94</f>
        <v>2998108.2312313542</v>
      </c>
      <c r="M681" s="231">
        <f t="shared" si="18"/>
        <v>72778508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12226337.030000003</v>
      </c>
      <c r="D682" s="256">
        <f>(D615/D612)*Q90</f>
        <v>224216.10639778641</v>
      </c>
      <c r="E682" s="258">
        <f>(E623/E612)*SUM(C682:D682)</f>
        <v>1073560.2964625272</v>
      </c>
      <c r="F682" s="258">
        <f>(F624/F612)*Q64</f>
        <v>15425.137852099795</v>
      </c>
      <c r="G682" s="256">
        <f>(G625/G612)*Q91</f>
        <v>0</v>
      </c>
      <c r="H682" s="258">
        <f>(H628/H612)*Q60</f>
        <v>156594.09195606667</v>
      </c>
      <c r="I682" s="256">
        <f>(I629/I612)*Q92</f>
        <v>179902.6892867907</v>
      </c>
      <c r="J682" s="256">
        <f>(J630/J612)*Q93</f>
        <v>67862.536333454947</v>
      </c>
      <c r="K682" s="256">
        <f>(K644/K612)*Q89</f>
        <v>1913633.171853513</v>
      </c>
      <c r="L682" s="256">
        <f>(L647/L612)*Q94</f>
        <v>1626585.58515313</v>
      </c>
      <c r="M682" s="231">
        <f t="shared" si="18"/>
        <v>5257780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16239356.12</v>
      </c>
      <c r="D683" s="256">
        <f>(D615/D612)*R90</f>
        <v>168963.34077722009</v>
      </c>
      <c r="E683" s="258">
        <f>(E623/E612)*SUM(C683:D683)</f>
        <v>1414822.3064296993</v>
      </c>
      <c r="F683" s="258">
        <f>(F624/F612)*R64</f>
        <v>51015.365593159884</v>
      </c>
      <c r="G683" s="256">
        <f>(G625/G612)*R91</f>
        <v>0</v>
      </c>
      <c r="H683" s="258">
        <f>(H628/H612)*R60</f>
        <v>136244.44649241137</v>
      </c>
      <c r="I683" s="256">
        <f>(I629/I612)*R92</f>
        <v>135569.91906181123</v>
      </c>
      <c r="J683" s="256">
        <f>(J630/J612)*R93</f>
        <v>15930.188569203772</v>
      </c>
      <c r="K683" s="256">
        <f>(K644/K612)*R89</f>
        <v>8840496.21120892</v>
      </c>
      <c r="L683" s="256">
        <f>(L647/L612)*R94</f>
        <v>0</v>
      </c>
      <c r="M683" s="231">
        <f t="shared" si="18"/>
        <v>10763042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14473156.6</v>
      </c>
      <c r="D684" s="256">
        <f>(D615/D612)*S90</f>
        <v>671908.69367439277</v>
      </c>
      <c r="E684" s="258">
        <f>(E623/E612)*SUM(C684:D684)</f>
        <v>1305897.0640500819</v>
      </c>
      <c r="F684" s="258">
        <f>(F624/F612)*S64</f>
        <v>49227.355822603422</v>
      </c>
      <c r="G684" s="256">
        <f>(G625/G612)*S91</f>
        <v>0</v>
      </c>
      <c r="H684" s="258">
        <f>(H628/H612)*S60</f>
        <v>127743.11434147644</v>
      </c>
      <c r="I684" s="256">
        <f>(I629/I612)*S92</f>
        <v>539114.61977109383</v>
      </c>
      <c r="J684" s="256">
        <f>(J630/J612)*S93</f>
        <v>33293.304132390185</v>
      </c>
      <c r="K684" s="256">
        <f>(K644/K612)*S89</f>
        <v>0</v>
      </c>
      <c r="L684" s="256">
        <f>(L647/L612)*S94</f>
        <v>0</v>
      </c>
      <c r="M684" s="231">
        <f t="shared" si="18"/>
        <v>2727184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34841649.84</v>
      </c>
      <c r="D686" s="256">
        <f>(D615/D612)*U90</f>
        <v>1086509.8873616862</v>
      </c>
      <c r="E686" s="258">
        <f>(E623/E612)*SUM(C686:D686)</f>
        <v>3097938.3313903809</v>
      </c>
      <c r="F686" s="258">
        <f>(F624/F612)*U64</f>
        <v>141459.78605786551</v>
      </c>
      <c r="G686" s="256">
        <f>(G625/G612)*U91</f>
        <v>0</v>
      </c>
      <c r="H686" s="258">
        <f>(H628/H612)*U60</f>
        <v>333158.5048441196</v>
      </c>
      <c r="I686" s="256">
        <f>(I629/I612)*U92</f>
        <v>871775.24314990593</v>
      </c>
      <c r="J686" s="256">
        <f>(J630/J612)*U93</f>
        <v>1762.0522001459103</v>
      </c>
      <c r="K686" s="256">
        <f>(K644/K612)*U89</f>
        <v>18939879.692761324</v>
      </c>
      <c r="L686" s="256">
        <f>(L647/L612)*U94</f>
        <v>0</v>
      </c>
      <c r="M686" s="231">
        <f t="shared" si="18"/>
        <v>24472483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10282554.360000001</v>
      </c>
      <c r="D687" s="256">
        <f>(D615/D612)*V90</f>
        <v>418819.7984991761</v>
      </c>
      <c r="E687" s="258">
        <f>(E623/E612)*SUM(C687:D687)</f>
        <v>922735.744211176</v>
      </c>
      <c r="F687" s="258">
        <f>(F624/F612)*V64</f>
        <v>32553.51510922303</v>
      </c>
      <c r="G687" s="256">
        <f>(G625/G612)*V91</f>
        <v>0</v>
      </c>
      <c r="H687" s="258">
        <f>(H628/H612)*V60</f>
        <v>129572.79737658579</v>
      </c>
      <c r="I687" s="256">
        <f>(I629/I612)*V92</f>
        <v>336045.475443585</v>
      </c>
      <c r="J687" s="256">
        <f>(J630/J612)*V93</f>
        <v>22344.174942008325</v>
      </c>
      <c r="K687" s="256">
        <f>(K644/K612)*V89</f>
        <v>7094102.1707359981</v>
      </c>
      <c r="L687" s="256">
        <f>(L647/L612)*V94</f>
        <v>189619.1586543711</v>
      </c>
      <c r="M687" s="231">
        <f t="shared" si="18"/>
        <v>9145793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2688725.07</v>
      </c>
      <c r="D688" s="256">
        <f>(D615/D612)*W90</f>
        <v>57225.100337810116</v>
      </c>
      <c r="E688" s="258">
        <f>(E623/E612)*SUM(C688:D688)</f>
        <v>236772.05716436863</v>
      </c>
      <c r="F688" s="258">
        <f>(F624/F612)*W64</f>
        <v>3447.12198002792</v>
      </c>
      <c r="G688" s="256">
        <f>(G625/G612)*W91</f>
        <v>0</v>
      </c>
      <c r="H688" s="258">
        <f>(H628/H612)*W60</f>
        <v>24455.275688778722</v>
      </c>
      <c r="I688" s="256">
        <f>(I629/I612)*W92</f>
        <v>45915.298463055078</v>
      </c>
      <c r="J688" s="256">
        <f>(J630/J612)*W93</f>
        <v>43551.928962100144</v>
      </c>
      <c r="K688" s="256">
        <f>(K644/K612)*W89</f>
        <v>3315862.4458435019</v>
      </c>
      <c r="L688" s="256">
        <f>(L647/L612)*W94</f>
        <v>0</v>
      </c>
      <c r="M688" s="231">
        <f t="shared" si="18"/>
        <v>3727229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6100233.63</v>
      </c>
      <c r="D689" s="256">
        <f>(D615/D612)*X90</f>
        <v>62895.56264988608</v>
      </c>
      <c r="E689" s="258">
        <f>(E623/E612)*SUM(C689:D689)</f>
        <v>531421.43410926079</v>
      </c>
      <c r="F689" s="258">
        <f>(F624/F612)*X64</f>
        <v>11818.259363134977</v>
      </c>
      <c r="G689" s="256">
        <f>(G625/G612)*X91</f>
        <v>0</v>
      </c>
      <c r="H689" s="258">
        <f>(H628/H612)*X60</f>
        <v>61495.200545870575</v>
      </c>
      <c r="I689" s="256">
        <f>(I629/I612)*X92</f>
        <v>50465.067147522474</v>
      </c>
      <c r="J689" s="256">
        <f>(J630/J612)*X93</f>
        <v>26719.329262784417</v>
      </c>
      <c r="K689" s="256">
        <f>(K644/K612)*X89</f>
        <v>16357975.993964674</v>
      </c>
      <c r="L689" s="256">
        <f>(L647/L612)*X94</f>
        <v>0</v>
      </c>
      <c r="M689" s="231">
        <f t="shared" si="18"/>
        <v>17102791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30362270.43</v>
      </c>
      <c r="D690" s="256">
        <f>(D615/D612)*Y90</f>
        <v>837119.11978130171</v>
      </c>
      <c r="E690" s="258">
        <f>(E623/E612)*SUM(C690:D690)</f>
        <v>2690195.8111881716</v>
      </c>
      <c r="F690" s="258">
        <f>(F624/F612)*Y64</f>
        <v>138219.92954584092</v>
      </c>
      <c r="G690" s="256">
        <f>(G625/G612)*Y91</f>
        <v>200.65100364941222</v>
      </c>
      <c r="H690" s="258">
        <f>(H628/H612)*Y60</f>
        <v>374281.74671858962</v>
      </c>
      <c r="I690" s="256">
        <f>(I629/I612)*Y92</f>
        <v>671673.339268789</v>
      </c>
      <c r="J690" s="256">
        <f>(J630/J612)*Y93</f>
        <v>33988.75397468327</v>
      </c>
      <c r="K690" s="256">
        <f>(K644/K612)*Y89</f>
        <v>13926653.843888806</v>
      </c>
      <c r="L690" s="256">
        <f>(L647/L612)*Y94</f>
        <v>544805.48828719009</v>
      </c>
      <c r="M690" s="231">
        <f t="shared" si="18"/>
        <v>19217139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1702240.55</v>
      </c>
      <c r="D691" s="256">
        <f>(D615/D612)*Z90</f>
        <v>78427.698548181113</v>
      </c>
      <c r="E691" s="258">
        <f>(E623/E612)*SUM(C691:D691)</f>
        <v>153539.74332467906</v>
      </c>
      <c r="F691" s="258">
        <f>(F624/F612)*Z64</f>
        <v>4868.8957480187346</v>
      </c>
      <c r="G691" s="256">
        <f>(G625/G612)*Z91</f>
        <v>0</v>
      </c>
      <c r="H691" s="258">
        <f>(H628/H612)*Z60</f>
        <v>16623.339770200866</v>
      </c>
      <c r="I691" s="256">
        <f>(I629/I612)*Z92</f>
        <v>62927.477022367966</v>
      </c>
      <c r="J691" s="256">
        <f>(J630/J612)*Z93</f>
        <v>921.36984125797346</v>
      </c>
      <c r="K691" s="256">
        <f>(K644/K612)*Z89</f>
        <v>2219391.3760405635</v>
      </c>
      <c r="L691" s="256">
        <f>(L647/L612)*Z94</f>
        <v>103759.15613683137</v>
      </c>
      <c r="M691" s="231">
        <f t="shared" si="18"/>
        <v>2640459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1016094.95</v>
      </c>
      <c r="D692" s="256">
        <f>(D615/D612)*AA90</f>
        <v>46404.652930708631</v>
      </c>
      <c r="E692" s="258">
        <f>(E623/E612)*SUM(C692:D692)</f>
        <v>91614.99703808545</v>
      </c>
      <c r="F692" s="258">
        <f>(F624/F612)*AA64</f>
        <v>2161.2229729569526</v>
      </c>
      <c r="G692" s="256">
        <f>(G625/G612)*AA91</f>
        <v>0</v>
      </c>
      <c r="H692" s="258">
        <f>(H628/H612)*AA60</f>
        <v>7318.732140437427</v>
      </c>
      <c r="I692" s="256">
        <f>(I629/I612)*AA92</f>
        <v>37233.372712501339</v>
      </c>
      <c r="J692" s="256">
        <f>(J630/J612)*AA93</f>
        <v>0</v>
      </c>
      <c r="K692" s="256">
        <f>(K644/K612)*AA89</f>
        <v>374176.42163579806</v>
      </c>
      <c r="L692" s="256">
        <f>(L647/L612)*AA94</f>
        <v>0</v>
      </c>
      <c r="M692" s="231">
        <f t="shared" si="18"/>
        <v>558909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101439925.95</v>
      </c>
      <c r="D693" s="256">
        <f>(D615/D612)*AB90</f>
        <v>501192.16648184485</v>
      </c>
      <c r="E693" s="258">
        <f>(E623/E612)*SUM(C693:D693)</f>
        <v>8789965.8583775219</v>
      </c>
      <c r="F693" s="258">
        <f>(F624/F612)*AB64</f>
        <v>1828023.9148363518</v>
      </c>
      <c r="G693" s="256">
        <f>(G625/G612)*AB91</f>
        <v>0</v>
      </c>
      <c r="H693" s="258">
        <f>(H628/H612)*AB60</f>
        <v>479845.53256130149</v>
      </c>
      <c r="I693" s="256">
        <f>(I629/I612)*AB92</f>
        <v>397197.08798831463</v>
      </c>
      <c r="J693" s="256">
        <f>(J630/J612)*AB93</f>
        <v>4902.4144608260749</v>
      </c>
      <c r="K693" s="256">
        <f>(K644/K612)*AB89</f>
        <v>33475567.826431375</v>
      </c>
      <c r="L693" s="256">
        <f>(L647/L612)*AB94</f>
        <v>0</v>
      </c>
      <c r="M693" s="231">
        <f t="shared" si="18"/>
        <v>45476695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14560931.81</v>
      </c>
      <c r="D694" s="256">
        <f>(D615/D612)*AC90</f>
        <v>101520.45086257745</v>
      </c>
      <c r="E694" s="258">
        <f>(E623/E612)*SUM(C694:D694)</f>
        <v>1264283.3152546582</v>
      </c>
      <c r="F694" s="258">
        <f>(F624/F612)*AC64</f>
        <v>30963.875837493255</v>
      </c>
      <c r="G694" s="256">
        <f>(G625/G612)*AC91</f>
        <v>0</v>
      </c>
      <c r="H694" s="258">
        <f>(H628/H612)*AC60</f>
        <v>177099.92987393859</v>
      </c>
      <c r="I694" s="256">
        <f>(I629/I612)*AC92</f>
        <v>81456.245143169988</v>
      </c>
      <c r="J694" s="256">
        <f>(J630/J612)*AC93</f>
        <v>0</v>
      </c>
      <c r="K694" s="256">
        <f>(K644/K612)*AC89</f>
        <v>6043340.9360322738</v>
      </c>
      <c r="L694" s="256">
        <f>(L647/L612)*AC94</f>
        <v>286666.13218396809</v>
      </c>
      <c r="M694" s="231">
        <f t="shared" si="18"/>
        <v>7985331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3490837.13</v>
      </c>
      <c r="D695" s="256">
        <f>(D615/D612)*AD90</f>
        <v>43884.447458674869</v>
      </c>
      <c r="E695" s="258">
        <f>(E623/E612)*SUM(C695:D695)</f>
        <v>304784.59093640919</v>
      </c>
      <c r="F695" s="258">
        <f>(F624/F612)*AD64</f>
        <v>31.697781341154116</v>
      </c>
      <c r="G695" s="256">
        <f>(G625/G612)*AD91</f>
        <v>0</v>
      </c>
      <c r="H695" s="258">
        <f>(H628/H612)*AD60</f>
        <v>0</v>
      </c>
      <c r="I695" s="256">
        <f>(I629/I612)*AD92</f>
        <v>35211.2532971825</v>
      </c>
      <c r="J695" s="256">
        <f>(J630/J612)*AD93</f>
        <v>0</v>
      </c>
      <c r="K695" s="256">
        <f>(K644/K612)*AD89</f>
        <v>885021.6591608912</v>
      </c>
      <c r="L695" s="256">
        <f>(L647/L612)*AD94</f>
        <v>0</v>
      </c>
      <c r="M695" s="231">
        <f t="shared" si="18"/>
        <v>1268934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11369387.54</v>
      </c>
      <c r="D696" s="256">
        <f>(D615/D612)*AE90</f>
        <v>217723.83795352551</v>
      </c>
      <c r="E696" s="258">
        <f>(E623/E612)*SUM(C696:D696)</f>
        <v>999109.243564026</v>
      </c>
      <c r="F696" s="258">
        <f>(F624/F612)*AE64</f>
        <v>2678.9568577020195</v>
      </c>
      <c r="G696" s="256">
        <f>(G625/G612)*AE91</f>
        <v>0</v>
      </c>
      <c r="H696" s="258">
        <f>(H628/H612)*AE60</f>
        <v>181004.74122935493</v>
      </c>
      <c r="I696" s="256">
        <f>(I629/I612)*AE92</f>
        <v>168393.51675850622</v>
      </c>
      <c r="J696" s="256">
        <f>(J630/J612)*AE93</f>
        <v>13439.566035957627</v>
      </c>
      <c r="K696" s="256">
        <f>(K644/K612)*AE89</f>
        <v>2940542.1861754041</v>
      </c>
      <c r="L696" s="256">
        <f>(L647/L612)*AE94</f>
        <v>0</v>
      </c>
      <c r="M696" s="231">
        <f t="shared" si="18"/>
        <v>4522892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3764091.7600000007</v>
      </c>
      <c r="D697" s="256">
        <f>(D615/D612)*AF90</f>
        <v>280783.76182984858</v>
      </c>
      <c r="E697" s="258">
        <f>(E623/E612)*SUM(C697:D697)</f>
        <v>348773.07994253712</v>
      </c>
      <c r="F697" s="258">
        <f>(F624/F612)*AF64</f>
        <v>1175.9766483340188</v>
      </c>
      <c r="G697" s="256">
        <f>(G625/G612)*AF91</f>
        <v>0</v>
      </c>
      <c r="H697" s="258">
        <f>(H628/H612)*AF60</f>
        <v>179197.37140199079</v>
      </c>
      <c r="I697" s="256">
        <f>(I629/I612)*AF92</f>
        <v>224839.73119146933</v>
      </c>
      <c r="J697" s="256">
        <f>(J630/J612)*AF93</f>
        <v>0</v>
      </c>
      <c r="K697" s="256">
        <f>(K644/K612)*AF89</f>
        <v>839030.230461136</v>
      </c>
      <c r="L697" s="256">
        <f>(L647/L612)*AF94</f>
        <v>116344.49852539583</v>
      </c>
      <c r="M697" s="231">
        <f t="shared" si="18"/>
        <v>1990145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42694085.6</v>
      </c>
      <c r="D698" s="256">
        <f>(D615/D612)*AG90</f>
        <v>721326.63575644616</v>
      </c>
      <c r="E698" s="258">
        <f>(E623/E612)*SUM(C698:D698)</f>
        <v>3743533.5057207365</v>
      </c>
      <c r="F698" s="258">
        <f>(F624/F612)*AG64</f>
        <v>75913.268692237485</v>
      </c>
      <c r="G698" s="256">
        <f>(G625/G612)*AG91</f>
        <v>0</v>
      </c>
      <c r="H698" s="258">
        <f>(H628/H612)*AG60</f>
        <v>423259.2377193828</v>
      </c>
      <c r="I698" s="256">
        <f>(I629/I612)*AG92</f>
        <v>578699.65721277008</v>
      </c>
      <c r="J698" s="256">
        <f>(J630/J612)*AG93</f>
        <v>232820.94506368556</v>
      </c>
      <c r="K698" s="256">
        <f>(K644/K612)*AG89</f>
        <v>20747296.838989615</v>
      </c>
      <c r="L698" s="256">
        <f>(L647/L612)*AG94</f>
        <v>3016566.7334012487</v>
      </c>
      <c r="M698" s="231">
        <f t="shared" si="18"/>
        <v>29539417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61383.51</v>
      </c>
      <c r="D699" s="256">
        <f>(D615/D612)*AH90</f>
        <v>0</v>
      </c>
      <c r="E699" s="258">
        <f>(E623/E612)*SUM(C699:D699)</f>
        <v>5292.849118555424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5293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80457336.92</v>
      </c>
      <c r="D701" s="256">
        <f>(D615/D612)*AJ90</f>
        <v>5360230.4971761582</v>
      </c>
      <c r="E701" s="258">
        <f>(E623/E612)*SUM(C701:D701)</f>
        <v>7399697.998054713</v>
      </c>
      <c r="F701" s="258">
        <f>(F624/F612)*AJ64</f>
        <v>182947.48733413886</v>
      </c>
      <c r="G701" s="256">
        <f>(G625/G612)*AJ91</f>
        <v>0</v>
      </c>
      <c r="H701" s="258">
        <f>(H628/H612)*AJ60</f>
        <v>1487242.2358432191</v>
      </c>
      <c r="I701" s="256">
        <f>(I629/I612)*AJ92</f>
        <v>4296085.547613116</v>
      </c>
      <c r="J701" s="256">
        <f>(J630/J612)*AJ93</f>
        <v>109786.91286465597</v>
      </c>
      <c r="K701" s="256">
        <f>(K644/K612)*AJ89</f>
        <v>15306038.138870254</v>
      </c>
      <c r="L701" s="256">
        <f>(L647/L612)*AJ94</f>
        <v>4387809.7052041711</v>
      </c>
      <c r="M701" s="231">
        <f t="shared" si="18"/>
        <v>38529839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3908554.3899999997</v>
      </c>
      <c r="D702" s="256">
        <f>(D615/D612)*AK90</f>
        <v>181016.49738259896</v>
      </c>
      <c r="E702" s="258">
        <f>(E623/E612)*SUM(C702:D702)</f>
        <v>352626.97859006282</v>
      </c>
      <c r="F702" s="258">
        <f>(F624/F612)*AK64</f>
        <v>543.50798906803061</v>
      </c>
      <c r="G702" s="256">
        <f>(G625/G612)*AK91</f>
        <v>0</v>
      </c>
      <c r="H702" s="258">
        <f>(H628/H612)*AK60</f>
        <v>70889.061006614953</v>
      </c>
      <c r="I702" s="256">
        <f>(I629/I612)*AK92</f>
        <v>137088.03351403415</v>
      </c>
      <c r="J702" s="256">
        <f>(J630/J612)*AK93</f>
        <v>0</v>
      </c>
      <c r="K702" s="256">
        <f>(K644/K612)*AK89</f>
        <v>1346930.1555583957</v>
      </c>
      <c r="L702" s="256">
        <f>(L647/L612)*AK94</f>
        <v>0</v>
      </c>
      <c r="M702" s="231">
        <f t="shared" si="18"/>
        <v>2089094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233003.06000000029</v>
      </c>
      <c r="D712" s="256">
        <f>(D615/D612)*AU90</f>
        <v>0</v>
      </c>
      <c r="E712" s="258">
        <f>(E623/E612)*SUM(C712:D712)</f>
        <v>20090.901298112767</v>
      </c>
      <c r="F712" s="258">
        <f>(F624/F612)*AU64</f>
        <v>98.18783858000161</v>
      </c>
      <c r="G712" s="256">
        <f>(G625/G612)*AU91</f>
        <v>0</v>
      </c>
      <c r="H712" s="258">
        <f>(H628/H612)*AU60</f>
        <v>18743.094505998291</v>
      </c>
      <c r="I712" s="256">
        <f>(I629/I612)*AU92</f>
        <v>0</v>
      </c>
      <c r="J712" s="256">
        <f>(J630/J612)*AU93</f>
        <v>0</v>
      </c>
      <c r="K712" s="256">
        <f>(K644/K612)*AU89</f>
        <v>41102.561371589036</v>
      </c>
      <c r="L712" s="256">
        <f>(L647/L612)*AU94</f>
        <v>112149.38439587434</v>
      </c>
      <c r="M712" s="231">
        <f t="shared" si="18"/>
        <v>192184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7952653.3000000017</v>
      </c>
      <c r="D713" s="256">
        <f>(D615/D612)*AV90</f>
        <v>44377.531137985825</v>
      </c>
      <c r="E713" s="258">
        <f>(E623/E612)*SUM(C713:D713)</f>
        <v>689551.27501912555</v>
      </c>
      <c r="F713" s="258">
        <f>(F624/F612)*AV64</f>
        <v>4200.7847976299763</v>
      </c>
      <c r="G713" s="256">
        <f>(G625/G612)*AV91</f>
        <v>0</v>
      </c>
      <c r="H713" s="258">
        <f>(H628/H612)*AV60</f>
        <v>129639.73699982149</v>
      </c>
      <c r="I713" s="256">
        <f>(I629/I612)*AV92</f>
        <v>35606.885356701394</v>
      </c>
      <c r="J713" s="256">
        <f>(J630/J612)*AV93</f>
        <v>27.073262341710731</v>
      </c>
      <c r="K713" s="256">
        <f>(K644/K612)*AV89</f>
        <v>470554.45590771217</v>
      </c>
      <c r="L713" s="256">
        <f>(L647/L612)*AV94</f>
        <v>347355.44992437889</v>
      </c>
      <c r="M713" s="231">
        <f t="shared" si="18"/>
        <v>1721313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1103749380.6899998</v>
      </c>
      <c r="D715" s="231">
        <f>SUM(D616:D647)+SUM(D668:D713)</f>
        <v>27891024.93</v>
      </c>
      <c r="E715" s="231">
        <f>SUM(E624:E647)+SUM(E668:E713)</f>
        <v>87616945.704904154</v>
      </c>
      <c r="F715" s="231">
        <f>SUM(F625:F648)+SUM(F668:F713)</f>
        <v>4040868.369947318</v>
      </c>
      <c r="G715" s="231">
        <f>SUM(G626:G647)+SUM(G668:G713)</f>
        <v>14184253.540814541</v>
      </c>
      <c r="H715" s="231">
        <f>SUM(H629:H647)+SUM(H668:H713)</f>
        <v>9288229.7352784332</v>
      </c>
      <c r="I715" s="231">
        <f>SUM(I630:I647)+SUM(I668:I713)</f>
        <v>19062587.935357645</v>
      </c>
      <c r="J715" s="231">
        <f>SUM(J631:J647)+SUM(J668:J713)</f>
        <v>2253195.7045520563</v>
      </c>
      <c r="K715" s="231">
        <f>SUM(K668:K713)</f>
        <v>270274196.80772704</v>
      </c>
      <c r="L715" s="231">
        <f>SUM(L668:L713)</f>
        <v>37817275.831984378</v>
      </c>
      <c r="M715" s="231">
        <f>SUM(M668:M713)</f>
        <v>425753236</v>
      </c>
      <c r="N715" s="250" t="s">
        <v>696</v>
      </c>
    </row>
    <row r="716" ht="12.6" customHeight="1" s="231" customFormat="1">
      <c r="C716" s="253">
        <f>CE85</f>
        <v>1103749380.6899998</v>
      </c>
      <c r="D716" s="231">
        <f>D615</f>
        <v>27891024.93</v>
      </c>
      <c r="E716" s="231">
        <f>E623</f>
        <v>87616945.704904139</v>
      </c>
      <c r="F716" s="231">
        <f>F624</f>
        <v>4040868.3699473185</v>
      </c>
      <c r="G716" s="231">
        <f>G625</f>
        <v>14184253.540814541</v>
      </c>
      <c r="H716" s="231">
        <f>H628</f>
        <v>9288229.7352784351</v>
      </c>
      <c r="I716" s="231">
        <f>I629</f>
        <v>19062587.935357645</v>
      </c>
      <c r="J716" s="231">
        <f>J630</f>
        <v>2253195.7045520558</v>
      </c>
      <c r="K716" s="231">
        <f>K644</f>
        <v>270274196.80772716</v>
      </c>
      <c r="L716" s="231">
        <f>L647</f>
        <v>37817275.831984378</v>
      </c>
      <c r="M716" s="231">
        <f>C648</f>
        <v>425753234.79999995</v>
      </c>
      <c r="N716" s="250" t="s">
        <v>697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Harborview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250093646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193384564</v>
      </c>
    </row>
    <row r="9" ht="20.1" customHeight="1">
      <c r="A9" s="188">
        <v>5</v>
      </c>
      <c r="B9" s="190" t="s">
        <v>907</v>
      </c>
      <c r="C9" s="190">
        <f>data!C269</f>
        <v>0</v>
      </c>
    </row>
    <row r="10" ht="20.1" customHeight="1">
      <c r="A10" s="188">
        <v>6</v>
      </c>
      <c r="B10" s="190" t="s">
        <v>908</v>
      </c>
      <c r="C10" s="190">
        <f>data!C270</f>
        <v>34256697</v>
      </c>
    </row>
    <row r="11" ht="20.1" customHeight="1">
      <c r="A11" s="188">
        <v>7</v>
      </c>
      <c r="B11" s="190" t="s">
        <v>909</v>
      </c>
      <c r="C11" s="190">
        <f>data!C271</f>
        <v>29639042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10714527</v>
      </c>
    </row>
    <row r="14" ht="20.1" customHeight="1">
      <c r="A14" s="188">
        <v>10</v>
      </c>
      <c r="B14" s="190" t="s">
        <v>432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518088476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268044700</v>
      </c>
    </row>
    <row r="22" ht="20.1" customHeight="1">
      <c r="A22" s="188">
        <v>18</v>
      </c>
      <c r="B22" s="190" t="s">
        <v>913</v>
      </c>
      <c r="C22" s="190">
        <f>data!D281</f>
        <v>268044700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2432000</v>
      </c>
    </row>
    <row r="26" ht="20.1" customHeight="1">
      <c r="A26" s="188">
        <v>22</v>
      </c>
      <c r="B26" s="190" t="s">
        <v>394</v>
      </c>
      <c r="C26" s="190">
        <f>data!C284</f>
        <v>7378000</v>
      </c>
    </row>
    <row r="27" ht="20.1" customHeight="1">
      <c r="A27" s="188">
        <v>23</v>
      </c>
      <c r="B27" s="190" t="s">
        <v>395</v>
      </c>
      <c r="C27" s="190">
        <f>data!C285</f>
        <v>459243110.26</v>
      </c>
    </row>
    <row r="28" ht="20.1" customHeight="1">
      <c r="A28" s="188">
        <v>24</v>
      </c>
      <c r="B28" s="190" t="s">
        <v>915</v>
      </c>
      <c r="C28" s="190">
        <f>data!C286</f>
        <v>124164791.79</v>
      </c>
    </row>
    <row r="29" ht="20.1" customHeight="1">
      <c r="A29" s="188">
        <v>25</v>
      </c>
      <c r="B29" s="190" t="s">
        <v>397</v>
      </c>
      <c r="C29" s="190">
        <f>data!C287</f>
        <v>0</v>
      </c>
    </row>
    <row r="30" ht="20.1" customHeight="1">
      <c r="A30" s="188">
        <v>26</v>
      </c>
      <c r="B30" s="190" t="s">
        <v>441</v>
      </c>
      <c r="C30" s="190">
        <f>data!C288</f>
        <v>198937000</v>
      </c>
    </row>
    <row r="31" ht="20.1" customHeight="1">
      <c r="A31" s="188">
        <v>27</v>
      </c>
      <c r="B31" s="190" t="s">
        <v>400</v>
      </c>
      <c r="C31" s="190">
        <f>data!C289</f>
        <v>14158000</v>
      </c>
    </row>
    <row r="32" ht="20.1" customHeight="1">
      <c r="A32" s="188">
        <v>28</v>
      </c>
      <c r="B32" s="190" t="s">
        <v>401</v>
      </c>
      <c r="C32" s="190">
        <f>data!C290</f>
        <v>12521412.519999998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552094509</v>
      </c>
    </row>
    <row r="35" ht="20.1" customHeight="1">
      <c r="A35" s="188">
        <v>31</v>
      </c>
      <c r="B35" s="190" t="s">
        <v>917</v>
      </c>
      <c r="C35" s="190">
        <f>data!D293</f>
        <v>266739805.56999993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0</v>
      </c>
    </row>
    <row r="41" ht="20.1" customHeight="1">
      <c r="A41" s="188">
        <v>37</v>
      </c>
      <c r="B41" s="190" t="s">
        <v>436</v>
      </c>
      <c r="C41" s="190">
        <f>data!C298</f>
        <v>62708148</v>
      </c>
    </row>
    <row r="42" ht="20.1" customHeight="1">
      <c r="A42" s="188">
        <v>38</v>
      </c>
      <c r="B42" s="190" t="s">
        <v>921</v>
      </c>
      <c r="C42" s="190">
        <f>data!D299</f>
        <v>62708148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0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1115581129.57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Harborview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44308321</v>
      </c>
    </row>
    <row r="60" ht="20.1" customHeight="1">
      <c r="A60" s="188">
        <v>4</v>
      </c>
      <c r="B60" s="190" t="s">
        <v>930</v>
      </c>
      <c r="C60" s="190">
        <f>data!C316</f>
        <v>61456197</v>
      </c>
    </row>
    <row r="61" ht="20.1" customHeight="1">
      <c r="A61" s="188">
        <v>5</v>
      </c>
      <c r="B61" s="190" t="s">
        <v>462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16031613</v>
      </c>
    </row>
    <row r="63" ht="20.1" customHeight="1">
      <c r="A63" s="188">
        <v>7</v>
      </c>
      <c r="B63" s="190" t="s">
        <v>932</v>
      </c>
      <c r="C63" s="190">
        <f>data!C319</f>
        <v>34017074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15427354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171240559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36914731</v>
      </c>
    </row>
    <row r="74" ht="20.1" customHeight="1">
      <c r="A74" s="188">
        <v>18</v>
      </c>
      <c r="B74" s="190" t="s">
        <v>937</v>
      </c>
      <c r="C74" s="190">
        <f>data!D329</f>
        <v>36914731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19151614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156440207</v>
      </c>
    </row>
    <row r="85" ht="20.1" customHeight="1">
      <c r="A85" s="188">
        <v>29</v>
      </c>
      <c r="B85" s="190" t="s">
        <v>614</v>
      </c>
      <c r="C85" s="190">
        <f>data!D339</f>
        <v>175591821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175591821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731834019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731834019</v>
      </c>
    </row>
    <row r="103" ht="20.1" customHeight="1">
      <c r="A103" s="188">
        <v>47</v>
      </c>
      <c r="B103" s="190" t="s">
        <v>950</v>
      </c>
      <c r="C103" s="190">
        <f>data!D352</f>
        <v>1115581129.57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Harborview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2001889295</v>
      </c>
    </row>
    <row r="112" ht="20.1" customHeight="1">
      <c r="A112" s="188">
        <v>3</v>
      </c>
      <c r="B112" s="190" t="s">
        <v>497</v>
      </c>
      <c r="C112" s="190">
        <f>data!C359</f>
        <v>1087820019</v>
      </c>
    </row>
    <row r="113" ht="20.1" customHeight="1">
      <c r="A113" s="188">
        <v>4</v>
      </c>
      <c r="B113" s="190" t="s">
        <v>954</v>
      </c>
      <c r="C113" s="190">
        <f>data!D360</f>
        <v>3089709314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46108339.939880587</v>
      </c>
    </row>
    <row r="117" ht="20.1" customHeight="1">
      <c r="A117" s="188">
        <v>8</v>
      </c>
      <c r="B117" s="190" t="s">
        <v>500</v>
      </c>
      <c r="C117" s="203">
        <f>data!C363</f>
        <v>1832077603.443862</v>
      </c>
    </row>
    <row r="118" ht="20.1" customHeight="1">
      <c r="A118" s="188">
        <v>9</v>
      </c>
      <c r="B118" s="190" t="s">
        <v>957</v>
      </c>
      <c r="C118" s="203">
        <f>data!C364</f>
        <v>126780262.61625755</v>
      </c>
    </row>
    <row r="119" ht="20.1" customHeight="1">
      <c r="A119" s="188">
        <v>10</v>
      </c>
      <c r="B119" s="190" t="s">
        <v>958</v>
      </c>
      <c r="C119" s="203">
        <f>data!C365</f>
        <v>0</v>
      </c>
    </row>
    <row r="120" ht="20.1" customHeight="1">
      <c r="A120" s="188">
        <v>11</v>
      </c>
      <c r="B120" s="190" t="s">
        <v>902</v>
      </c>
      <c r="C120" s="203">
        <f>data!D366</f>
        <v>2004966206</v>
      </c>
    </row>
    <row r="121" ht="20.1" customHeight="1">
      <c r="A121" s="188">
        <v>12</v>
      </c>
      <c r="B121" s="190" t="s">
        <v>959</v>
      </c>
      <c r="C121" s="203">
        <f>data!D367</f>
        <v>1084743108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87821123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87821123</v>
      </c>
    </row>
    <row r="138" ht="20.1" customHeight="1">
      <c r="A138" s="188">
        <v>18</v>
      </c>
      <c r="B138" s="190" t="s">
        <v>972</v>
      </c>
      <c r="C138" s="203">
        <f>data!D384</f>
        <v>1172564231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505259121</v>
      </c>
    </row>
    <row r="142" ht="20.1" customHeight="1">
      <c r="A142" s="188">
        <v>22</v>
      </c>
      <c r="B142" s="190" t="s">
        <v>11</v>
      </c>
      <c r="C142" s="203">
        <f>data!C390</f>
        <v>137010148</v>
      </c>
    </row>
    <row r="143" ht="20.1" customHeight="1">
      <c r="A143" s="188">
        <v>23</v>
      </c>
      <c r="B143" s="190" t="s">
        <v>264</v>
      </c>
      <c r="C143" s="203">
        <f>data!C391</f>
        <v>40681390</v>
      </c>
    </row>
    <row r="144" ht="20.1" customHeight="1">
      <c r="A144" s="188">
        <v>24</v>
      </c>
      <c r="B144" s="190" t="s">
        <v>265</v>
      </c>
      <c r="C144" s="203">
        <f>data!C392</f>
        <v>198833579</v>
      </c>
    </row>
    <row r="145" ht="20.1" customHeight="1">
      <c r="A145" s="188">
        <v>25</v>
      </c>
      <c r="B145" s="190" t="s">
        <v>974</v>
      </c>
      <c r="C145" s="203">
        <f>data!C393</f>
        <v>11059387</v>
      </c>
    </row>
    <row r="146" ht="20.1" customHeight="1">
      <c r="A146" s="188">
        <v>26</v>
      </c>
      <c r="B146" s="190" t="s">
        <v>975</v>
      </c>
      <c r="C146" s="203">
        <f>data!C394</f>
        <v>245312114</v>
      </c>
    </row>
    <row r="147" ht="20.1" customHeight="1">
      <c r="A147" s="188">
        <v>27</v>
      </c>
      <c r="B147" s="190" t="s">
        <v>16</v>
      </c>
      <c r="C147" s="203">
        <f>data!C395</f>
        <v>38719892</v>
      </c>
    </row>
    <row r="148" ht="20.1" customHeight="1">
      <c r="A148" s="188">
        <v>28</v>
      </c>
      <c r="B148" s="190" t="s">
        <v>976</v>
      </c>
      <c r="C148" s="203">
        <f>data!C396</f>
        <v>4035933</v>
      </c>
    </row>
    <row r="149" ht="20.1" customHeight="1">
      <c r="A149" s="188">
        <v>29</v>
      </c>
      <c r="B149" s="190" t="s">
        <v>527</v>
      </c>
      <c r="C149" s="203">
        <f>data!C397</f>
        <v>7584013</v>
      </c>
    </row>
    <row r="150" ht="20.1" customHeight="1">
      <c r="A150" s="188">
        <v>30</v>
      </c>
      <c r="B150" s="190" t="s">
        <v>977</v>
      </c>
      <c r="C150" s="203">
        <f>data!C398</f>
        <v>1764055</v>
      </c>
    </row>
    <row r="151" ht="20.1" customHeight="1">
      <c r="A151" s="188">
        <v>31</v>
      </c>
      <c r="B151" s="190" t="s">
        <v>529</v>
      </c>
      <c r="C151" s="203">
        <f>data!C399</f>
        <v>0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1310951</v>
      </c>
    </row>
    <row r="167" ht="20.1" customHeight="1">
      <c r="A167" s="188">
        <v>34</v>
      </c>
      <c r="B167" s="190" t="s">
        <v>994</v>
      </c>
      <c r="C167" s="203">
        <f>data!D416</f>
        <v>1191570583</v>
      </c>
    </row>
    <row r="168" ht="20.1" customHeight="1">
      <c r="A168" s="188">
        <v>35</v>
      </c>
      <c r="B168" s="190" t="s">
        <v>995</v>
      </c>
      <c r="C168" s="203">
        <f>data!D417</f>
        <v>-19006352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15125581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-3880771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-3880771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Harborview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29553</v>
      </c>
      <c r="D9" s="287">
        <f>data!D59</f>
        <v>102307</v>
      </c>
      <c r="E9" s="287">
        <f>data!E59</f>
        <v>2008</v>
      </c>
      <c r="F9" s="287">
        <f>data!F59</f>
        <v>0</v>
      </c>
      <c r="G9" s="287">
        <f>data!G59</f>
        <v>10575</v>
      </c>
      <c r="H9" s="287">
        <f>data!H59</f>
        <v>23130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334.25</v>
      </c>
      <c r="D10" s="294">
        <f>data!D60</f>
        <v>673.6</v>
      </c>
      <c r="E10" s="294">
        <f>data!E60</f>
        <v>2.28</v>
      </c>
      <c r="F10" s="294">
        <f>data!F60</f>
        <v>0</v>
      </c>
      <c r="G10" s="294">
        <f>data!G60</f>
        <v>60.43</v>
      </c>
      <c r="H10" s="294">
        <f>data!H60</f>
        <v>129.24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50337311.95</v>
      </c>
      <c r="D11" s="287">
        <f>data!D61</f>
        <v>79621797.81</v>
      </c>
      <c r="E11" s="287">
        <f>data!E61</f>
        <v>254508.75</v>
      </c>
      <c r="F11" s="287">
        <f>data!F61</f>
        <v>0</v>
      </c>
      <c r="G11" s="287">
        <f>data!G61</f>
        <v>7859095.32</v>
      </c>
      <c r="H11" s="287">
        <f>data!H61</f>
        <v>12376657.19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9803110</v>
      </c>
      <c r="D12" s="287">
        <f>data!D62</f>
        <v>16673067</v>
      </c>
      <c r="E12" s="287">
        <f>data!E62</f>
        <v>62587</v>
      </c>
      <c r="F12" s="287">
        <f>data!F62</f>
        <v>0</v>
      </c>
      <c r="G12" s="287">
        <f>data!G62</f>
        <v>1799542</v>
      </c>
      <c r="H12" s="287">
        <f>data!H62</f>
        <v>3619955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665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6023257.4</v>
      </c>
      <c r="D14" s="287">
        <f>data!D64</f>
        <v>5770567.03</v>
      </c>
      <c r="E14" s="287">
        <f>data!E64</f>
        <v>19252.3</v>
      </c>
      <c r="F14" s="287">
        <f>data!F64</f>
        <v>0</v>
      </c>
      <c r="G14" s="287">
        <f>data!G64</f>
        <v>447073.37</v>
      </c>
      <c r="H14" s="287">
        <f>data!H64</f>
        <v>248520.45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572.52</v>
      </c>
      <c r="D15" s="287">
        <f>data!D65</f>
        <v>41.04</v>
      </c>
      <c r="E15" s="287">
        <f>data!E65</f>
        <v>0</v>
      </c>
      <c r="F15" s="287">
        <f>data!F65</f>
        <v>0</v>
      </c>
      <c r="G15" s="287">
        <f>data!G65</f>
        <v>34.42</v>
      </c>
      <c r="H15" s="287">
        <f>data!H65</f>
        <v>41.04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602744.96</v>
      </c>
      <c r="D16" s="287">
        <f>data!D66</f>
        <v>735431.71</v>
      </c>
      <c r="E16" s="287">
        <f>data!E66</f>
        <v>0</v>
      </c>
      <c r="F16" s="287">
        <f>data!F66</f>
        <v>0</v>
      </c>
      <c r="G16" s="287">
        <f>data!G66</f>
        <v>90213.09</v>
      </c>
      <c r="H16" s="287">
        <f>data!H66</f>
        <v>121282.06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454267</v>
      </c>
      <c r="D17" s="287">
        <f>data!D67</f>
        <v>276725</v>
      </c>
      <c r="E17" s="287">
        <f>data!E67</f>
        <v>0</v>
      </c>
      <c r="F17" s="287">
        <f>data!F67</f>
        <v>0</v>
      </c>
      <c r="G17" s="287">
        <f>data!G67</f>
        <v>26737</v>
      </c>
      <c r="H17" s="287">
        <f>data!H67</f>
        <v>63726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1565.14</v>
      </c>
      <c r="D18" s="287">
        <f>data!D68</f>
        <v>144.76</v>
      </c>
      <c r="E18" s="287">
        <f>data!E68</f>
        <v>0</v>
      </c>
      <c r="F18" s="287">
        <f>data!F68</f>
        <v>0</v>
      </c>
      <c r="G18" s="287">
        <f>data!G68</f>
        <v>81.14</v>
      </c>
      <c r="H18" s="287">
        <f>data!H68</f>
        <v>167.87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61601</v>
      </c>
      <c r="D19" s="287">
        <f>data!D69</f>
        <v>254262.76</v>
      </c>
      <c r="E19" s="287">
        <f>data!E69</f>
        <v>5655.84</v>
      </c>
      <c r="F19" s="287">
        <f>data!F69</f>
        <v>0</v>
      </c>
      <c r="G19" s="287">
        <f>data!G69</f>
        <v>19850.51</v>
      </c>
      <c r="H19" s="287">
        <f>data!H69</f>
        <v>111934.43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-3736.21</v>
      </c>
      <c r="D20" s="287">
        <f>-data!D84</f>
        <v>-4584.42</v>
      </c>
      <c r="E20" s="287">
        <f>-data!E84</f>
        <v>0</v>
      </c>
      <c r="F20" s="287">
        <f>-data!F84</f>
        <v>0</v>
      </c>
      <c r="G20" s="287">
        <f>-data!G84</f>
        <v>-14434.25</v>
      </c>
      <c r="H20" s="287">
        <f>-data!H84</f>
        <v>-4294.86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67280693.76000002</v>
      </c>
      <c r="D21" s="287">
        <f>data!D85</f>
        <v>103328117.69000001</v>
      </c>
      <c r="E21" s="287">
        <f>data!E85</f>
        <v>342003.89</v>
      </c>
      <c r="F21" s="287">
        <f>data!F85</f>
        <v>0</v>
      </c>
      <c r="G21" s="287">
        <f>data!G85</f>
        <v>10228192.6</v>
      </c>
      <c r="H21" s="287">
        <f>data!H85</f>
        <v>16537989.179999998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38393420</v>
      </c>
      <c r="D23" s="295">
        <f>+data!M669</f>
        <v>64741320</v>
      </c>
      <c r="E23" s="295">
        <f>+data!M670</f>
        <v>819551</v>
      </c>
      <c r="F23" s="295">
        <f>+data!M671</f>
        <v>0</v>
      </c>
      <c r="G23" s="295">
        <f>+data!M672</f>
        <v>6909814</v>
      </c>
      <c r="H23" s="295">
        <f>+data!M673</f>
        <v>13171970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206209642.55</v>
      </c>
      <c r="D24" s="287">
        <f>data!D87</f>
        <v>309885321.77</v>
      </c>
      <c r="E24" s="287">
        <f>data!E87</f>
        <v>5899931.79</v>
      </c>
      <c r="F24" s="287">
        <f>data!F87</f>
        <v>0</v>
      </c>
      <c r="G24" s="287">
        <f>data!G87</f>
        <v>35359417.27</v>
      </c>
      <c r="H24" s="287">
        <f>data!H87</f>
        <v>69092008.25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1522313.05</v>
      </c>
      <c r="D25" s="287">
        <f>data!D88</f>
        <v>16720352.7</v>
      </c>
      <c r="E25" s="287">
        <f>data!E88</f>
        <v>746482.69</v>
      </c>
      <c r="F25" s="287">
        <f>data!F88</f>
        <v>0</v>
      </c>
      <c r="G25" s="287">
        <f>data!G88</f>
        <v>74895.24</v>
      </c>
      <c r="H25" s="287">
        <f>data!H88</f>
        <v>323790.38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207731955.60000002</v>
      </c>
      <c r="D26" s="287">
        <f>data!D89</f>
        <v>326605674.46999997</v>
      </c>
      <c r="E26" s="287">
        <f>data!E89</f>
        <v>6646414.48</v>
      </c>
      <c r="F26" s="287">
        <f>data!F89</f>
        <v>0</v>
      </c>
      <c r="G26" s="287">
        <f>data!G89</f>
        <v>35434312.510000005</v>
      </c>
      <c r="H26" s="287">
        <f>data!H89</f>
        <v>69415798.63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44523</v>
      </c>
      <c r="D28" s="287">
        <f>data!D90</f>
        <v>82549</v>
      </c>
      <c r="E28" s="287">
        <f>data!E90</f>
        <v>0</v>
      </c>
      <c r="F28" s="287">
        <f>data!F90</f>
        <v>0</v>
      </c>
      <c r="G28" s="287">
        <f>data!G90</f>
        <v>12696</v>
      </c>
      <c r="H28" s="287">
        <f>data!H90</f>
        <v>22122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158897</v>
      </c>
      <c r="D29" s="287">
        <f>data!D91</f>
        <v>493140</v>
      </c>
      <c r="E29" s="287">
        <f>data!E91</f>
        <v>9676</v>
      </c>
      <c r="F29" s="287">
        <f>data!F91</f>
        <v>0</v>
      </c>
      <c r="G29" s="287">
        <f>data!G91</f>
        <v>55070</v>
      </c>
      <c r="H29" s="287">
        <f>data!H91</f>
        <v>131499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15326.664330234089</v>
      </c>
      <c r="D30" s="287">
        <f>data!D92</f>
        <v>28176.559270638652</v>
      </c>
      <c r="E30" s="287">
        <f>data!E92</f>
        <v>0</v>
      </c>
      <c r="F30" s="287">
        <f>data!F92</f>
        <v>0</v>
      </c>
      <c r="G30" s="287">
        <f>data!G92</f>
        <v>4309.2786838844486</v>
      </c>
      <c r="H30" s="287">
        <f>data!H92</f>
        <v>7505.0510723853386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599981.69</v>
      </c>
      <c r="D31" s="287">
        <f>data!D93</f>
        <v>731273.34</v>
      </c>
      <c r="E31" s="287">
        <f>data!E93</f>
        <v>0</v>
      </c>
      <c r="F31" s="287">
        <f>data!F93</f>
        <v>0</v>
      </c>
      <c r="G31" s="287">
        <f>data!G93</f>
        <v>85003.3</v>
      </c>
      <c r="H31" s="287">
        <f>data!H93</f>
        <v>119059.83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294.03</v>
      </c>
      <c r="D32" s="294">
        <f>data!D94</f>
        <v>453.83000000000004</v>
      </c>
      <c r="E32" s="294">
        <f>data!E94</f>
        <v>1.48</v>
      </c>
      <c r="F32" s="294">
        <f>data!F94</f>
        <v>0</v>
      </c>
      <c r="G32" s="294">
        <f>data!G94</f>
        <v>41.43</v>
      </c>
      <c r="H32" s="294">
        <f>data!H94</f>
        <v>70.5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Harborview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3057453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0.01</v>
      </c>
      <c r="H42" s="294">
        <f>data!O60</f>
        <v>0</v>
      </c>
      <c r="I42" s="294">
        <f>data!P60</f>
        <v>207.37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452.8</v>
      </c>
      <c r="H43" s="287">
        <f>data!O61</f>
        <v>0</v>
      </c>
      <c r="I43" s="287">
        <f>data!P61</f>
        <v>21131868.56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162</v>
      </c>
      <c r="H44" s="287">
        <f>data!O62</f>
        <v>0</v>
      </c>
      <c r="I44" s="287">
        <f>data!P62</f>
        <v>5733392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42049.37</v>
      </c>
      <c r="H46" s="287">
        <f>data!O64</f>
        <v>0</v>
      </c>
      <c r="I46" s="287">
        <f>data!P64</f>
        <v>49383569.17</v>
      </c>
    </row>
    <row r="47" ht="20.1" customHeight="1">
      <c r="A47" s="279">
        <v>10</v>
      </c>
      <c r="B47" s="287" t="s">
        <v>524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525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1340049.22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2739600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30428.7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22025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-9257.6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42664.170000000006</v>
      </c>
      <c r="H53" s="287">
        <f>data!O85</f>
        <v>0</v>
      </c>
      <c r="I53" s="287">
        <f>data!P85</f>
        <v>80371675.050000012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4707</v>
      </c>
      <c r="H55" s="295">
        <f>+data!M680</f>
        <v>0</v>
      </c>
      <c r="I55" s="295">
        <f>+data!M681</f>
        <v>72778508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508215627.96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1729.28</v>
      </c>
      <c r="H57" s="287">
        <f>data!O88</f>
        <v>0</v>
      </c>
      <c r="I57" s="287">
        <f>data!P88</f>
        <v>162848188.96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1729.28</v>
      </c>
      <c r="H58" s="287">
        <f>data!O89</f>
        <v>0</v>
      </c>
      <c r="I58" s="287">
        <f>data!P89</f>
        <v>671063816.92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39214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13528.176312992404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1055913.03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107.2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Harborview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1196361</v>
      </c>
      <c r="D73" s="295">
        <f>data!R59</f>
        <v>7000254</v>
      </c>
      <c r="E73" s="299"/>
      <c r="F73" s="299"/>
      <c r="G73" s="287">
        <f>data!U59</f>
        <v>1811031</v>
      </c>
      <c r="H73" s="287">
        <f>data!V59</f>
        <v>63709</v>
      </c>
      <c r="I73" s="287">
        <f>data!W59</f>
        <v>91226.900000000009</v>
      </c>
    </row>
    <row r="74" ht="20.1" customHeight="1">
      <c r="A74" s="279">
        <v>5</v>
      </c>
      <c r="B74" s="287" t="s">
        <v>262</v>
      </c>
      <c r="C74" s="294">
        <f>data!Q60</f>
        <v>70.18</v>
      </c>
      <c r="D74" s="294">
        <f>data!R60</f>
        <v>61.06</v>
      </c>
      <c r="E74" s="294">
        <f>data!S60</f>
        <v>57.25</v>
      </c>
      <c r="F74" s="294">
        <f>data!T60</f>
        <v>0</v>
      </c>
      <c r="G74" s="294">
        <f>data!U60</f>
        <v>149.31</v>
      </c>
      <c r="H74" s="294">
        <f>data!V60</f>
        <v>58.07</v>
      </c>
      <c r="I74" s="294">
        <f>data!W60</f>
        <v>10.96</v>
      </c>
    </row>
    <row r="75" ht="20.1" customHeight="1">
      <c r="A75" s="279">
        <v>6</v>
      </c>
      <c r="B75" s="287" t="s">
        <v>263</v>
      </c>
      <c r="C75" s="287">
        <f>data!Q61</f>
        <v>8645966.46</v>
      </c>
      <c r="D75" s="287">
        <f>data!R61</f>
        <v>10402407.67</v>
      </c>
      <c r="E75" s="287">
        <f>data!S61</f>
        <v>3744440.03</v>
      </c>
      <c r="F75" s="287">
        <f>data!T61</f>
        <v>0</v>
      </c>
      <c r="G75" s="287">
        <f>data!U61</f>
        <v>11844669.55</v>
      </c>
      <c r="H75" s="287">
        <f>data!V61</f>
        <v>5984444.28</v>
      </c>
      <c r="I75" s="287">
        <f>data!W61</f>
        <v>1641452.01</v>
      </c>
    </row>
    <row r="76" ht="20.1" customHeight="1">
      <c r="A76" s="279">
        <v>7</v>
      </c>
      <c r="B76" s="287" t="s">
        <v>11</v>
      </c>
      <c r="C76" s="287">
        <f>data!Q62</f>
        <v>2641651</v>
      </c>
      <c r="D76" s="287">
        <f>data!R62</f>
        <v>3017715</v>
      </c>
      <c r="E76" s="287">
        <f>data!S62</f>
        <v>1031375</v>
      </c>
      <c r="F76" s="287">
        <f>data!T62</f>
        <v>0</v>
      </c>
      <c r="G76" s="287">
        <f>data!U62</f>
        <v>3948315</v>
      </c>
      <c r="H76" s="287">
        <f>data!V62</f>
        <v>1919101</v>
      </c>
      <c r="I76" s="287">
        <f>data!W62</f>
        <v>441909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101885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758721.72</v>
      </c>
      <c r="D78" s="287">
        <f>data!R64</f>
        <v>2509310.86</v>
      </c>
      <c r="E78" s="287">
        <f>data!S64</f>
        <v>2421363.39</v>
      </c>
      <c r="F78" s="287">
        <f>data!T64</f>
        <v>0</v>
      </c>
      <c r="G78" s="287">
        <f>data!U64</f>
        <v>6958032.61</v>
      </c>
      <c r="H78" s="287">
        <f>data!V64</f>
        <v>1601221.28</v>
      </c>
      <c r="I78" s="287">
        <f>data!W64</f>
        <v>169554.81</v>
      </c>
    </row>
    <row r="79" ht="20.1" customHeight="1">
      <c r="A79" s="279">
        <v>10</v>
      </c>
      <c r="B79" s="287" t="s">
        <v>524</v>
      </c>
      <c r="C79" s="287">
        <f>data!Q65</f>
        <v>77.13</v>
      </c>
      <c r="D79" s="287">
        <f>data!R65</f>
        <v>45.6</v>
      </c>
      <c r="E79" s="287">
        <f>data!S65</f>
        <v>10281.45</v>
      </c>
      <c r="F79" s="287">
        <f>data!T65</f>
        <v>0</v>
      </c>
      <c r="G79" s="287">
        <f>data!U65</f>
        <v>1733.36</v>
      </c>
      <c r="H79" s="287">
        <f>data!V65</f>
        <v>2881.4</v>
      </c>
      <c r="I79" s="287">
        <f>data!W65</f>
        <v>0</v>
      </c>
    </row>
    <row r="80" ht="20.1" customHeight="1">
      <c r="A80" s="279">
        <v>11</v>
      </c>
      <c r="B80" s="287" t="s">
        <v>525</v>
      </c>
      <c r="C80" s="287">
        <f>data!Q66</f>
        <v>111009.17</v>
      </c>
      <c r="D80" s="287">
        <f>data!R66</f>
        <v>25830.07</v>
      </c>
      <c r="E80" s="287">
        <f>data!S66</f>
        <v>3677685.12</v>
      </c>
      <c r="F80" s="287">
        <f>data!T66</f>
        <v>0</v>
      </c>
      <c r="G80" s="287">
        <f>data!U66</f>
        <v>11610862.3</v>
      </c>
      <c r="H80" s="287">
        <f>data!V66</f>
        <v>117546.19</v>
      </c>
      <c r="I80" s="287">
        <f>data!W66</f>
        <v>90252.25</v>
      </c>
    </row>
    <row r="81" ht="20.1" customHeight="1">
      <c r="A81" s="279">
        <v>12</v>
      </c>
      <c r="B81" s="287" t="s">
        <v>16</v>
      </c>
      <c r="C81" s="287">
        <f>data!Q67</f>
        <v>43811</v>
      </c>
      <c r="D81" s="287">
        <f>data!R67</f>
        <v>174773</v>
      </c>
      <c r="E81" s="287">
        <f>data!S67</f>
        <v>195482</v>
      </c>
      <c r="F81" s="287">
        <f>data!T67</f>
        <v>0</v>
      </c>
      <c r="G81" s="287">
        <f>data!U67</f>
        <v>411533</v>
      </c>
      <c r="H81" s="287">
        <f>data!V67</f>
        <v>335235</v>
      </c>
      <c r="I81" s="287">
        <f>data!W67</f>
        <v>340067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109273.92</v>
      </c>
      <c r="E82" s="287">
        <f>data!S68</f>
        <v>2261636.33</v>
      </c>
      <c r="F82" s="287">
        <f>data!T68</f>
        <v>0</v>
      </c>
      <c r="G82" s="287">
        <f>data!U68</f>
        <v>8297.61</v>
      </c>
      <c r="H82" s="287">
        <f>data!V68</f>
        <v>210817.14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25100.55</v>
      </c>
      <c r="D83" s="287">
        <f>data!R69</f>
        <v>0</v>
      </c>
      <c r="E83" s="287">
        <f>data!S69</f>
        <v>1132211.34</v>
      </c>
      <c r="F83" s="287">
        <f>data!T69</f>
        <v>0</v>
      </c>
      <c r="G83" s="287">
        <f>data!U69</f>
        <v>112923.1</v>
      </c>
      <c r="H83" s="287">
        <f>data!V69</f>
        <v>9753.88</v>
      </c>
      <c r="I83" s="287">
        <f>data!W69</f>
        <v>5490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1318.06</v>
      </c>
      <c r="F84" s="287">
        <f>data!T84</f>
        <v>0</v>
      </c>
      <c r="G84" s="287">
        <f>data!U84</f>
        <v>54716.69</v>
      </c>
      <c r="H84" s="287">
        <f>data!V84</f>
        <v>330.81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12226337.030000003</v>
      </c>
      <c r="D85" s="287">
        <f>data!R85</f>
        <v>16239356.12</v>
      </c>
      <c r="E85" s="287">
        <f>data!S85</f>
        <v>14473156.6</v>
      </c>
      <c r="F85" s="287">
        <f>data!T85</f>
        <v>0</v>
      </c>
      <c r="G85" s="287">
        <f>data!U85</f>
        <v>34841649.84</v>
      </c>
      <c r="H85" s="287">
        <f>data!V85</f>
        <v>10282554.360000001</v>
      </c>
      <c r="I85" s="287">
        <f>data!W85</f>
        <v>2688725.07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5257780</v>
      </c>
      <c r="D87" s="295">
        <f>+data!M683</f>
        <v>10763042</v>
      </c>
      <c r="E87" s="295">
        <f>+data!M684</f>
        <v>2727184</v>
      </c>
      <c r="F87" s="295">
        <f>+data!M685</f>
        <v>0</v>
      </c>
      <c r="G87" s="295">
        <f>+data!M686</f>
        <v>24472483</v>
      </c>
      <c r="H87" s="295">
        <f>+data!M687</f>
        <v>9145793</v>
      </c>
      <c r="I87" s="295">
        <f>+data!M688</f>
        <v>3727229</v>
      </c>
    </row>
    <row r="88" ht="20.1" customHeight="1">
      <c r="A88" s="279">
        <v>19</v>
      </c>
      <c r="B88" s="295" t="s">
        <v>1013</v>
      </c>
      <c r="C88" s="287">
        <f>data!Q87</f>
        <v>11315249.85</v>
      </c>
      <c r="D88" s="287">
        <f>data!R87</f>
        <v>48647835.64</v>
      </c>
      <c r="E88" s="287">
        <f>data!S87</f>
        <v>0</v>
      </c>
      <c r="F88" s="287">
        <f>data!T87</f>
        <v>0</v>
      </c>
      <c r="G88" s="287">
        <f>data!U87</f>
        <v>126858288.63</v>
      </c>
      <c r="H88" s="287">
        <f>data!V87</f>
        <v>50676454.88</v>
      </c>
      <c r="I88" s="287">
        <f>data!W87</f>
        <v>15024768.09</v>
      </c>
    </row>
    <row r="89" ht="20.1" customHeight="1">
      <c r="A89" s="279">
        <v>20</v>
      </c>
      <c r="B89" s="295" t="s">
        <v>1014</v>
      </c>
      <c r="C89" s="287">
        <f>data!Q88</f>
        <v>10560942.18</v>
      </c>
      <c r="D89" s="287">
        <f>data!R88</f>
        <v>52414580.92</v>
      </c>
      <c r="E89" s="287">
        <f>data!S88</f>
        <v>0</v>
      </c>
      <c r="F89" s="287">
        <f>data!T88</f>
        <v>0</v>
      </c>
      <c r="G89" s="287">
        <f>data!U88</f>
        <v>89657839.58</v>
      </c>
      <c r="H89" s="287">
        <f>data!V88</f>
        <v>30421606.99</v>
      </c>
      <c r="I89" s="287">
        <f>data!W88</f>
        <v>22881370.18</v>
      </c>
    </row>
    <row r="90" ht="20.1" customHeight="1">
      <c r="A90" s="279">
        <v>21</v>
      </c>
      <c r="B90" s="295" t="s">
        <v>1015</v>
      </c>
      <c r="C90" s="287">
        <f>data!Q89</f>
        <v>21876192.03</v>
      </c>
      <c r="D90" s="287">
        <f>data!R89</f>
        <v>101062416.56</v>
      </c>
      <c r="E90" s="287">
        <f>data!S89</f>
        <v>0</v>
      </c>
      <c r="F90" s="287">
        <f>data!T89</f>
        <v>0</v>
      </c>
      <c r="G90" s="287">
        <f>data!U89</f>
        <v>216516128.20999998</v>
      </c>
      <c r="H90" s="287">
        <f>data!V89</f>
        <v>81098061.87</v>
      </c>
      <c r="I90" s="287">
        <f>data!W89</f>
        <v>37906138.269999996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8185</v>
      </c>
      <c r="D92" s="287">
        <f>data!R90</f>
        <v>6168</v>
      </c>
      <c r="E92" s="287">
        <f>data!S90</f>
        <v>24528</v>
      </c>
      <c r="F92" s="287">
        <f>data!T90</f>
        <v>0</v>
      </c>
      <c r="G92" s="287">
        <f>data!U90</f>
        <v>39663</v>
      </c>
      <c r="H92" s="287">
        <f>data!V90</f>
        <v>15289</v>
      </c>
      <c r="I92" s="287">
        <f>data!W90</f>
        <v>2089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2825.1389511071411</v>
      </c>
      <c r="D94" s="287">
        <f>data!R92</f>
        <v>2128.9501588795169</v>
      </c>
      <c r="E94" s="287">
        <f>data!S92</f>
        <v>8466.0975189683522</v>
      </c>
      <c r="F94" s="287">
        <f>data!T92</f>
        <v>0</v>
      </c>
      <c r="G94" s="287">
        <f>data!U92</f>
        <v>13690.102164662498</v>
      </c>
      <c r="H94" s="287">
        <f>data!V92</f>
        <v>5277.1593675598151</v>
      </c>
      <c r="I94" s="287">
        <f>data!W92</f>
        <v>721.0403505024824</v>
      </c>
    </row>
    <row r="95" ht="20.1" customHeight="1">
      <c r="A95" s="279">
        <v>25</v>
      </c>
      <c r="B95" s="287" t="s">
        <v>1020</v>
      </c>
      <c r="C95" s="287">
        <f>data!Q93</f>
        <v>109639.81</v>
      </c>
      <c r="D95" s="287">
        <f>data!R93</f>
        <v>25737.07</v>
      </c>
      <c r="E95" s="287">
        <f>data!S93</f>
        <v>53789.2</v>
      </c>
      <c r="F95" s="287">
        <f>data!T93</f>
        <v>0</v>
      </c>
      <c r="G95" s="287">
        <f>data!U93</f>
        <v>2846.8</v>
      </c>
      <c r="H95" s="287">
        <f>data!V93</f>
        <v>36099.61</v>
      </c>
      <c r="I95" s="287">
        <f>data!W93</f>
        <v>70363.2</v>
      </c>
    </row>
    <row r="96" ht="20.1" customHeight="1">
      <c r="A96" s="279">
        <v>26</v>
      </c>
      <c r="B96" s="287" t="s">
        <v>294</v>
      </c>
      <c r="C96" s="294">
        <f>data!Q94</f>
        <v>58.16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6.78</v>
      </c>
      <c r="I96" s="294">
        <f>data!W94</f>
        <v>0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Harborview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332002.01000000013</v>
      </c>
      <c r="D105" s="287">
        <f>data!Y59</f>
        <v>427628.55000000028</v>
      </c>
      <c r="E105" s="287">
        <f>data!Z59</f>
        <v>11412.91</v>
      </c>
      <c r="F105" s="287">
        <f>data!AA59</f>
        <v>13732.110000000002</v>
      </c>
      <c r="G105" s="299"/>
      <c r="H105" s="287">
        <f>data!AC59</f>
        <v>61493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27.56</v>
      </c>
      <c r="D106" s="294">
        <f>data!Y60</f>
        <v>167.73999999999998</v>
      </c>
      <c r="E106" s="294">
        <f>data!Z60</f>
        <v>7.45</v>
      </c>
      <c r="F106" s="294">
        <f>data!AA60</f>
        <v>3.28</v>
      </c>
      <c r="G106" s="294">
        <f>data!AB60</f>
        <v>215.05</v>
      </c>
      <c r="H106" s="294">
        <f>data!AC60</f>
        <v>79.36999999999999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3980612.74</v>
      </c>
      <c r="D107" s="287">
        <f>data!Y61</f>
        <v>17015239.77</v>
      </c>
      <c r="E107" s="287">
        <f>data!Z61</f>
        <v>974800.84</v>
      </c>
      <c r="F107" s="287">
        <f>data!AA61</f>
        <v>483426.25</v>
      </c>
      <c r="G107" s="287">
        <f>data!AB61</f>
        <v>23318999.06</v>
      </c>
      <c r="H107" s="287">
        <f>data!AC61</f>
        <v>10225713.35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833062</v>
      </c>
      <c r="D108" s="287">
        <f>data!Y62</f>
        <v>5103924</v>
      </c>
      <c r="E108" s="287">
        <f>data!Z62</f>
        <v>297511</v>
      </c>
      <c r="F108" s="287">
        <f>data!AA62</f>
        <v>177240</v>
      </c>
      <c r="G108" s="287">
        <f>data!AB62</f>
        <v>8058261</v>
      </c>
      <c r="H108" s="287">
        <f>data!AC62</f>
        <v>2385784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152085.45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581308.91</v>
      </c>
      <c r="D110" s="287">
        <f>data!Y64</f>
        <v>6798672.64</v>
      </c>
      <c r="E110" s="287">
        <f>data!Z64</f>
        <v>239488.1</v>
      </c>
      <c r="F110" s="287">
        <f>data!AA64</f>
        <v>106304.84</v>
      </c>
      <c r="G110" s="287">
        <f>data!AB64</f>
        <v>89915659.89</v>
      </c>
      <c r="H110" s="287">
        <f>data!AC64</f>
        <v>1523031.13</v>
      </c>
      <c r="I110" s="287">
        <f>data!AD64</f>
        <v>1559.13</v>
      </c>
    </row>
    <row r="111" ht="20.1" customHeight="1">
      <c r="A111" s="279">
        <v>10</v>
      </c>
      <c r="B111" s="287" t="s">
        <v>524</v>
      </c>
      <c r="C111" s="287">
        <f>data!X65</f>
        <v>305.76</v>
      </c>
      <c r="D111" s="287">
        <f>data!Y65</f>
        <v>41.04</v>
      </c>
      <c r="E111" s="287">
        <f>data!Z65</f>
        <v>346.13</v>
      </c>
      <c r="F111" s="287">
        <f>data!AA65</f>
        <v>0</v>
      </c>
      <c r="G111" s="287">
        <f>data!AB65</f>
        <v>12542.69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91830.22</v>
      </c>
      <c r="D112" s="287">
        <f>data!Y66</f>
        <v>203501.74</v>
      </c>
      <c r="E112" s="287">
        <f>data!Z66</f>
        <v>5832.58</v>
      </c>
      <c r="F112" s="287">
        <f>data!AA66</f>
        <v>0</v>
      </c>
      <c r="G112" s="287">
        <f>data!AB66</f>
        <v>5027666.12</v>
      </c>
      <c r="H112" s="287">
        <f>data!AC66</f>
        <v>1600</v>
      </c>
      <c r="I112" s="287">
        <f>data!AD66</f>
        <v>3454573</v>
      </c>
    </row>
    <row r="113" ht="20.1" customHeight="1">
      <c r="A113" s="279">
        <v>12</v>
      </c>
      <c r="B113" s="287" t="s">
        <v>16</v>
      </c>
      <c r="C113" s="287">
        <f>data!X67</f>
        <v>613114</v>
      </c>
      <c r="D113" s="287">
        <f>data!Y67</f>
        <v>1209481</v>
      </c>
      <c r="E113" s="287">
        <f>data!Z67</f>
        <v>176470</v>
      </c>
      <c r="F113" s="287">
        <f>data!AA67</f>
        <v>244438</v>
      </c>
      <c r="G113" s="287">
        <f>data!AB67</f>
        <v>15927</v>
      </c>
      <c r="H113" s="287">
        <f>data!AC67</f>
        <v>404851</v>
      </c>
      <c r="I113" s="287">
        <f>data!AD67</f>
        <v>34705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46386.14</v>
      </c>
      <c r="E114" s="287">
        <f>data!Z68</f>
        <v>81.12</v>
      </c>
      <c r="F114" s="287">
        <f>data!AA68</f>
        <v>89.99</v>
      </c>
      <c r="G114" s="287">
        <f>data!AB68</f>
        <v>1242683.55</v>
      </c>
      <c r="H114" s="287">
        <f>data!AC68</f>
        <v>15038.21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0</v>
      </c>
      <c r="D115" s="287">
        <f>data!Y69</f>
        <v>17161.32</v>
      </c>
      <c r="E115" s="287">
        <f>data!Z69</f>
        <v>7710.78</v>
      </c>
      <c r="F115" s="287">
        <f>data!AA69</f>
        <v>4595.87</v>
      </c>
      <c r="G115" s="287">
        <f>data!AB69</f>
        <v>202336.35</v>
      </c>
      <c r="H115" s="287">
        <f>data!AC69</f>
        <v>4914.12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-32137.22</v>
      </c>
      <c r="E116" s="287">
        <f>-data!Z84</f>
        <v>0</v>
      </c>
      <c r="F116" s="287">
        <f>-data!AA84</f>
        <v>0</v>
      </c>
      <c r="G116" s="287">
        <f>-data!AB84</f>
        <v>-26506235.16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6100233.63</v>
      </c>
      <c r="D117" s="287">
        <f>data!Y85</f>
        <v>30362270.43</v>
      </c>
      <c r="E117" s="287">
        <f>data!Z85</f>
        <v>1702240.55</v>
      </c>
      <c r="F117" s="287">
        <f>data!AA85</f>
        <v>1016094.95</v>
      </c>
      <c r="G117" s="287">
        <f>data!AB85</f>
        <v>101439925.95</v>
      </c>
      <c r="H117" s="287">
        <f>data!AC85</f>
        <v>14560931.81</v>
      </c>
      <c r="I117" s="287">
        <f>data!AD85</f>
        <v>3490837.13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17102791</v>
      </c>
      <c r="D119" s="295">
        <f>+data!M690</f>
        <v>19217139</v>
      </c>
      <c r="E119" s="295">
        <f>+data!M691</f>
        <v>2640459</v>
      </c>
      <c r="F119" s="295">
        <f>+data!M692</f>
        <v>558909</v>
      </c>
      <c r="G119" s="295">
        <f>+data!M693</f>
        <v>45476695</v>
      </c>
      <c r="H119" s="295">
        <f>+data!M694</f>
        <v>7985331</v>
      </c>
      <c r="I119" s="295">
        <f>+data!M695</f>
        <v>1268934</v>
      </c>
    </row>
    <row r="120" ht="20.1" customHeight="1">
      <c r="A120" s="279">
        <v>19</v>
      </c>
      <c r="B120" s="295" t="s">
        <v>1013</v>
      </c>
      <c r="C120" s="287">
        <f>data!X87</f>
        <v>106914607.9</v>
      </c>
      <c r="D120" s="287">
        <f>data!Y87</f>
        <v>96426700.18</v>
      </c>
      <c r="E120" s="287">
        <f>data!Z87</f>
        <v>31814.63</v>
      </c>
      <c r="F120" s="287">
        <f>data!AA87</f>
        <v>831893.75</v>
      </c>
      <c r="G120" s="287">
        <f>data!AB87</f>
        <v>194719292.8</v>
      </c>
      <c r="H120" s="287">
        <f>data!AC87</f>
        <v>65632528.8</v>
      </c>
      <c r="I120" s="287">
        <f>data!AD87</f>
        <v>9818538.87</v>
      </c>
    </row>
    <row r="121" ht="20.1" customHeight="1">
      <c r="A121" s="279">
        <v>20</v>
      </c>
      <c r="B121" s="295" t="s">
        <v>1014</v>
      </c>
      <c r="C121" s="287">
        <f>data!X88</f>
        <v>80085821.09</v>
      </c>
      <c r="D121" s="287">
        <f>data!Y88</f>
        <v>62779441.47</v>
      </c>
      <c r="E121" s="287">
        <f>data!Z88</f>
        <v>25339731.31</v>
      </c>
      <c r="F121" s="287">
        <f>data!AA88</f>
        <v>3445600.69</v>
      </c>
      <c r="G121" s="287">
        <f>data!AB88</f>
        <v>187965309.9</v>
      </c>
      <c r="H121" s="287">
        <f>data!AC88</f>
        <v>3453484.53</v>
      </c>
      <c r="I121" s="287">
        <f>data!AD88</f>
        <v>298814.89</v>
      </c>
    </row>
    <row r="122" ht="20.1" customHeight="1">
      <c r="A122" s="279">
        <v>21</v>
      </c>
      <c r="B122" s="295" t="s">
        <v>1015</v>
      </c>
      <c r="C122" s="287">
        <f>data!X89</f>
        <v>187000428.99</v>
      </c>
      <c r="D122" s="287">
        <f>data!Y89</f>
        <v>159206141.65</v>
      </c>
      <c r="E122" s="287">
        <f>data!Z89</f>
        <v>25371545.939999998</v>
      </c>
      <c r="F122" s="287">
        <f>data!AA89</f>
        <v>4277494.4399999995</v>
      </c>
      <c r="G122" s="287">
        <f>data!AB89</f>
        <v>382684602.70000005</v>
      </c>
      <c r="H122" s="287">
        <f>data!AC89</f>
        <v>69086013.33</v>
      </c>
      <c r="I122" s="287">
        <f>data!AD89</f>
        <v>10117353.76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2296</v>
      </c>
      <c r="D124" s="287">
        <f>data!Y90</f>
        <v>30559</v>
      </c>
      <c r="E124" s="287">
        <f>data!Z90</f>
        <v>2863</v>
      </c>
      <c r="F124" s="287">
        <f>data!AA90</f>
        <v>1694</v>
      </c>
      <c r="G124" s="287">
        <f>data!AB90</f>
        <v>18296</v>
      </c>
      <c r="H124" s="287">
        <f>data!AC90</f>
        <v>3706</v>
      </c>
      <c r="I124" s="287">
        <f>data!AD90</f>
        <v>1602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12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792.48858054269954</v>
      </c>
      <c r="D126" s="287">
        <f>data!Y92</f>
        <v>10547.760685019321</v>
      </c>
      <c r="E126" s="287">
        <f>data!Z92</f>
        <v>988.19460195720774</v>
      </c>
      <c r="F126" s="287">
        <f>data!AA92</f>
        <v>584.70194052235763</v>
      </c>
      <c r="G126" s="287">
        <f>data!AB92</f>
        <v>6237.4663157662453</v>
      </c>
      <c r="H126" s="287">
        <f>data!AC92</f>
        <v>1279.1649300920055</v>
      </c>
      <c r="I126" s="287">
        <f>data!AD92</f>
        <v>552.94717161559447</v>
      </c>
    </row>
    <row r="127" ht="20.1" customHeight="1">
      <c r="A127" s="279">
        <v>25</v>
      </c>
      <c r="B127" s="287" t="s">
        <v>1020</v>
      </c>
      <c r="C127" s="287">
        <f>data!X93</f>
        <v>43168.18</v>
      </c>
      <c r="D127" s="287">
        <f>data!Y93</f>
        <v>54912.78</v>
      </c>
      <c r="E127" s="287">
        <f>data!Z93</f>
        <v>1488.58</v>
      </c>
      <c r="F127" s="287">
        <f>data!AA93</f>
        <v>0</v>
      </c>
      <c r="G127" s="287">
        <f>data!AB93</f>
        <v>7920.42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19.48</v>
      </c>
      <c r="E128" s="294">
        <f>data!Z94</f>
        <v>3.71</v>
      </c>
      <c r="F128" s="294">
        <f>data!AA94</f>
        <v>0</v>
      </c>
      <c r="G128" s="294">
        <f>data!AB94</f>
        <v>0</v>
      </c>
      <c r="H128" s="294">
        <f>data!AC94</f>
        <v>10.25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Harborview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132770</v>
      </c>
      <c r="D137" s="287">
        <f>data!AF59</f>
        <v>48840</v>
      </c>
      <c r="E137" s="287">
        <f>data!AG59</f>
        <v>50401</v>
      </c>
      <c r="F137" s="287">
        <f>data!AH59</f>
        <v>0</v>
      </c>
      <c r="G137" s="287">
        <f>data!AI59</f>
        <v>0</v>
      </c>
      <c r="H137" s="287">
        <f>data!AJ59</f>
        <v>265817</v>
      </c>
      <c r="I137" s="287">
        <f>data!AK59</f>
        <v>78048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81.12</v>
      </c>
      <c r="D138" s="294">
        <f>data!AF60</f>
        <v>80.31</v>
      </c>
      <c r="E138" s="294">
        <f>data!AG60</f>
        <v>189.69</v>
      </c>
      <c r="F138" s="294">
        <f>data!AH60</f>
        <v>0</v>
      </c>
      <c r="G138" s="294">
        <f>data!AI60</f>
        <v>0</v>
      </c>
      <c r="H138" s="294">
        <f>data!AJ60</f>
        <v>666.53</v>
      </c>
      <c r="I138" s="294">
        <f>data!AK60</f>
        <v>31.77</v>
      </c>
    </row>
    <row r="139" ht="20.1" customHeight="1">
      <c r="A139" s="279">
        <v>6</v>
      </c>
      <c r="B139" s="287" t="s">
        <v>263</v>
      </c>
      <c r="C139" s="287">
        <f>data!AE61</f>
        <v>8419276.12</v>
      </c>
      <c r="D139" s="287">
        <f>data!AF61</f>
        <v>7343670.71</v>
      </c>
      <c r="E139" s="287">
        <f>data!AG61</f>
        <v>32128134.39</v>
      </c>
      <c r="F139" s="287">
        <f>data!AH61</f>
        <v>0</v>
      </c>
      <c r="G139" s="287">
        <f>data!AI61</f>
        <v>0</v>
      </c>
      <c r="H139" s="287">
        <f>data!AJ61</f>
        <v>64589971.8</v>
      </c>
      <c r="I139" s="287">
        <f>data!AK61</f>
        <v>3126721.27</v>
      </c>
    </row>
    <row r="140" ht="20.1" customHeight="1">
      <c r="A140" s="279">
        <v>7</v>
      </c>
      <c r="B140" s="287" t="s">
        <v>11</v>
      </c>
      <c r="C140" s="287">
        <f>data!AE62</f>
        <v>2788128</v>
      </c>
      <c r="D140" s="287">
        <f>data!AF62</f>
        <v>2430351</v>
      </c>
      <c r="E140" s="287">
        <f>data!AG62</f>
        <v>6331136</v>
      </c>
      <c r="F140" s="287">
        <f>data!AH62</f>
        <v>0</v>
      </c>
      <c r="G140" s="287">
        <f>data!AI62</f>
        <v>0</v>
      </c>
      <c r="H140" s="287">
        <f>data!AJ62</f>
        <v>20505815</v>
      </c>
      <c r="I140" s="287">
        <f>data!AK62</f>
        <v>1050078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67116.38</v>
      </c>
      <c r="E141" s="287">
        <f>data!AG63</f>
        <v>675</v>
      </c>
      <c r="F141" s="287">
        <f>data!AH63</f>
        <v>0</v>
      </c>
      <c r="G141" s="287">
        <f>data!AI63</f>
        <v>0</v>
      </c>
      <c r="H141" s="287">
        <f>data!AJ63</f>
        <v>144132.25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131770.8</v>
      </c>
      <c r="D142" s="287">
        <f>data!AF64</f>
        <v>57843.18</v>
      </c>
      <c r="E142" s="287">
        <f>data!AG64</f>
        <v>3733972.84</v>
      </c>
      <c r="F142" s="287">
        <f>data!AH64</f>
        <v>0</v>
      </c>
      <c r="G142" s="287">
        <f>data!AI64</f>
        <v>0</v>
      </c>
      <c r="H142" s="287">
        <f>data!AJ64</f>
        <v>8998702.87</v>
      </c>
      <c r="I142" s="287">
        <f>data!AK64</f>
        <v>26733.72</v>
      </c>
    </row>
    <row r="143" ht="20.1" customHeight="1">
      <c r="A143" s="279">
        <v>10</v>
      </c>
      <c r="B143" s="287" t="s">
        <v>524</v>
      </c>
      <c r="C143" s="287">
        <f>data!AE65</f>
        <v>0</v>
      </c>
      <c r="D143" s="287">
        <f>data!AF65</f>
        <v>86.64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31887.64</v>
      </c>
      <c r="I143" s="287">
        <f>data!AK65</f>
        <v>0</v>
      </c>
    </row>
    <row r="144" ht="20.1" customHeight="1">
      <c r="A144" s="279">
        <v>11</v>
      </c>
      <c r="B144" s="287" t="s">
        <v>525</v>
      </c>
      <c r="C144" s="287">
        <f>data!AE66</f>
        <v>22712.27</v>
      </c>
      <c r="D144" s="287">
        <f>data!AF66</f>
        <v>172109.02</v>
      </c>
      <c r="E144" s="287">
        <f>data!AG66</f>
        <v>382726.89</v>
      </c>
      <c r="F144" s="287">
        <f>data!AH66</f>
        <v>61383.51</v>
      </c>
      <c r="G144" s="287">
        <f>data!AI66</f>
        <v>0</v>
      </c>
      <c r="H144" s="287">
        <f>data!AJ66</f>
        <v>2081693.78</v>
      </c>
      <c r="I144" s="287">
        <f>data!AK66</f>
        <v>2201.34</v>
      </c>
    </row>
    <row r="145" ht="20.1" customHeight="1">
      <c r="A145" s="279">
        <v>12</v>
      </c>
      <c r="B145" s="287" t="s">
        <v>16</v>
      </c>
      <c r="C145" s="287">
        <f>data!AE67</f>
        <v>6599</v>
      </c>
      <c r="D145" s="287">
        <f>data!AF67</f>
        <v>0</v>
      </c>
      <c r="E145" s="287">
        <f>data!AG67</f>
        <v>266401</v>
      </c>
      <c r="F145" s="287">
        <f>data!AH67</f>
        <v>0</v>
      </c>
      <c r="G145" s="287">
        <f>data!AI67</f>
        <v>0</v>
      </c>
      <c r="H145" s="287">
        <f>data!AJ67</f>
        <v>1050052</v>
      </c>
      <c r="I145" s="287">
        <f>data!AK67</f>
        <v>21296</v>
      </c>
    </row>
    <row r="146" ht="20.1" customHeight="1">
      <c r="A146" s="279">
        <v>13</v>
      </c>
      <c r="B146" s="287" t="s">
        <v>1009</v>
      </c>
      <c r="C146" s="287">
        <f>data!AE68</f>
        <v>104.2</v>
      </c>
      <c r="D146" s="287">
        <f>data!AF68</f>
        <v>973.32</v>
      </c>
      <c r="E146" s="287">
        <f>data!AG68</f>
        <v>280.23</v>
      </c>
      <c r="F146" s="287">
        <f>data!AH68</f>
        <v>0</v>
      </c>
      <c r="G146" s="287">
        <f>data!AI68</f>
        <v>0</v>
      </c>
      <c r="H146" s="287">
        <f>data!AJ68</f>
        <v>715004.01</v>
      </c>
      <c r="I146" s="287">
        <f>data!AK68</f>
        <v>81.21</v>
      </c>
    </row>
    <row r="147" ht="20.1" customHeight="1">
      <c r="A147" s="279">
        <v>14</v>
      </c>
      <c r="B147" s="287" t="s">
        <v>1010</v>
      </c>
      <c r="C147" s="287">
        <f>data!AE69</f>
        <v>2197.15</v>
      </c>
      <c r="D147" s="287">
        <f>data!AF69</f>
        <v>75210.79</v>
      </c>
      <c r="E147" s="287">
        <f>data!AG69</f>
        <v>113628.36</v>
      </c>
      <c r="F147" s="287">
        <f>data!AH69</f>
        <v>0</v>
      </c>
      <c r="G147" s="287">
        <f>data!AI69</f>
        <v>0</v>
      </c>
      <c r="H147" s="287">
        <f>data!AJ69</f>
        <v>128334.99</v>
      </c>
      <c r="I147" s="287">
        <f>data!AK69</f>
        <v>3094.09</v>
      </c>
    </row>
    <row r="148" ht="20.1" customHeight="1">
      <c r="A148" s="279">
        <v>15</v>
      </c>
      <c r="B148" s="287" t="s">
        <v>284</v>
      </c>
      <c r="C148" s="287">
        <f>-data!AE84</f>
        <v>-1400</v>
      </c>
      <c r="D148" s="287">
        <f>-data!AF84</f>
        <v>-6383269.28</v>
      </c>
      <c r="E148" s="287">
        <f>-data!AG84</f>
        <v>-262869.11</v>
      </c>
      <c r="F148" s="287">
        <f>-data!AH84</f>
        <v>0</v>
      </c>
      <c r="G148" s="287">
        <f>-data!AI84</f>
        <v>0</v>
      </c>
      <c r="H148" s="287">
        <f>-data!AJ84</f>
        <v>-17788257.42</v>
      </c>
      <c r="I148" s="287">
        <f>-data!AK84</f>
        <v>-321651.24</v>
      </c>
    </row>
    <row r="149" ht="20.1" customHeight="1">
      <c r="A149" s="279">
        <v>16</v>
      </c>
      <c r="B149" s="295" t="s">
        <v>1011</v>
      </c>
      <c r="C149" s="287">
        <f>data!AE85</f>
        <v>11369387.54</v>
      </c>
      <c r="D149" s="287">
        <f>data!AF85</f>
        <v>3764091.7600000007</v>
      </c>
      <c r="E149" s="287">
        <f>data!AG85</f>
        <v>42694085.6</v>
      </c>
      <c r="F149" s="287">
        <f>data!AH85</f>
        <v>61383.51</v>
      </c>
      <c r="G149" s="287">
        <f>data!AI85</f>
        <v>0</v>
      </c>
      <c r="H149" s="287">
        <f>data!AJ85</f>
        <v>80457336.92</v>
      </c>
      <c r="I149" s="287">
        <f>data!AK85</f>
        <v>3908554.3899999997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4522892</v>
      </c>
      <c r="D151" s="295">
        <f>+data!M697</f>
        <v>1990145</v>
      </c>
      <c r="E151" s="295">
        <f>+data!M698</f>
        <v>29539417</v>
      </c>
      <c r="F151" s="295">
        <f>+data!M699</f>
        <v>5293</v>
      </c>
      <c r="G151" s="295">
        <f>+data!M700</f>
        <v>0</v>
      </c>
      <c r="H151" s="295">
        <f>+data!M701</f>
        <v>38529839</v>
      </c>
      <c r="I151" s="295">
        <f>+data!M702</f>
        <v>2089094</v>
      </c>
    </row>
    <row r="152" ht="20.1" customHeight="1">
      <c r="A152" s="279">
        <v>19</v>
      </c>
      <c r="B152" s="295" t="s">
        <v>1013</v>
      </c>
      <c r="C152" s="287">
        <f>data!AE87</f>
        <v>24715993.03</v>
      </c>
      <c r="D152" s="287">
        <f>data!AF87</f>
        <v>5313.97</v>
      </c>
      <c r="E152" s="287">
        <f>data!AG87</f>
        <v>85054578.38</v>
      </c>
      <c r="F152" s="287">
        <f>data!AH87</f>
        <v>0</v>
      </c>
      <c r="G152" s="287">
        <f>data!AI87</f>
        <v>0</v>
      </c>
      <c r="H152" s="287">
        <f>data!AJ87</f>
        <v>11047313.34</v>
      </c>
      <c r="I152" s="287">
        <f>data!AK87</f>
        <v>15334091.39</v>
      </c>
    </row>
    <row r="153" ht="20.1" customHeight="1">
      <c r="A153" s="279">
        <v>20</v>
      </c>
      <c r="B153" s="295" t="s">
        <v>1014</v>
      </c>
      <c r="C153" s="287">
        <f>data!AE88</f>
        <v>8899574.72</v>
      </c>
      <c r="D153" s="287">
        <f>data!AF88</f>
        <v>9586276.89</v>
      </c>
      <c r="E153" s="287">
        <f>data!AG88</f>
        <v>152123505.92</v>
      </c>
      <c r="F153" s="287">
        <f>data!AH88</f>
        <v>0</v>
      </c>
      <c r="G153" s="287">
        <f>data!AI88</f>
        <v>0</v>
      </c>
      <c r="H153" s="287">
        <f>data!AJ88</f>
        <v>163927616.27</v>
      </c>
      <c r="I153" s="287">
        <f>data!AK88</f>
        <v>63688.69</v>
      </c>
    </row>
    <row r="154" ht="20.1" customHeight="1">
      <c r="A154" s="279">
        <v>21</v>
      </c>
      <c r="B154" s="295" t="s">
        <v>1015</v>
      </c>
      <c r="C154" s="287">
        <f>data!AE89</f>
        <v>33615567.75</v>
      </c>
      <c r="D154" s="287">
        <f>data!AF89</f>
        <v>9591590.8600000013</v>
      </c>
      <c r="E154" s="287">
        <f>data!AG89</f>
        <v>237178084.29999998</v>
      </c>
      <c r="F154" s="287">
        <f>data!AH89</f>
        <v>0</v>
      </c>
      <c r="G154" s="287">
        <f>data!AI89</f>
        <v>0</v>
      </c>
      <c r="H154" s="287">
        <f>data!AJ89</f>
        <v>174974929.61</v>
      </c>
      <c r="I154" s="287">
        <f>data!AK89</f>
        <v>15397780.08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7948</v>
      </c>
      <c r="D156" s="287">
        <f>data!AF90</f>
        <v>10250</v>
      </c>
      <c r="E156" s="287">
        <f>data!AG90</f>
        <v>26332</v>
      </c>
      <c r="F156" s="287">
        <f>data!AH90</f>
        <v>0</v>
      </c>
      <c r="G156" s="287">
        <f>data!AI90</f>
        <v>0</v>
      </c>
      <c r="H156" s="287">
        <f>data!AJ90</f>
        <v>195675</v>
      </c>
      <c r="I156" s="287">
        <f>data!AK90</f>
        <v>6608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2644.4022887839051</v>
      </c>
      <c r="D158" s="287">
        <f>data!AF92</f>
        <v>3530.8170481702678</v>
      </c>
      <c r="E158" s="287">
        <f>data!AG92</f>
        <v>9087.7293111381514</v>
      </c>
      <c r="F158" s="287">
        <f>data!AH92</f>
        <v>0</v>
      </c>
      <c r="G158" s="287">
        <f>data!AI92</f>
        <v>0</v>
      </c>
      <c r="H158" s="287">
        <f>data!AJ92</f>
        <v>67464.464627886045</v>
      </c>
      <c r="I158" s="287">
        <f>data!AK92</f>
        <v>2152.7901819954386</v>
      </c>
    </row>
    <row r="159" ht="20.1" customHeight="1">
      <c r="A159" s="279">
        <v>25</v>
      </c>
      <c r="B159" s="287" t="s">
        <v>1020</v>
      </c>
      <c r="C159" s="287">
        <f>data!AE93</f>
        <v>21713.18</v>
      </c>
      <c r="D159" s="287">
        <f>data!AF93</f>
        <v>0</v>
      </c>
      <c r="E159" s="287">
        <f>data!AG93</f>
        <v>376149.28</v>
      </c>
      <c r="F159" s="287">
        <f>data!AH93</f>
        <v>0</v>
      </c>
      <c r="G159" s="287">
        <f>data!AI93</f>
        <v>0</v>
      </c>
      <c r="H159" s="287">
        <f>data!AJ93</f>
        <v>177373.51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4.16</v>
      </c>
      <c r="E160" s="294">
        <f>data!AG94</f>
        <v>107.86</v>
      </c>
      <c r="F160" s="294">
        <f>data!AH94</f>
        <v>0</v>
      </c>
      <c r="G160" s="294">
        <f>data!AI94</f>
        <v>0</v>
      </c>
      <c r="H160" s="294">
        <f>data!AJ94</f>
        <v>156.89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Harborview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524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525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Harborview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848294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8.4</v>
      </c>
      <c r="F202" s="294">
        <f>data!AV60</f>
        <v>58.099999999999994</v>
      </c>
      <c r="G202" s="294">
        <f>data!AW60</f>
        <v>3</v>
      </c>
      <c r="H202" s="294">
        <f>data!AX60</f>
        <v>0</v>
      </c>
      <c r="I202" s="294">
        <f>data!AY60</f>
        <v>141.88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809831.3</v>
      </c>
      <c r="F203" s="287">
        <f>data!AV61</f>
        <v>5573111.61</v>
      </c>
      <c r="G203" s="287">
        <f>data!AW61</f>
        <v>215427.34</v>
      </c>
      <c r="H203" s="287">
        <f>data!AX61</f>
        <v>0</v>
      </c>
      <c r="I203" s="287">
        <f>data!AY61</f>
        <v>7395848.06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272821</v>
      </c>
      <c r="F204" s="287">
        <f>data!AV62</f>
        <v>1625941</v>
      </c>
      <c r="G204" s="287">
        <f>data!AW62</f>
        <v>49979</v>
      </c>
      <c r="H204" s="287">
        <f>data!AX62</f>
        <v>0</v>
      </c>
      <c r="I204" s="287">
        <f>data!AY62</f>
        <v>2551333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78464.5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4829.6</v>
      </c>
      <c r="F206" s="287">
        <f>data!AV64</f>
        <v>206625.49</v>
      </c>
      <c r="G206" s="287">
        <f>data!AW64</f>
        <v>496240</v>
      </c>
      <c r="H206" s="287">
        <f>data!AX64</f>
        <v>0</v>
      </c>
      <c r="I206" s="287">
        <f>data!AY64</f>
        <v>6045241.54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510.12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364518.02</v>
      </c>
      <c r="F208" s="287">
        <f>data!AV66</f>
        <v>8132733.06</v>
      </c>
      <c r="G208" s="287">
        <f>data!AW66</f>
        <v>31014255</v>
      </c>
      <c r="H208" s="287">
        <f>data!AX66</f>
        <v>0</v>
      </c>
      <c r="I208" s="287">
        <f>data!AY66</f>
        <v>392518.31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1017</v>
      </c>
      <c r="G209" s="287">
        <f>data!AW67</f>
        <v>0</v>
      </c>
      <c r="H209" s="287">
        <f>data!AX67</f>
        <v>0</v>
      </c>
      <c r="I209" s="287">
        <f>data!AY67</f>
        <v>130212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30108.48</v>
      </c>
      <c r="G210" s="287">
        <f>data!AW68</f>
        <v>0</v>
      </c>
      <c r="H210" s="287">
        <f>data!AX68</f>
        <v>0</v>
      </c>
      <c r="I210" s="287">
        <f>data!AY68</f>
        <v>163.11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1983.07</v>
      </c>
      <c r="F211" s="287">
        <f>data!AV69</f>
        <v>-1017552.77</v>
      </c>
      <c r="G211" s="287">
        <f>data!AW69</f>
        <v>19640</v>
      </c>
      <c r="H211" s="287">
        <f>data!AX69</f>
        <v>0</v>
      </c>
      <c r="I211" s="287">
        <f>data!AY69</f>
        <v>-485756.08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-1220979.93</v>
      </c>
      <c r="F212" s="287">
        <f>-data!AV84</f>
        <v>-6678305.19</v>
      </c>
      <c r="G212" s="287">
        <f>-data!AW84</f>
        <v>-200</v>
      </c>
      <c r="H212" s="287">
        <f>-data!AX84</f>
        <v>0</v>
      </c>
      <c r="I212" s="287">
        <f>-data!AY84</f>
        <v>-3831766.12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233003.06000000029</v>
      </c>
      <c r="F213" s="287">
        <f>data!AV85</f>
        <v>7952653.3000000017</v>
      </c>
      <c r="G213" s="287">
        <f>data!AW85</f>
        <v>31795341.34</v>
      </c>
      <c r="H213" s="287">
        <f>data!AX85</f>
        <v>0</v>
      </c>
      <c r="I213" s="287">
        <f>data!AY85</f>
        <v>12197793.819999997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192184</v>
      </c>
      <c r="F215" s="295">
        <f>+data!M713</f>
        <v>1721313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253</v>
      </c>
      <c r="F216" s="287">
        <f>data!AV87</f>
        <v>4171828.11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469621.55</v>
      </c>
      <c r="F217" s="287">
        <f>data!AV88</f>
        <v>1207436.73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469874.55</v>
      </c>
      <c r="F218" s="287">
        <f>data!AV89</f>
        <v>5379264.84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1620</v>
      </c>
      <c r="G220" s="287">
        <f>data!AW90</f>
        <v>0</v>
      </c>
      <c r="H220" s="287">
        <f>data!AX90</f>
        <v>0</v>
      </c>
      <c r="I220" s="287">
        <f>data!AY90</f>
        <v>27282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559.16006118430892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43.74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4.01</v>
      </c>
      <c r="F224" s="294">
        <f>data!AV94</f>
        <v>12.42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Harborview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1163874.7499999998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11.32</v>
      </c>
      <c r="E234" s="294">
        <f>data!BB60</f>
        <v>103.5</v>
      </c>
      <c r="F234" s="294">
        <f>data!BC60</f>
        <v>0</v>
      </c>
      <c r="G234" s="294">
        <f>data!BD60</f>
        <v>0</v>
      </c>
      <c r="H234" s="294">
        <f>data!BE60</f>
        <v>94.25</v>
      </c>
      <c r="I234" s="294">
        <f>data!BF60</f>
        <v>210.48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543083.34</v>
      </c>
      <c r="E235" s="287">
        <f>data!BB61</f>
        <v>8369459.38</v>
      </c>
      <c r="F235" s="287">
        <f>data!BC61</f>
        <v>0</v>
      </c>
      <c r="G235" s="287">
        <f>data!BD61</f>
        <v>0</v>
      </c>
      <c r="H235" s="287">
        <f>data!BE61</f>
        <v>8038796.69</v>
      </c>
      <c r="I235" s="287">
        <f>data!BF61</f>
        <v>10195218.7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186598</v>
      </c>
      <c r="E236" s="287">
        <f>data!BB62</f>
        <v>2911529</v>
      </c>
      <c r="F236" s="287">
        <f>data!BC62</f>
        <v>0</v>
      </c>
      <c r="G236" s="287">
        <f>data!BD62</f>
        <v>0</v>
      </c>
      <c r="H236" s="287">
        <f>data!BE62</f>
        <v>2870928</v>
      </c>
      <c r="I236" s="287">
        <f>data!BF62</f>
        <v>3403337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219485.18</v>
      </c>
      <c r="F237" s="287">
        <f>data!BC63</f>
        <v>0</v>
      </c>
      <c r="G237" s="287">
        <f>data!BD63</f>
        <v>0</v>
      </c>
      <c r="H237" s="287">
        <f>data!BE63</f>
        <v>800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899519.91</v>
      </c>
      <c r="E238" s="287">
        <f>data!BB64</f>
        <v>148664.68</v>
      </c>
      <c r="F238" s="287">
        <f>data!BC64</f>
        <v>0</v>
      </c>
      <c r="G238" s="287">
        <f>data!BD64</f>
        <v>15.37</v>
      </c>
      <c r="H238" s="287">
        <f>data!BE64</f>
        <v>1722789.7</v>
      </c>
      <c r="I238" s="287">
        <f>data!BF64</f>
        <v>1683309.37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301.6</v>
      </c>
      <c r="F239" s="287">
        <f>data!BC65</f>
        <v>0</v>
      </c>
      <c r="G239" s="287">
        <f>data!BD65</f>
        <v>0</v>
      </c>
      <c r="H239" s="287">
        <f>data!BE65</f>
        <v>5013992.29</v>
      </c>
      <c r="I239" s="287">
        <f>data!BF65</f>
        <v>615265.12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139563.12</v>
      </c>
      <c r="E240" s="287">
        <f>data!BB66</f>
        <v>7604535.67</v>
      </c>
      <c r="F240" s="287">
        <f>data!BC66</f>
        <v>0</v>
      </c>
      <c r="G240" s="287">
        <f>data!BD66</f>
        <v>3634314.87</v>
      </c>
      <c r="H240" s="287">
        <f>data!BE66</f>
        <v>8273073.57</v>
      </c>
      <c r="I240" s="287">
        <f>data!BF66</f>
        <v>410354.25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1586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2205313</v>
      </c>
      <c r="I241" s="287">
        <f>data!BF67</f>
        <v>59997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81.2</v>
      </c>
      <c r="E242" s="287">
        <f>data!BB68</f>
        <v>174.58</v>
      </c>
      <c r="F242" s="287">
        <f>data!BC68</f>
        <v>0</v>
      </c>
      <c r="G242" s="287">
        <f>data!BD68</f>
        <v>0</v>
      </c>
      <c r="H242" s="287">
        <f>data!BE68</f>
        <v>87228.5</v>
      </c>
      <c r="I242" s="287">
        <f>data!BF68</f>
        <v>135.94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247688.45</v>
      </c>
      <c r="F243" s="287">
        <f>data!BC69</f>
        <v>0</v>
      </c>
      <c r="G243" s="287">
        <f>data!BD69</f>
        <v>0</v>
      </c>
      <c r="H243" s="287">
        <f>data!BE69</f>
        <v>48464.07</v>
      </c>
      <c r="I243" s="287">
        <f>data!BF69</f>
        <v>7671.21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-2095268.44</v>
      </c>
      <c r="F244" s="287">
        <f>-data!BC84</f>
        <v>0</v>
      </c>
      <c r="G244" s="287">
        <f>-data!BD84</f>
        <v>0</v>
      </c>
      <c r="H244" s="287">
        <f>-data!BE84</f>
        <v>-370360.89</v>
      </c>
      <c r="I244" s="287">
        <f>-data!BF84</f>
        <v>-1222.18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1770431.57</v>
      </c>
      <c r="E245" s="287">
        <f>data!BB85</f>
        <v>17406570.099999994</v>
      </c>
      <c r="F245" s="287">
        <f>data!BC85</f>
        <v>0</v>
      </c>
      <c r="G245" s="287">
        <f>data!BD85</f>
        <v>3634330.24</v>
      </c>
      <c r="H245" s="287">
        <f>data!BE85</f>
        <v>27891024.93</v>
      </c>
      <c r="I245" s="287">
        <f>data!BF85</f>
        <v>16374066.41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5539</v>
      </c>
      <c r="E252" s="303">
        <f>data!BB90</f>
        <v>6774</v>
      </c>
      <c r="F252" s="303">
        <f>data!BC90</f>
        <v>0</v>
      </c>
      <c r="G252" s="303">
        <f>data!BD90</f>
        <v>3131</v>
      </c>
      <c r="H252" s="303">
        <f>data!BE90</f>
        <v>145714</v>
      </c>
      <c r="I252" s="303">
        <f>data!BF90</f>
        <v>25971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1911.8441845061034</v>
      </c>
      <c r="E254" s="303">
        <f>data!BB92</f>
        <v>2329.7374934772261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Harborview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9.59</v>
      </c>
      <c r="D266" s="294">
        <f>data!BH60</f>
        <v>14.33</v>
      </c>
      <c r="E266" s="294">
        <f>data!BI60</f>
        <v>4.02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517116.81</v>
      </c>
      <c r="D267" s="287">
        <f>data!BH61</f>
        <v>982469.28</v>
      </c>
      <c r="E267" s="287">
        <f>data!BI61</f>
        <v>263398.69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181912</v>
      </c>
      <c r="D268" s="287">
        <f>data!BH62</f>
        <v>322363</v>
      </c>
      <c r="E268" s="287">
        <f>data!BI62</f>
        <v>83801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439476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2014.99</v>
      </c>
      <c r="D270" s="287">
        <f>data!BH64</f>
        <v>224987.12</v>
      </c>
      <c r="E270" s="287">
        <f>data!BI64</f>
        <v>272532.81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325</v>
      </c>
    </row>
    <row r="271" ht="20.1" customHeight="1">
      <c r="A271" s="279">
        <v>10</v>
      </c>
      <c r="B271" s="287" t="s">
        <v>524</v>
      </c>
      <c r="C271" s="287">
        <f>data!BG65</f>
        <v>18456.45</v>
      </c>
      <c r="D271" s="287">
        <f>data!BH65</f>
        <v>192194.88</v>
      </c>
      <c r="E271" s="287">
        <f>data!BI65</f>
        <v>86.64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41023.02</v>
      </c>
      <c r="D272" s="287">
        <f>data!BH66</f>
        <v>78930056.24</v>
      </c>
      <c r="E272" s="287">
        <f>data!BI66</f>
        <v>17879.16</v>
      </c>
      <c r="F272" s="287">
        <f>data!BJ66</f>
        <v>7554590.83</v>
      </c>
      <c r="G272" s="287">
        <f>data!BK66</f>
        <v>18856693.18</v>
      </c>
      <c r="H272" s="287">
        <f>data!BL66</f>
        <v>5942195.55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7154</v>
      </c>
      <c r="D273" s="287">
        <f>data!BH67</f>
        <v>908462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179.85</v>
      </c>
      <c r="D274" s="287">
        <f>data!BH68</f>
        <v>1893457.46</v>
      </c>
      <c r="E274" s="287">
        <f>data!BI68</f>
        <v>861.95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28505.79</v>
      </c>
      <c r="D275" s="287">
        <f>data!BH69</f>
        <v>29442</v>
      </c>
      <c r="E275" s="287">
        <f>data!BI69</f>
        <v>12844.1</v>
      </c>
      <c r="F275" s="287">
        <f>data!BJ69</f>
        <v>0</v>
      </c>
      <c r="G275" s="287">
        <f>data!BK69</f>
        <v>-571.71</v>
      </c>
      <c r="H275" s="287">
        <f>data!BL69</f>
        <v>0</v>
      </c>
      <c r="I275" s="287">
        <f>data!BM69</f>
        <v>572.48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-6179969.02</v>
      </c>
      <c r="E276" s="287">
        <f>-data!BI84</f>
        <v>-444845.05</v>
      </c>
      <c r="F276" s="287">
        <f>-data!BJ84</f>
        <v>0</v>
      </c>
      <c r="G276" s="287">
        <f>-data!BK84</f>
        <v>-164994.48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796362.91</v>
      </c>
      <c r="D277" s="287">
        <f>data!BH85</f>
        <v>77303462.96</v>
      </c>
      <c r="E277" s="287">
        <f>data!BI85</f>
        <v>206559.3</v>
      </c>
      <c r="F277" s="287">
        <f>data!BJ85</f>
        <v>7994066.83</v>
      </c>
      <c r="G277" s="287">
        <f>data!BK85</f>
        <v>18691126.99</v>
      </c>
      <c r="H277" s="287">
        <f>data!BL85</f>
        <v>5942195.55</v>
      </c>
      <c r="I277" s="287">
        <f>data!BM85</f>
        <v>897.48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6792</v>
      </c>
      <c r="D284" s="303">
        <f>data!BH90</f>
        <v>58967</v>
      </c>
      <c r="E284" s="303">
        <f>data!BI90</f>
        <v>20298</v>
      </c>
      <c r="F284" s="303">
        <f>data!BJ90</f>
        <v>3022</v>
      </c>
      <c r="G284" s="303">
        <f>data!BK90</f>
        <v>4440</v>
      </c>
      <c r="H284" s="303">
        <f>data!BL90</f>
        <v>2763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20353.081066577255</v>
      </c>
      <c r="E286" s="303">
        <f>data!BI92</f>
        <v>7006.0684703204342</v>
      </c>
      <c r="F286" s="302" t="str">
        <f>IF(data!BJ78&gt;0,data!BJ78,"")</f>
      </c>
      <c r="G286" s="303">
        <f>data!BK92</f>
        <v>1532.5127602829209</v>
      </c>
      <c r="H286" s="303">
        <f>data!BL92</f>
        <v>953.67854879768242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Harborview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45.07</v>
      </c>
      <c r="D298" s="294">
        <f>data!BO60</f>
        <v>10.48</v>
      </c>
      <c r="E298" s="294">
        <f>data!BP60</f>
        <v>8.69</v>
      </c>
      <c r="F298" s="294">
        <f>data!BQ60</f>
        <v>0</v>
      </c>
      <c r="G298" s="294">
        <f>data!BR60</f>
        <v>0</v>
      </c>
      <c r="H298" s="294">
        <f>data!BS60</f>
        <v>2.42</v>
      </c>
      <c r="I298" s="294">
        <f>data!BT60</f>
        <v>9.0400000000000009</v>
      </c>
    </row>
    <row r="299" ht="20.1" customHeight="1">
      <c r="A299" s="279">
        <v>6</v>
      </c>
      <c r="B299" s="287" t="s">
        <v>263</v>
      </c>
      <c r="C299" s="287">
        <f>data!BN61</f>
        <v>5443678.94</v>
      </c>
      <c r="D299" s="287">
        <f>data!BO61</f>
        <v>1103905.47</v>
      </c>
      <c r="E299" s="287">
        <f>data!BP61</f>
        <v>654599.41</v>
      </c>
      <c r="F299" s="287">
        <f>data!BQ61</f>
        <v>0</v>
      </c>
      <c r="G299" s="287">
        <f>data!BR61</f>
        <v>0</v>
      </c>
      <c r="H299" s="287">
        <f>data!BS61</f>
        <v>173114.1</v>
      </c>
      <c r="I299" s="287">
        <f>data!BT61</f>
        <v>611567.07</v>
      </c>
    </row>
    <row r="300" ht="20.1" customHeight="1">
      <c r="A300" s="279">
        <v>7</v>
      </c>
      <c r="B300" s="287" t="s">
        <v>11</v>
      </c>
      <c r="C300" s="287">
        <f>data!BN62</f>
        <v>1670158</v>
      </c>
      <c r="D300" s="287">
        <f>data!BO62</f>
        <v>348676</v>
      </c>
      <c r="E300" s="287">
        <f>data!BP62</f>
        <v>209438</v>
      </c>
      <c r="F300" s="287">
        <f>data!BQ62</f>
        <v>0</v>
      </c>
      <c r="G300" s="287">
        <f>data!BR62</f>
        <v>0</v>
      </c>
      <c r="H300" s="287">
        <f>data!BS62</f>
        <v>50790</v>
      </c>
      <c r="I300" s="287">
        <f>data!BT62</f>
        <v>170305</v>
      </c>
    </row>
    <row r="301" ht="20.1" customHeight="1">
      <c r="A301" s="279">
        <v>8</v>
      </c>
      <c r="B301" s="287" t="s">
        <v>264</v>
      </c>
      <c r="C301" s="287">
        <f>data!BN63</f>
        <v>1298659.74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3075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1195570.88</v>
      </c>
      <c r="D302" s="287">
        <f>data!BO64</f>
        <v>44076.34</v>
      </c>
      <c r="E302" s="287">
        <f>data!BP64</f>
        <v>2095.6</v>
      </c>
      <c r="F302" s="287">
        <f>data!BQ64</f>
        <v>0</v>
      </c>
      <c r="G302" s="287">
        <f>data!BR64</f>
        <v>0</v>
      </c>
      <c r="H302" s="287">
        <f>data!BS64</f>
        <v>33968.31</v>
      </c>
      <c r="I302" s="287">
        <f>data!BT64</f>
        <v>2447.26</v>
      </c>
    </row>
    <row r="303" ht="20.1" customHeight="1">
      <c r="A303" s="279">
        <v>10</v>
      </c>
      <c r="B303" s="287" t="s">
        <v>524</v>
      </c>
      <c r="C303" s="287">
        <f>data!BN65</f>
        <v>523.04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525</v>
      </c>
      <c r="C304" s="287">
        <f>data!BN66</f>
        <v>3936764.53</v>
      </c>
      <c r="D304" s="287">
        <f>data!BO66</f>
        <v>3306.13</v>
      </c>
      <c r="E304" s="287">
        <f>data!BP66</f>
        <v>352166.17</v>
      </c>
      <c r="F304" s="287">
        <f>data!BQ66</f>
        <v>0</v>
      </c>
      <c r="G304" s="287">
        <f>data!BR66</f>
        <v>6928728.34</v>
      </c>
      <c r="H304" s="287">
        <f>data!BS66</f>
        <v>21401.4</v>
      </c>
      <c r="I304" s="287">
        <f>data!BT66</f>
        <v>3930</v>
      </c>
    </row>
    <row r="305" ht="20.1" customHeight="1">
      <c r="A305" s="279">
        <v>12</v>
      </c>
      <c r="B305" s="287" t="s">
        <v>16</v>
      </c>
      <c r="C305" s="287">
        <f>data!BN67</f>
        <v>0</v>
      </c>
      <c r="D305" s="287">
        <f>data!BO67</f>
        <v>1054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1009</v>
      </c>
      <c r="C306" s="287">
        <f>data!BN68</f>
        <v>8741.51</v>
      </c>
      <c r="D306" s="287">
        <f>data!BO68</f>
        <v>226.41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81.14</v>
      </c>
      <c r="I306" s="287">
        <f>data!BT68</f>
        <v>81.2</v>
      </c>
    </row>
    <row r="307" ht="20.1" customHeight="1">
      <c r="A307" s="279">
        <v>14</v>
      </c>
      <c r="B307" s="287" t="s">
        <v>1010</v>
      </c>
      <c r="C307" s="287">
        <f>data!BN69</f>
        <v>991377.89</v>
      </c>
      <c r="D307" s="287">
        <f>data!BO69</f>
        <v>866.5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10433.71</v>
      </c>
      <c r="I307" s="287">
        <f>data!BT69</f>
        <v>7785</v>
      </c>
    </row>
    <row r="308" ht="20.1" customHeight="1">
      <c r="A308" s="279">
        <v>15</v>
      </c>
      <c r="B308" s="287" t="s">
        <v>284</v>
      </c>
      <c r="C308" s="287">
        <f>-data!BN84</f>
        <v>-850891.61</v>
      </c>
      <c r="D308" s="287">
        <f>-data!BO84</f>
        <v>-13494.28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-7016.8</v>
      </c>
      <c r="I308" s="287">
        <f>-data!BT84</f>
        <v>0</v>
      </c>
    </row>
    <row r="309" ht="20.1" customHeight="1">
      <c r="A309" s="279">
        <v>16</v>
      </c>
      <c r="B309" s="295" t="s">
        <v>1011</v>
      </c>
      <c r="C309" s="287">
        <f>data!BN85</f>
        <v>13694582.919999998</v>
      </c>
      <c r="D309" s="287">
        <f>data!BO85</f>
        <v>1488616.5699999998</v>
      </c>
      <c r="E309" s="287">
        <f>data!BP85</f>
        <v>1218299.18</v>
      </c>
      <c r="F309" s="287">
        <f>data!BQ85</f>
        <v>0</v>
      </c>
      <c r="G309" s="287">
        <f>data!BR85</f>
        <v>6928728.34</v>
      </c>
      <c r="H309" s="287">
        <f>data!BS85</f>
        <v>285846.86000000004</v>
      </c>
      <c r="I309" s="287">
        <f>data!BT85</f>
        <v>796115.52999999991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5674</v>
      </c>
      <c r="D316" s="303">
        <f>data!BO90</f>
        <v>1305</v>
      </c>
      <c r="E316" s="303">
        <f>data!BP90</f>
        <v>816</v>
      </c>
      <c r="F316" s="303">
        <f>data!BQ90</f>
        <v>0</v>
      </c>
      <c r="G316" s="303">
        <f>data!BR90</f>
        <v>3541</v>
      </c>
      <c r="H316" s="303">
        <f>data!BS90</f>
        <v>654</v>
      </c>
      <c r="I316" s="303">
        <f>data!BT90</f>
        <v>1057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225.7349876632951</v>
      </c>
      <c r="I318" s="303">
        <f>data!BT92</f>
        <v>364.83468189618179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Harborview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122.05</v>
      </c>
      <c r="F330" s="294">
        <f>data!BX60</f>
        <v>54.48</v>
      </c>
      <c r="G330" s="294">
        <f>data!BY60</f>
        <v>97.65</v>
      </c>
      <c r="H330" s="294">
        <f>data!BZ60</f>
        <v>73.11</v>
      </c>
      <c r="I330" s="294">
        <f>data!CA60</f>
        <v>26.88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22617490.29</v>
      </c>
      <c r="F331" s="306">
        <f>data!BX61</f>
        <v>6372279.82</v>
      </c>
      <c r="G331" s="306">
        <f>data!BY61</f>
        <v>10493768.92</v>
      </c>
      <c r="H331" s="306">
        <f>data!BZ61</f>
        <v>12659165.48</v>
      </c>
      <c r="I331" s="306">
        <f>data!CA61</f>
        <v>3103076.74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6363827</v>
      </c>
      <c r="F332" s="306">
        <f>data!BX62</f>
        <v>2029495</v>
      </c>
      <c r="G332" s="306">
        <f>data!BY62</f>
        <v>3502913</v>
      </c>
      <c r="H332" s="306">
        <f>data!BZ62</f>
        <v>1692361</v>
      </c>
      <c r="I332" s="306">
        <f>data!CA62</f>
        <v>935211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38118955.68</v>
      </c>
      <c r="F333" s="306">
        <f>data!BX63</f>
        <v>0</v>
      </c>
      <c r="G333" s="306">
        <f>data!BY63</f>
        <v>14031.51</v>
      </c>
      <c r="H333" s="306">
        <f>data!BZ63</f>
        <v>0</v>
      </c>
      <c r="I333" s="306">
        <f>data!CA63</f>
        <v>34784.22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10834.91</v>
      </c>
      <c r="F334" s="306">
        <f>data!BX64</f>
        <v>96912.06</v>
      </c>
      <c r="G334" s="306">
        <f>data!BY64</f>
        <v>20095.47</v>
      </c>
      <c r="H334" s="306">
        <f>data!BZ64</f>
        <v>6733.3</v>
      </c>
      <c r="I334" s="306">
        <f>data!CA64</f>
        <v>94739.04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11631.27</v>
      </c>
      <c r="F335" s="306">
        <f>data!BX65</f>
        <v>1493.98</v>
      </c>
      <c r="G335" s="306">
        <f>data!BY65</f>
        <v>212.16</v>
      </c>
      <c r="H335" s="306">
        <f>data!BZ65</f>
        <v>0</v>
      </c>
      <c r="I335" s="306">
        <f>data!CA65</f>
        <v>4996.92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6465977.25</v>
      </c>
      <c r="E336" s="306">
        <f>data!BW66</f>
        <v>1451904.11</v>
      </c>
      <c r="F336" s="306">
        <f>data!BX66</f>
        <v>40380.03</v>
      </c>
      <c r="G336" s="306">
        <f>data!BY66</f>
        <v>10640.75</v>
      </c>
      <c r="H336" s="306">
        <f>data!BZ66</f>
        <v>0</v>
      </c>
      <c r="I336" s="306">
        <f>data!CA66</f>
        <v>167809.34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10161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1776</v>
      </c>
      <c r="I337" s="306">
        <f>data!CA67</f>
        <v>7512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710.75</v>
      </c>
      <c r="F338" s="306">
        <f>data!BX68</f>
        <v>81.71</v>
      </c>
      <c r="G338" s="306">
        <f>data!BY68</f>
        <v>478.38</v>
      </c>
      <c r="H338" s="306">
        <f>data!BZ68</f>
        <v>0</v>
      </c>
      <c r="I338" s="306">
        <f>data!CA68</f>
        <v>1241.72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36966.08</v>
      </c>
      <c r="F339" s="306">
        <f>data!BX69</f>
        <v>718502.79</v>
      </c>
      <c r="G339" s="306">
        <f>data!BY69</f>
        <v>51269.92</v>
      </c>
      <c r="H339" s="306">
        <f>data!BZ69</f>
        <v>7802.35</v>
      </c>
      <c r="I339" s="306">
        <f>data!CA69</f>
        <v>927538.43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7000</v>
      </c>
      <c r="F340" s="287">
        <f>-data!BX84</f>
        <v>-249247.3</v>
      </c>
      <c r="G340" s="287">
        <f>-data!BY84</f>
        <v>0</v>
      </c>
      <c r="H340" s="287">
        <f>-data!BZ84</f>
        <v>0</v>
      </c>
      <c r="I340" s="287">
        <f>-data!CA84</f>
        <v>-41128.89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6476138.25</v>
      </c>
      <c r="E341" s="287">
        <f>data!BW85</f>
        <v>68619320.089999989</v>
      </c>
      <c r="F341" s="287">
        <f>data!BX85</f>
        <v>9009898.09</v>
      </c>
      <c r="G341" s="287">
        <f>data!BY85</f>
        <v>14093410.110000001</v>
      </c>
      <c r="H341" s="287">
        <f>data!BZ85</f>
        <v>14367838.13</v>
      </c>
      <c r="I341" s="287">
        <f>data!CA85</f>
        <v>5235780.5200000005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14834</v>
      </c>
      <c r="E348" s="303">
        <f>data!BW90</f>
        <v>128316</v>
      </c>
      <c r="F348" s="303">
        <f>data!BX90</f>
        <v>5124</v>
      </c>
      <c r="G348" s="303">
        <f>data!BY90</f>
        <v>3237</v>
      </c>
      <c r="H348" s="303">
        <f>data!BZ90</f>
        <v>1806</v>
      </c>
      <c r="I348" s="303">
        <f>data!CA90</f>
        <v>9794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5120.1113256839744</v>
      </c>
      <c r="E350" s="303">
        <f>data!BW92</f>
        <v>44289.618772176407</v>
      </c>
      <c r="F350" s="303">
        <f>data!BX92</f>
        <v>1768.6025638940737</v>
      </c>
      <c r="G350" s="303">
        <f>data!BY92</f>
        <v>1117.2846407738323</v>
      </c>
      <c r="H350" s="303">
        <f>data!BZ92</f>
        <v>623.35992006102583</v>
      </c>
      <c r="I350" s="303">
        <f>data!CA92</f>
        <v>3380.5022464439025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61964.34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5858.49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Harborview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5.3</v>
      </c>
      <c r="D362" s="294">
        <f>data!CC60</f>
        <v>77.31</v>
      </c>
      <c r="E362" s="309"/>
      <c r="F362" s="297"/>
      <c r="G362" s="297"/>
      <c r="H362" s="297"/>
      <c r="I362" s="310">
        <f>data!CE60</f>
        <v>4555.2300000000005</v>
      </c>
    </row>
    <row r="363" ht="20.1" customHeight="1">
      <c r="A363" s="279">
        <v>6</v>
      </c>
      <c r="B363" s="287" t="s">
        <v>263</v>
      </c>
      <c r="C363" s="306">
        <f>data!CB61</f>
        <v>729791.24</v>
      </c>
      <c r="D363" s="306">
        <f>data!CC61</f>
        <v>12941283.690000001</v>
      </c>
      <c r="E363" s="311"/>
      <c r="F363" s="311"/>
      <c r="G363" s="311"/>
      <c r="H363" s="311"/>
      <c r="I363" s="306">
        <f>data!CE61</f>
        <v>505259121.05000007</v>
      </c>
    </row>
    <row r="364" ht="20.1" customHeight="1">
      <c r="A364" s="279">
        <v>7</v>
      </c>
      <c r="B364" s="287" t="s">
        <v>11</v>
      </c>
      <c r="C364" s="306">
        <f>data!CB62</f>
        <v>217636</v>
      </c>
      <c r="D364" s="306">
        <f>data!CC62</f>
        <v>4705624</v>
      </c>
      <c r="E364" s="311"/>
      <c r="F364" s="311"/>
      <c r="G364" s="311"/>
      <c r="H364" s="311"/>
      <c r="I364" s="306">
        <f>data!CE62</f>
        <v>137010147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7097.99</v>
      </c>
      <c r="E365" s="311"/>
      <c r="F365" s="311"/>
      <c r="G365" s="311"/>
      <c r="H365" s="311"/>
      <c r="I365" s="306">
        <f>data!CE63</f>
        <v>40681388.9</v>
      </c>
    </row>
    <row r="366" ht="20.1" customHeight="1">
      <c r="A366" s="279">
        <v>9</v>
      </c>
      <c r="B366" s="287" t="s">
        <v>265</v>
      </c>
      <c r="C366" s="306">
        <f>data!CB64</f>
        <v>33909.45</v>
      </c>
      <c r="D366" s="306">
        <f>data!CC64</f>
        <v>-2882444.48</v>
      </c>
      <c r="E366" s="311"/>
      <c r="F366" s="311"/>
      <c r="G366" s="311"/>
      <c r="H366" s="311"/>
      <c r="I366" s="306">
        <f>data!CE64</f>
        <v>198833575.53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5138803.36</v>
      </c>
      <c r="E367" s="311"/>
      <c r="F367" s="311"/>
      <c r="G367" s="311"/>
      <c r="H367" s="311"/>
      <c r="I367" s="306">
        <f>data!CE65</f>
        <v>11059385.690000001</v>
      </c>
    </row>
    <row r="368" ht="20.1" customHeight="1">
      <c r="A368" s="279">
        <v>11</v>
      </c>
      <c r="B368" s="287" t="s">
        <v>525</v>
      </c>
      <c r="C368" s="306">
        <f>data!CB66</f>
        <v>36463.07</v>
      </c>
      <c r="D368" s="306">
        <f>data!CC66</f>
        <v>24553529.439999998</v>
      </c>
      <c r="E368" s="311"/>
      <c r="F368" s="311"/>
      <c r="G368" s="311"/>
      <c r="H368" s="311"/>
      <c r="I368" s="306">
        <f>data!CE66</f>
        <v>245312041.02000004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26280360</v>
      </c>
      <c r="E369" s="311"/>
      <c r="F369" s="311"/>
      <c r="G369" s="311"/>
      <c r="H369" s="311"/>
      <c r="I369" s="306">
        <f>data!CE67</f>
        <v>38719894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-2631235.6400000006</v>
      </c>
      <c r="E370" s="311"/>
      <c r="F370" s="311"/>
      <c r="G370" s="311"/>
      <c r="H370" s="311"/>
      <c r="I370" s="306">
        <f>data!CE68</f>
        <v>4035932.84</v>
      </c>
    </row>
    <row r="371" ht="20.1" customHeight="1">
      <c r="A371" s="279">
        <v>14</v>
      </c>
      <c r="B371" s="287" t="s">
        <v>1010</v>
      </c>
      <c r="C371" s="306">
        <f>data!CB69</f>
        <v>59172.96</v>
      </c>
      <c r="D371" s="306">
        <f>data!CC69</f>
        <v>6634381.5299999993</v>
      </c>
      <c r="E371" s="306">
        <f>data!CD69</f>
        <v>0</v>
      </c>
      <c r="F371" s="311"/>
      <c r="G371" s="311"/>
      <c r="H371" s="311"/>
      <c r="I371" s="306">
        <f>data!CE69</f>
        <v>98480145.339999989</v>
      </c>
    </row>
    <row r="372" ht="20.1" customHeight="1">
      <c r="A372" s="279">
        <v>15</v>
      </c>
      <c r="B372" s="287" t="s">
        <v>284</v>
      </c>
      <c r="C372" s="287">
        <f>-data!CB84</f>
        <v>-97711.66</v>
      </c>
      <c r="D372" s="287">
        <f>-data!CC84</f>
        <v>-14192231.17</v>
      </c>
      <c r="E372" s="287">
        <f>-data!CD84</f>
        <v>0</v>
      </c>
      <c r="F372" s="297"/>
      <c r="G372" s="297"/>
      <c r="H372" s="297"/>
      <c r="I372" s="287">
        <f>-data!CE84</f>
        <v>-87821125.339999989</v>
      </c>
    </row>
    <row r="373" ht="20.1" customHeight="1">
      <c r="A373" s="279">
        <v>16</v>
      </c>
      <c r="B373" s="295" t="s">
        <v>1011</v>
      </c>
      <c r="C373" s="306">
        <f>data!CB85</f>
        <v>979261.05999999994</v>
      </c>
      <c r="D373" s="306">
        <f>data!CC85</f>
        <v>60555168.72</v>
      </c>
      <c r="E373" s="306">
        <f>data!CD85</f>
        <v>0</v>
      </c>
      <c r="F373" s="311"/>
      <c r="G373" s="311"/>
      <c r="H373" s="311"/>
      <c r="I373" s="287">
        <f>data!CE85</f>
        <v>1103749380.6899998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2001889294.8300002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1087820016.8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3089709311.6300011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70548.75</v>
      </c>
      <c r="E380" s="297"/>
      <c r="F380" s="297"/>
      <c r="G380" s="297"/>
      <c r="H380" s="297"/>
      <c r="I380" s="287">
        <f>data!CE90</f>
        <v>1163874.75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848294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299353.27758904261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3640299.38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1352.1900000000003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76" transitionEvaluation="1" transitionEntry="1" codeName="Sheet12">
    <tabColor rgb="FF92D050"/>
    <pageSetUpPr autoPageBreaks="0" fitToPage="1"/>
  </sheetPr>
  <dimension ref="A1:CF717"/>
  <sheetViews>
    <sheetView topLeftCell="A76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321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4" t="s">
        <v>404</v>
      </c>
      <c r="C237" s="344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029</v>
      </c>
      <c r="C2" s="12" t="str">
        <f>SUBSTITUTE(LEFT(data!C98,49),",","")</f>
        <v>Harborview Medical Center</v>
      </c>
      <c r="D2" s="12" t="str">
        <f>LEFT(data!C99,49)</f>
        <v>325 Ninth Avenue</v>
      </c>
      <c r="E2" s="12" t="str">
        <f>RIGHT(data!C100,100)</f>
        <v>Seattle</v>
      </c>
      <c r="F2" s="12" t="str">
        <f>RIGHT(data!C101,100)</f>
        <v>WA</v>
      </c>
      <c r="G2" s="12" t="str">
        <f>RIGHT(data!C102,100)</f>
        <v>98104</v>
      </c>
      <c r="H2" s="12" t="str">
        <f>RIGHT(data!C103,100)</f>
        <v>King</v>
      </c>
      <c r="I2" s="12" t="str">
        <f>LEFT(data!C104,49)</f>
        <v>Sommer Kleweno-Walley</v>
      </c>
      <c r="J2" s="12" t="str">
        <f>LEFT(data!C105,49)</f>
        <v>Jacqueline Cabe</v>
      </c>
      <c r="K2" s="12" t="str">
        <f>LEFT(data!C107,49)</f>
        <v>206.744.3000</v>
      </c>
      <c r="L2" s="12" t="str">
        <f>LEFT(data!C107,49)</f>
        <v>206.744.3000</v>
      </c>
      <c r="M2" s="12" t="str">
        <f>LEFT(data!C109,49)</f>
        <v>Brandon Wong</v>
      </c>
      <c r="N2" s="12" t="str">
        <f>LEFT(data!C110,49)</f>
        <v>branwong@uw.edu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029</v>
      </c>
      <c r="B2" s="224" t="str">
        <f>RIGHT(data!C96,4)</f>
        <v>2022</v>
      </c>
      <c r="C2" s="16" t="s">
        <v>1169</v>
      </c>
      <c r="D2" s="223">
        <f>ROUND(data!C181,0)</f>
        <v>29317597</v>
      </c>
      <c r="E2" s="223">
        <f>ROUND(data!C182,0)</f>
        <v>803787</v>
      </c>
      <c r="F2" s="223">
        <f>ROUND(data!C183,0)</f>
        <v>2536144</v>
      </c>
      <c r="G2" s="223">
        <f>ROUND(data!C184,0)</f>
        <v>62906510</v>
      </c>
      <c r="H2" s="223">
        <f>ROUND(data!C185,0)</f>
        <v>0</v>
      </c>
      <c r="I2" s="223">
        <f>ROUND(data!C186,0)</f>
        <v>39313205</v>
      </c>
      <c r="J2" s="223">
        <f>ROUND(data!C187+data!C188,0)</f>
        <v>2132906</v>
      </c>
      <c r="K2" s="223">
        <f>ROUND(data!C191,0)</f>
        <v>-332684</v>
      </c>
      <c r="L2" s="223">
        <f>ROUND(data!C192,0)</f>
        <v>4368617</v>
      </c>
      <c r="M2" s="223">
        <f>ROUND(data!C195,0)</f>
        <v>5838281</v>
      </c>
      <c r="N2" s="223">
        <f>ROUND(data!C196,0)</f>
        <v>1745732</v>
      </c>
      <c r="O2" s="223">
        <f>ROUND(data!C199,0)</f>
        <v>2751226</v>
      </c>
      <c r="P2" s="223">
        <f>ROUND(data!C200,0)</f>
        <v>-987171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2432000</v>
      </c>
      <c r="U2" s="223">
        <f>ROUND(data!C211,0)</f>
        <v>0</v>
      </c>
      <c r="V2" s="223">
        <f>ROUND(data!D211,0)</f>
        <v>0</v>
      </c>
      <c r="W2" s="223">
        <f>ROUND(data!B212,0)</f>
        <v>7378000</v>
      </c>
      <c r="X2" s="223">
        <f>ROUND(data!C212,0)</f>
        <v>0</v>
      </c>
      <c r="Y2" s="223">
        <f>ROUND(data!D212,0)</f>
        <v>0</v>
      </c>
      <c r="Z2" s="223">
        <f>ROUND(data!B213,0)</f>
        <v>448580110</v>
      </c>
      <c r="AA2" s="223">
        <f>ROUND(data!C213,0)</f>
        <v>10663000</v>
      </c>
      <c r="AB2" s="223">
        <f>ROUND(data!D213,0)</f>
        <v>0</v>
      </c>
      <c r="AC2" s="223">
        <f>ROUND(data!B214,0)</f>
        <v>128340792</v>
      </c>
      <c r="AD2" s="223">
        <f>ROUND(data!C214,0)</f>
        <v>0</v>
      </c>
      <c r="AE2" s="223">
        <f>ROUND(data!D214,0)</f>
        <v>4176000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190056000</v>
      </c>
      <c r="AJ2" s="223">
        <f>ROUND(data!C216,0)</f>
        <v>11189000</v>
      </c>
      <c r="AK2" s="223">
        <f>ROUND(data!D216,0)</f>
        <v>2308000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13854000</v>
      </c>
      <c r="AP2" s="223">
        <f>ROUND(data!C218,0)</f>
        <v>304000</v>
      </c>
      <c r="AQ2" s="223">
        <f>ROUND(data!D218,0)</f>
        <v>0</v>
      </c>
      <c r="AR2" s="223">
        <f>ROUND(data!B219,0)</f>
        <v>5792413</v>
      </c>
      <c r="AS2" s="223">
        <f>ROUND(data!C219,0)</f>
        <v>13520000</v>
      </c>
      <c r="AT2" s="223">
        <f>ROUND(data!D219,0)</f>
        <v>6791000</v>
      </c>
      <c r="AU2" s="223">
        <v>0</v>
      </c>
      <c r="AV2" s="223">
        <v>0</v>
      </c>
      <c r="AW2" s="223">
        <v>0</v>
      </c>
      <c r="AX2" s="223">
        <f>ROUND(data!B225,0)</f>
        <v>4677000</v>
      </c>
      <c r="AY2" s="223">
        <f>ROUND(data!C225,0)</f>
        <v>295000</v>
      </c>
      <c r="AZ2" s="223">
        <f>ROUND(data!D225,0)</f>
        <v>0</v>
      </c>
      <c r="BA2" s="223">
        <f>ROUND(data!B226,0)</f>
        <v>242913000</v>
      </c>
      <c r="BB2" s="223">
        <f>ROUND(data!C226,0)</f>
        <v>15161000</v>
      </c>
      <c r="BC2" s="223">
        <f>ROUND(data!D226,0)</f>
        <v>0</v>
      </c>
      <c r="BD2" s="223">
        <f>ROUND(data!B227,0)</f>
        <v>117959000</v>
      </c>
      <c r="BE2" s="223">
        <f>ROUND(data!C227,0)</f>
        <v>-1069000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154127000</v>
      </c>
      <c r="BK2" s="223">
        <f>ROUND(data!C229,0)</f>
        <v>11625000</v>
      </c>
      <c r="BL2" s="223">
        <f>ROUND(data!D229,0)</f>
        <v>2308000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7863000</v>
      </c>
      <c r="BQ2" s="223">
        <f>ROUND(data!C231,0)</f>
        <v>851000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722354288</v>
      </c>
      <c r="BW2" s="223">
        <f>ROUND(data!C240,0)</f>
        <v>721256191</v>
      </c>
      <c r="BX2" s="223">
        <f>ROUND(data!C241,0)</f>
        <v>417324908</v>
      </c>
      <c r="BY2" s="223">
        <f>ROUND(data!C242,0)</f>
        <v>25903345</v>
      </c>
      <c r="BZ2" s="223">
        <f>ROUND(data!C243,0)</f>
        <v>0</v>
      </c>
      <c r="CA2" s="223">
        <f>ROUND(data!C244,0)</f>
        <v>-54761130</v>
      </c>
      <c r="CB2" s="223">
        <f>ROUND(data!C247,0)</f>
        <v>9828</v>
      </c>
      <c r="CC2" s="223">
        <f>ROUND(data!C249,0)</f>
        <v>55675239</v>
      </c>
      <c r="CD2" s="223">
        <f>ROUND(data!C250,0)</f>
        <v>71105024</v>
      </c>
      <c r="CE2" s="223">
        <f>ROUND(data!C254+data!C255,0)</f>
        <v>0</v>
      </c>
      <c r="CF2" s="223">
        <f>data!D237</f>
        <v>46108339.939880587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029</v>
      </c>
      <c r="B2" s="16" t="str">
        <f>RIGHT(data!C96,4)</f>
        <v>2022</v>
      </c>
      <c r="C2" s="16" t="s">
        <v>1169</v>
      </c>
      <c r="D2" s="222">
        <f>ROUND(data!C127,0)</f>
        <v>15180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167573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89</v>
      </c>
      <c r="M2" s="222">
        <f>ROUND(data!C133,0)</f>
        <v>228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28</v>
      </c>
      <c r="R2" s="222">
        <f>ROUND(data!C138,0)</f>
        <v>68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413</v>
      </c>
      <c r="X2" s="222">
        <f>ROUND(data!C145,0)</f>
        <v>0</v>
      </c>
      <c r="Y2" s="222">
        <f>ROUND(data!B154,0)</f>
        <v>5319</v>
      </c>
      <c r="Z2" s="222">
        <f>ROUND(data!B155,0)</f>
        <v>59634</v>
      </c>
      <c r="AA2" s="222">
        <f>ROUND(data!B156,0)</f>
        <v>130614</v>
      </c>
      <c r="AB2" s="222">
        <f>ROUND(data!B157,0)</f>
        <v>670291401</v>
      </c>
      <c r="AC2" s="222">
        <f>ROUND(data!B158,0)</f>
        <v>305784145</v>
      </c>
      <c r="AD2" s="222">
        <f>ROUND(data!C154,0)</f>
        <v>5480</v>
      </c>
      <c r="AE2" s="222">
        <f>ROUND(data!C155,0)</f>
        <v>66624</v>
      </c>
      <c r="AF2" s="222">
        <f>ROUND(data!C156,0)</f>
        <v>119124</v>
      </c>
      <c r="AG2" s="222">
        <f>ROUND(data!C157,0)</f>
        <v>732490416</v>
      </c>
      <c r="AH2" s="222">
        <f>ROUND(data!C158,0)</f>
        <v>307250839</v>
      </c>
      <c r="AI2" s="222">
        <f>ROUND(data!D154,0)</f>
        <v>4381</v>
      </c>
      <c r="AJ2" s="222">
        <f>ROUND(data!D155,0)</f>
        <v>41315</v>
      </c>
      <c r="AK2" s="222">
        <f>ROUND(data!D156,0)</f>
        <v>61689</v>
      </c>
      <c r="AL2" s="222">
        <f>ROUND(data!D157,0)</f>
        <v>599107478</v>
      </c>
      <c r="AM2" s="222">
        <f>ROUND(data!D158,0)</f>
        <v>474785033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029</v>
      </c>
      <c r="B2" s="224" t="str">
        <f>RIGHT(data!C96,4)</f>
        <v>2022</v>
      </c>
      <c r="C2" s="16" t="s">
        <v>1169</v>
      </c>
      <c r="D2" s="222">
        <f>ROUND(data!C266,0)</f>
        <v>250093646</v>
      </c>
      <c r="E2" s="222">
        <f>ROUND(data!C267,0)</f>
        <v>0</v>
      </c>
      <c r="F2" s="222">
        <f>ROUND(data!C268,0)</f>
        <v>193384564</v>
      </c>
      <c r="G2" s="222">
        <f>ROUND(data!C269,0)</f>
        <v>0</v>
      </c>
      <c r="H2" s="222">
        <f>ROUND(data!C270,0)</f>
        <v>34256697</v>
      </c>
      <c r="I2" s="222">
        <f>ROUND(data!C271,0)</f>
        <v>29639042</v>
      </c>
      <c r="J2" s="222">
        <f>ROUND(data!C272,0)</f>
        <v>0</v>
      </c>
      <c r="K2" s="222">
        <f>ROUND(data!C273,0)</f>
        <v>10714527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268044700</v>
      </c>
      <c r="Q2" s="222">
        <f>ROUND(data!C283,0)</f>
        <v>2432000</v>
      </c>
      <c r="R2" s="222">
        <f>ROUND(data!C284,0)</f>
        <v>7378000</v>
      </c>
      <c r="S2" s="222">
        <f>ROUND(data!C285,0)</f>
        <v>459243110</v>
      </c>
      <c r="T2" s="222">
        <f>ROUND(data!C286,0)</f>
        <v>124164792</v>
      </c>
      <c r="U2" s="222">
        <f>ROUND(data!C287,0)</f>
        <v>0</v>
      </c>
      <c r="V2" s="222">
        <f>ROUND(data!C288,0)</f>
        <v>198937000</v>
      </c>
      <c r="W2" s="222">
        <f>ROUND(data!C289,0)</f>
        <v>14158000</v>
      </c>
      <c r="X2" s="222">
        <f>ROUND(data!C290,0)</f>
        <v>12521413</v>
      </c>
      <c r="Y2" s="222">
        <f>ROUND(data!C291,0)</f>
        <v>0</v>
      </c>
      <c r="Z2" s="222">
        <f>ROUND(data!C292,0)</f>
        <v>552094509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62708148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44308321</v>
      </c>
      <c r="AK2" s="222">
        <f>ROUND(data!C316,0)</f>
        <v>61456197</v>
      </c>
      <c r="AL2" s="222">
        <f>ROUND(data!C317,0)</f>
        <v>0</v>
      </c>
      <c r="AM2" s="222">
        <f>ROUND(data!C318,0)</f>
        <v>16031613</v>
      </c>
      <c r="AN2" s="222">
        <f>ROUND(data!C319,0)</f>
        <v>34017074</v>
      </c>
      <c r="AO2" s="222">
        <f>ROUND(data!C320,0)</f>
        <v>0</v>
      </c>
      <c r="AP2" s="222">
        <f>ROUND(data!C321,0)</f>
        <v>0</v>
      </c>
      <c r="AQ2" s="222">
        <f>ROUND(data!C322,0)</f>
        <v>15427354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36914731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19151614</v>
      </c>
      <c r="BB2" s="222">
        <f>ROUND(data!C337,0)</f>
        <v>0</v>
      </c>
      <c r="BC2" s="222">
        <f>ROUND(data!C338,0)</f>
        <v>156440207</v>
      </c>
      <c r="BD2" s="222">
        <f>ROUND(data!C339,0)</f>
        <v>0</v>
      </c>
      <c r="BE2" s="222">
        <f>ROUND(data!C343,0)</f>
        <v>731834019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4555.23</v>
      </c>
      <c r="BL2" s="222">
        <f>ROUND(data!C358,0)</f>
        <v>2001889295</v>
      </c>
      <c r="BM2" s="222">
        <f>ROUND(data!C359,0)</f>
        <v>1087820019</v>
      </c>
      <c r="BN2" s="222">
        <f>ROUND(data!C363,0)</f>
        <v>1832077603</v>
      </c>
      <c r="BO2" s="222">
        <f>ROUND(data!C364,0)</f>
        <v>126780263</v>
      </c>
      <c r="BP2" s="222">
        <f>ROUND(data!C365,0)</f>
        <v>0</v>
      </c>
      <c r="BQ2" s="222">
        <f>ROUND(data!D381,0)</f>
        <v>87821123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87821123</v>
      </c>
      <c r="CC2" s="222">
        <f>ROUND(data!C382,0)</f>
        <v>0</v>
      </c>
      <c r="CD2" s="222">
        <f>ROUND(data!C389,0)</f>
        <v>505259121</v>
      </c>
      <c r="CE2" s="222">
        <f>ROUND(data!C390,0)</f>
        <v>137010148</v>
      </c>
      <c r="CF2" s="222">
        <f>ROUND(data!C391,0)</f>
        <v>40681390</v>
      </c>
      <c r="CG2" s="222">
        <f>ROUND(data!C392,0)</f>
        <v>198833579</v>
      </c>
      <c r="CH2" s="222">
        <f>ROUND(data!C393,0)</f>
        <v>11059387</v>
      </c>
      <c r="CI2" s="222">
        <f>ROUND(data!C394,0)</f>
        <v>245312114</v>
      </c>
      <c r="CJ2" s="222">
        <f>ROUND(data!C395,0)</f>
        <v>38719892</v>
      </c>
      <c r="CK2" s="222">
        <f>ROUND(data!C396,0)</f>
        <v>4035933</v>
      </c>
      <c r="CL2" s="222">
        <f>ROUND(data!C397,0)</f>
        <v>7584013</v>
      </c>
      <c r="CM2" s="222">
        <f>ROUND(data!C398,0)</f>
        <v>1764055</v>
      </c>
      <c r="CN2" s="222">
        <f>ROUND(data!C399,0)</f>
        <v>0</v>
      </c>
      <c r="CO2" s="222">
        <f>ROUND(data!C362,0)</f>
        <v>46108340</v>
      </c>
      <c r="CP2" s="222">
        <f>ROUND(data!D415,0)</f>
        <v>1310951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1310951</v>
      </c>
      <c r="DE2" s="65">
        <f>ROUND(data!C419,0)</f>
        <v>0</v>
      </c>
      <c r="DF2" s="222">
        <f>ROUND(data!D420,0)</f>
        <v>15125581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029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29553</v>
      </c>
      <c r="F2" s="212">
        <f>ROUND(data!C60,2)</f>
        <v>334.25</v>
      </c>
      <c r="G2" s="222">
        <f>ROUND(data!C61,0)</f>
        <v>50337312</v>
      </c>
      <c r="H2" s="222">
        <f>ROUND(data!C62,0)</f>
        <v>9803110</v>
      </c>
      <c r="I2" s="222">
        <f>ROUND(data!C63,0)</f>
        <v>0</v>
      </c>
      <c r="J2" s="222">
        <f>ROUND(data!C64,0)</f>
        <v>6023257</v>
      </c>
      <c r="K2" s="222">
        <f>ROUND(data!C65,0)</f>
        <v>573</v>
      </c>
      <c r="L2" s="222">
        <f>ROUND(data!C66,0)</f>
        <v>602745</v>
      </c>
      <c r="M2" s="66">
        <f>ROUND(data!C67,0)</f>
        <v>454267</v>
      </c>
      <c r="N2" s="222">
        <f>ROUND(data!C68,0)</f>
        <v>1565</v>
      </c>
      <c r="O2" s="222">
        <f>ROUND(data!C69,0)</f>
        <v>61601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61601</v>
      </c>
      <c r="AD2" s="222">
        <f>ROUND(data!C84,0)</f>
        <v>3736</v>
      </c>
      <c r="AE2" s="222">
        <f>ROUND(data!C89,0)</f>
        <v>207731956</v>
      </c>
      <c r="AF2" s="222">
        <f>ROUND(data!C87,0)</f>
        <v>206209643</v>
      </c>
      <c r="AG2" s="222">
        <f>IF(data!C90&gt;0,ROUND(data!C90,0),0)</f>
        <v>44523</v>
      </c>
      <c r="AH2" s="222">
        <f>IF(data!C91&gt;0,ROUND(data!C91,0),0)</f>
        <v>158897</v>
      </c>
      <c r="AI2" s="222">
        <f>IF(data!C92&gt;0,ROUND(data!C92,0),0)</f>
        <v>15327</v>
      </c>
      <c r="AJ2" s="222">
        <f>IF(data!C93&gt;0,ROUND(data!C93,0),0)</f>
        <v>599982</v>
      </c>
      <c r="AK2" s="212">
        <f>IF(data!C94&gt;0,ROUND(data!C94,2),0)</f>
        <v>294.03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029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102307</v>
      </c>
      <c r="F3" s="212">
        <f>ROUND(data!D60,2)</f>
        <v>673.6</v>
      </c>
      <c r="G3" s="222">
        <f>ROUND(data!D61,0)</f>
        <v>79621798</v>
      </c>
      <c r="H3" s="222">
        <f>ROUND(data!D62,0)</f>
        <v>16673067</v>
      </c>
      <c r="I3" s="222">
        <f>ROUND(data!D63,0)</f>
        <v>665</v>
      </c>
      <c r="J3" s="222">
        <f>ROUND(data!D64,0)</f>
        <v>5770567</v>
      </c>
      <c r="K3" s="222">
        <f>ROUND(data!D65,0)</f>
        <v>41</v>
      </c>
      <c r="L3" s="222">
        <f>ROUND(data!D66,0)</f>
        <v>735432</v>
      </c>
      <c r="M3" s="66">
        <f>ROUND(data!D67,0)</f>
        <v>276725</v>
      </c>
      <c r="N3" s="222">
        <f>ROUND(data!D68,0)</f>
        <v>145</v>
      </c>
      <c r="O3" s="222">
        <f>ROUND(data!D69,0)</f>
        <v>254263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254263</v>
      </c>
      <c r="AD3" s="222">
        <f>ROUND(data!D84,0)</f>
        <v>4584</v>
      </c>
      <c r="AE3" s="222">
        <f>ROUND(data!D89,0)</f>
        <v>326605674</v>
      </c>
      <c r="AF3" s="222">
        <f>ROUND(data!D87,0)</f>
        <v>309885322</v>
      </c>
      <c r="AG3" s="222">
        <f>IF(data!D90&gt;0,ROUND(data!D90,0),0)</f>
        <v>82549</v>
      </c>
      <c r="AH3" s="222">
        <f>IF(data!D91&gt;0,ROUND(data!D91,0),0)</f>
        <v>493140</v>
      </c>
      <c r="AI3" s="222">
        <f>IF(data!D92&gt;0,ROUND(data!D92,0),0)</f>
        <v>28177</v>
      </c>
      <c r="AJ3" s="222">
        <f>IF(data!D93&gt;0,ROUND(data!D93,0),0)</f>
        <v>731273</v>
      </c>
      <c r="AK3" s="212">
        <f>IF(data!D94&gt;0,ROUND(data!D94,2),0)</f>
        <v>453.83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029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2008</v>
      </c>
      <c r="F4" s="212">
        <f>ROUND(data!E60,2)</f>
        <v>2.28</v>
      </c>
      <c r="G4" s="222">
        <f>ROUND(data!E61,0)</f>
        <v>254509</v>
      </c>
      <c r="H4" s="222">
        <f>ROUND(data!E62,0)</f>
        <v>62587</v>
      </c>
      <c r="I4" s="222">
        <f>ROUND(data!E63,0)</f>
        <v>0</v>
      </c>
      <c r="J4" s="222">
        <f>ROUND(data!E64,0)</f>
        <v>19252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5656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5656</v>
      </c>
      <c r="AD4" s="222">
        <f>ROUND(data!E84,0)</f>
        <v>0</v>
      </c>
      <c r="AE4" s="222">
        <f>ROUND(data!E89,0)</f>
        <v>6646414</v>
      </c>
      <c r="AF4" s="222">
        <f>ROUND(data!E87,0)</f>
        <v>5899932</v>
      </c>
      <c r="AG4" s="222">
        <f>IF(data!E90&gt;0,ROUND(data!E90,0),0)</f>
        <v>0</v>
      </c>
      <c r="AH4" s="222">
        <f>IF(data!E91&gt;0,ROUND(data!E91,0),0)</f>
        <v>9676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1.48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029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029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10575</v>
      </c>
      <c r="F6" s="212">
        <f>ROUND(data!G60,2)</f>
        <v>60.43</v>
      </c>
      <c r="G6" s="222">
        <f>ROUND(data!G61,0)</f>
        <v>7859095</v>
      </c>
      <c r="H6" s="222">
        <f>ROUND(data!G62,0)</f>
        <v>1799542</v>
      </c>
      <c r="I6" s="222">
        <f>ROUND(data!G63,0)</f>
        <v>0</v>
      </c>
      <c r="J6" s="222">
        <f>ROUND(data!G64,0)</f>
        <v>447073</v>
      </c>
      <c r="K6" s="222">
        <f>ROUND(data!G65,0)</f>
        <v>34</v>
      </c>
      <c r="L6" s="222">
        <f>ROUND(data!G66,0)</f>
        <v>90213</v>
      </c>
      <c r="M6" s="66">
        <f>ROUND(data!G67,0)</f>
        <v>26737</v>
      </c>
      <c r="N6" s="222">
        <f>ROUND(data!G68,0)</f>
        <v>81</v>
      </c>
      <c r="O6" s="222">
        <f>ROUND(data!G69,0)</f>
        <v>19851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19851</v>
      </c>
      <c r="AD6" s="222">
        <f>ROUND(data!G84,0)</f>
        <v>14434</v>
      </c>
      <c r="AE6" s="222">
        <f>ROUND(data!G89,0)</f>
        <v>35434313</v>
      </c>
      <c r="AF6" s="222">
        <f>ROUND(data!G87,0)</f>
        <v>35359417</v>
      </c>
      <c r="AG6" s="222">
        <f>IF(data!G90&gt;0,ROUND(data!G90,0),0)</f>
        <v>12696</v>
      </c>
      <c r="AH6" s="222">
        <f>IF(data!G91&gt;0,ROUND(data!G91,0),0)</f>
        <v>55070</v>
      </c>
      <c r="AI6" s="222">
        <f>IF(data!G92&gt;0,ROUND(data!G92,0),0)</f>
        <v>4309</v>
      </c>
      <c r="AJ6" s="222">
        <f>IF(data!G93&gt;0,ROUND(data!G93,0),0)</f>
        <v>85003</v>
      </c>
      <c r="AK6" s="212">
        <f>IF(data!G94&gt;0,ROUND(data!G94,2),0)</f>
        <v>41.43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029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23130</v>
      </c>
      <c r="F7" s="212">
        <f>ROUND(data!H60,2)</f>
        <v>129.24</v>
      </c>
      <c r="G7" s="222">
        <f>ROUND(data!H61,0)</f>
        <v>12376657</v>
      </c>
      <c r="H7" s="222">
        <f>ROUND(data!H62,0)</f>
        <v>3619955</v>
      </c>
      <c r="I7" s="222">
        <f>ROUND(data!H63,0)</f>
        <v>0</v>
      </c>
      <c r="J7" s="222">
        <f>ROUND(data!H64,0)</f>
        <v>248520</v>
      </c>
      <c r="K7" s="222">
        <f>ROUND(data!H65,0)</f>
        <v>41</v>
      </c>
      <c r="L7" s="222">
        <f>ROUND(data!H66,0)</f>
        <v>121282</v>
      </c>
      <c r="M7" s="66">
        <f>ROUND(data!H67,0)</f>
        <v>63726</v>
      </c>
      <c r="N7" s="222">
        <f>ROUND(data!H68,0)</f>
        <v>168</v>
      </c>
      <c r="O7" s="222">
        <f>ROUND(data!H69,0)</f>
        <v>111934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111934</v>
      </c>
      <c r="AD7" s="222">
        <f>ROUND(data!H84,0)</f>
        <v>4295</v>
      </c>
      <c r="AE7" s="222">
        <f>ROUND(data!H89,0)</f>
        <v>69415799</v>
      </c>
      <c r="AF7" s="222">
        <f>ROUND(data!H87,0)</f>
        <v>69092008</v>
      </c>
      <c r="AG7" s="222">
        <f>IF(data!H90&gt;0,ROUND(data!H90,0),0)</f>
        <v>22122</v>
      </c>
      <c r="AH7" s="222">
        <f>IF(data!H91&gt;0,ROUND(data!H91,0),0)</f>
        <v>131499</v>
      </c>
      <c r="AI7" s="222">
        <f>IF(data!H92&gt;0,ROUND(data!H92,0),0)</f>
        <v>7505</v>
      </c>
      <c r="AJ7" s="222">
        <f>IF(data!H93&gt;0,ROUND(data!H93,0),0)</f>
        <v>119060</v>
      </c>
      <c r="AK7" s="212">
        <f>IF(data!H94&gt;0,ROUND(data!H94,2),0)</f>
        <v>70.5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029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029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029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029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029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029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0.01</v>
      </c>
      <c r="G13" s="222">
        <f>ROUND(data!N61,0)</f>
        <v>453</v>
      </c>
      <c r="H13" s="222">
        <f>ROUND(data!N62,0)</f>
        <v>162</v>
      </c>
      <c r="I13" s="222">
        <f>ROUND(data!N63,0)</f>
        <v>0</v>
      </c>
      <c r="J13" s="222">
        <f>ROUND(data!N64,0)</f>
        <v>42049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1729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029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029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3057453</v>
      </c>
      <c r="F15" s="212">
        <f>ROUND(data!P60,2)</f>
        <v>207.37</v>
      </c>
      <c r="G15" s="222">
        <f>ROUND(data!P61,0)</f>
        <v>21131869</v>
      </c>
      <c r="H15" s="222">
        <f>ROUND(data!P62,0)</f>
        <v>5733392</v>
      </c>
      <c r="I15" s="222">
        <f>ROUND(data!P63,0)</f>
        <v>0</v>
      </c>
      <c r="J15" s="222">
        <f>ROUND(data!P64,0)</f>
        <v>49383569</v>
      </c>
      <c r="K15" s="222">
        <f>ROUND(data!P65,0)</f>
        <v>0</v>
      </c>
      <c r="L15" s="222">
        <f>ROUND(data!P66,0)</f>
        <v>1340049</v>
      </c>
      <c r="M15" s="66">
        <f>ROUND(data!P67,0)</f>
        <v>2739600</v>
      </c>
      <c r="N15" s="222">
        <f>ROUND(data!P68,0)</f>
        <v>30429</v>
      </c>
      <c r="O15" s="222">
        <f>ROUND(data!P69,0)</f>
        <v>22025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22025</v>
      </c>
      <c r="AD15" s="222">
        <f>ROUND(data!P84,0)</f>
        <v>9258</v>
      </c>
      <c r="AE15" s="222">
        <f>ROUND(data!P89,0)</f>
        <v>671063817</v>
      </c>
      <c r="AF15" s="222">
        <f>ROUND(data!P87,0)</f>
        <v>508215628</v>
      </c>
      <c r="AG15" s="222">
        <f>IF(data!P90&gt;0,ROUND(data!P90,0),0)</f>
        <v>39214</v>
      </c>
      <c r="AH15" s="222">
        <f>IF(data!P91&gt;0,ROUND(data!P91,0),0)</f>
        <v>0</v>
      </c>
      <c r="AI15" s="222">
        <f>IF(data!P92&gt;0,ROUND(data!P92,0),0)</f>
        <v>13528</v>
      </c>
      <c r="AJ15" s="222">
        <f>IF(data!P93&gt;0,ROUND(data!P93,0),0)</f>
        <v>1055913</v>
      </c>
      <c r="AK15" s="212">
        <f>IF(data!P94&gt;0,ROUND(data!P94,2),0)</f>
        <v>107.2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029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1196361</v>
      </c>
      <c r="F16" s="212">
        <f>ROUND(data!Q60,2)</f>
        <v>70.18</v>
      </c>
      <c r="G16" s="222">
        <f>ROUND(data!Q61,0)</f>
        <v>8645966</v>
      </c>
      <c r="H16" s="222">
        <f>ROUND(data!Q62,0)</f>
        <v>2641651</v>
      </c>
      <c r="I16" s="222">
        <f>ROUND(data!Q63,0)</f>
        <v>0</v>
      </c>
      <c r="J16" s="222">
        <f>ROUND(data!Q64,0)</f>
        <v>758722</v>
      </c>
      <c r="K16" s="222">
        <f>ROUND(data!Q65,0)</f>
        <v>77</v>
      </c>
      <c r="L16" s="222">
        <f>ROUND(data!Q66,0)</f>
        <v>111009</v>
      </c>
      <c r="M16" s="66">
        <f>ROUND(data!Q67,0)</f>
        <v>43811</v>
      </c>
      <c r="N16" s="222">
        <f>ROUND(data!Q68,0)</f>
        <v>0</v>
      </c>
      <c r="O16" s="222">
        <f>ROUND(data!Q69,0)</f>
        <v>25101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25101</v>
      </c>
      <c r="AD16" s="222">
        <f>ROUND(data!Q84,0)</f>
        <v>0</v>
      </c>
      <c r="AE16" s="222">
        <f>ROUND(data!Q89,0)</f>
        <v>21876192</v>
      </c>
      <c r="AF16" s="222">
        <f>ROUND(data!Q87,0)</f>
        <v>11315250</v>
      </c>
      <c r="AG16" s="222">
        <f>IF(data!Q90&gt;0,ROUND(data!Q90,0),0)</f>
        <v>8185</v>
      </c>
      <c r="AH16" s="222">
        <f>IF(data!Q91&gt;0,ROUND(data!Q91,0),0)</f>
        <v>0</v>
      </c>
      <c r="AI16" s="222">
        <f>IF(data!Q92&gt;0,ROUND(data!Q92,0),0)</f>
        <v>2825</v>
      </c>
      <c r="AJ16" s="222">
        <f>IF(data!Q93&gt;0,ROUND(data!Q93,0),0)</f>
        <v>109640</v>
      </c>
      <c r="AK16" s="212">
        <f>IF(data!Q94&gt;0,ROUND(data!Q94,2),0)</f>
        <v>58.16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029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7000254</v>
      </c>
      <c r="F17" s="212">
        <f>ROUND(data!R60,2)</f>
        <v>61.06</v>
      </c>
      <c r="G17" s="222">
        <f>ROUND(data!R61,0)</f>
        <v>10402408</v>
      </c>
      <c r="H17" s="222">
        <f>ROUND(data!R62,0)</f>
        <v>3017715</v>
      </c>
      <c r="I17" s="222">
        <f>ROUND(data!R63,0)</f>
        <v>0</v>
      </c>
      <c r="J17" s="222">
        <f>ROUND(data!R64,0)</f>
        <v>2509311</v>
      </c>
      <c r="K17" s="222">
        <f>ROUND(data!R65,0)</f>
        <v>46</v>
      </c>
      <c r="L17" s="222">
        <f>ROUND(data!R66,0)</f>
        <v>25830</v>
      </c>
      <c r="M17" s="66">
        <f>ROUND(data!R67,0)</f>
        <v>174773</v>
      </c>
      <c r="N17" s="222">
        <f>ROUND(data!R68,0)</f>
        <v>109274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101062417</v>
      </c>
      <c r="AF17" s="222">
        <f>ROUND(data!R87,0)</f>
        <v>48647836</v>
      </c>
      <c r="AG17" s="222">
        <f>IF(data!R90&gt;0,ROUND(data!R90,0),0)</f>
        <v>6168</v>
      </c>
      <c r="AH17" s="222">
        <f>IF(data!R91&gt;0,ROUND(data!R91,0),0)</f>
        <v>0</v>
      </c>
      <c r="AI17" s="222">
        <f>IF(data!R92&gt;0,ROUND(data!R92,0),0)</f>
        <v>2129</v>
      </c>
      <c r="AJ17" s="222">
        <f>IF(data!R93&gt;0,ROUND(data!R93,0),0)</f>
        <v>25737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029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57.25</v>
      </c>
      <c r="G18" s="222">
        <f>ROUND(data!S61,0)</f>
        <v>3744440</v>
      </c>
      <c r="H18" s="222">
        <f>ROUND(data!S62,0)</f>
        <v>1031375</v>
      </c>
      <c r="I18" s="222">
        <f>ROUND(data!S63,0)</f>
        <v>0</v>
      </c>
      <c r="J18" s="222">
        <f>ROUND(data!S64,0)</f>
        <v>2421363</v>
      </c>
      <c r="K18" s="222">
        <f>ROUND(data!S65,0)</f>
        <v>10281</v>
      </c>
      <c r="L18" s="222">
        <f>ROUND(data!S66,0)</f>
        <v>3677685</v>
      </c>
      <c r="M18" s="66">
        <f>ROUND(data!S67,0)</f>
        <v>195482</v>
      </c>
      <c r="N18" s="222">
        <f>ROUND(data!S68,0)</f>
        <v>2261636</v>
      </c>
      <c r="O18" s="222">
        <f>ROUND(data!S69,0)</f>
        <v>1132211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1132211</v>
      </c>
      <c r="AD18" s="222">
        <f>ROUND(data!S84,0)</f>
        <v>1318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24528</v>
      </c>
      <c r="AH18" s="222">
        <f>IF(data!S91&gt;0,ROUND(data!S91,0),0)</f>
        <v>0</v>
      </c>
      <c r="AI18" s="222">
        <f>IF(data!S92&gt;0,ROUND(data!S92,0),0)</f>
        <v>8466</v>
      </c>
      <c r="AJ18" s="222">
        <f>IF(data!S93&gt;0,ROUND(data!S93,0),0)</f>
        <v>53789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029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029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1811031</v>
      </c>
      <c r="F20" s="212">
        <f>ROUND(data!U60,2)</f>
        <v>149.31</v>
      </c>
      <c r="G20" s="222">
        <f>ROUND(data!U61,0)</f>
        <v>11844670</v>
      </c>
      <c r="H20" s="222">
        <f>ROUND(data!U62,0)</f>
        <v>3948315</v>
      </c>
      <c r="I20" s="222">
        <f>ROUND(data!U63,0)</f>
        <v>0</v>
      </c>
      <c r="J20" s="222">
        <f>ROUND(data!U64,0)</f>
        <v>6958033</v>
      </c>
      <c r="K20" s="222">
        <f>ROUND(data!U65,0)</f>
        <v>1733</v>
      </c>
      <c r="L20" s="222">
        <f>ROUND(data!U66,0)</f>
        <v>11610862</v>
      </c>
      <c r="M20" s="66">
        <f>ROUND(data!U67,0)</f>
        <v>411533</v>
      </c>
      <c r="N20" s="222">
        <f>ROUND(data!U68,0)</f>
        <v>8298</v>
      </c>
      <c r="O20" s="222">
        <f>ROUND(data!U69,0)</f>
        <v>112923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112923</v>
      </c>
      <c r="AD20" s="222">
        <f>ROUND(data!U84,0)</f>
        <v>54717</v>
      </c>
      <c r="AE20" s="222">
        <f>ROUND(data!U89,0)</f>
        <v>216516128</v>
      </c>
      <c r="AF20" s="222">
        <f>ROUND(data!U87,0)</f>
        <v>126858289</v>
      </c>
      <c r="AG20" s="222">
        <f>IF(data!U90&gt;0,ROUND(data!U90,0),0)</f>
        <v>39663</v>
      </c>
      <c r="AH20" s="222">
        <f>IF(data!U91&gt;0,ROUND(data!U91,0),0)</f>
        <v>0</v>
      </c>
      <c r="AI20" s="222">
        <f>IF(data!U92&gt;0,ROUND(data!U92,0),0)</f>
        <v>13690</v>
      </c>
      <c r="AJ20" s="222">
        <f>IF(data!U93&gt;0,ROUND(data!U93,0),0)</f>
        <v>2847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029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63709</v>
      </c>
      <c r="F21" s="212">
        <f>ROUND(data!V60,2)</f>
        <v>58.07</v>
      </c>
      <c r="G21" s="222">
        <f>ROUND(data!V61,0)</f>
        <v>5984444</v>
      </c>
      <c r="H21" s="222">
        <f>ROUND(data!V62,0)</f>
        <v>1919101</v>
      </c>
      <c r="I21" s="222">
        <f>ROUND(data!V63,0)</f>
        <v>101885</v>
      </c>
      <c r="J21" s="222">
        <f>ROUND(data!V64,0)</f>
        <v>1601221</v>
      </c>
      <c r="K21" s="222">
        <f>ROUND(data!V65,0)</f>
        <v>2881</v>
      </c>
      <c r="L21" s="222">
        <f>ROUND(data!V66,0)</f>
        <v>117546</v>
      </c>
      <c r="M21" s="66">
        <f>ROUND(data!V67,0)</f>
        <v>335235</v>
      </c>
      <c r="N21" s="222">
        <f>ROUND(data!V68,0)</f>
        <v>210817</v>
      </c>
      <c r="O21" s="222">
        <f>ROUND(data!V69,0)</f>
        <v>9754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9754</v>
      </c>
      <c r="AD21" s="222">
        <f>ROUND(data!V84,0)</f>
        <v>331</v>
      </c>
      <c r="AE21" s="222">
        <f>ROUND(data!V89,0)</f>
        <v>81098062</v>
      </c>
      <c r="AF21" s="222">
        <f>ROUND(data!V87,0)</f>
        <v>50676455</v>
      </c>
      <c r="AG21" s="222">
        <f>IF(data!V90&gt;0,ROUND(data!V90,0),0)</f>
        <v>15289</v>
      </c>
      <c r="AH21" s="222">
        <f>IF(data!V91&gt;0,ROUND(data!V91,0),0)</f>
        <v>0</v>
      </c>
      <c r="AI21" s="222">
        <f>IF(data!V92&gt;0,ROUND(data!V92,0),0)</f>
        <v>5277</v>
      </c>
      <c r="AJ21" s="222">
        <f>IF(data!V93&gt;0,ROUND(data!V93,0),0)</f>
        <v>36100</v>
      </c>
      <c r="AK21" s="212">
        <f>IF(data!V94&gt;0,ROUND(data!V94,2),0)</f>
        <v>6.78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029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91227</v>
      </c>
      <c r="F22" s="212">
        <f>ROUND(data!W60,2)</f>
        <v>10.96</v>
      </c>
      <c r="G22" s="222">
        <f>ROUND(data!W61,0)</f>
        <v>1641452</v>
      </c>
      <c r="H22" s="222">
        <f>ROUND(data!W62,0)</f>
        <v>441909</v>
      </c>
      <c r="I22" s="222">
        <f>ROUND(data!W63,0)</f>
        <v>0</v>
      </c>
      <c r="J22" s="222">
        <f>ROUND(data!W64,0)</f>
        <v>169555</v>
      </c>
      <c r="K22" s="222">
        <f>ROUND(data!W65,0)</f>
        <v>0</v>
      </c>
      <c r="L22" s="222">
        <f>ROUND(data!W66,0)</f>
        <v>90252</v>
      </c>
      <c r="M22" s="66">
        <f>ROUND(data!W67,0)</f>
        <v>340067</v>
      </c>
      <c r="N22" s="222">
        <f>ROUND(data!W68,0)</f>
        <v>0</v>
      </c>
      <c r="O22" s="222">
        <f>ROUND(data!W69,0)</f>
        <v>5490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5490</v>
      </c>
      <c r="AD22" s="222">
        <f>ROUND(data!W84,0)</f>
        <v>0</v>
      </c>
      <c r="AE22" s="222">
        <f>ROUND(data!W89,0)</f>
        <v>37906138</v>
      </c>
      <c r="AF22" s="222">
        <f>ROUND(data!W87,0)</f>
        <v>15024768</v>
      </c>
      <c r="AG22" s="222">
        <f>IF(data!W90&gt;0,ROUND(data!W90,0),0)</f>
        <v>2089</v>
      </c>
      <c r="AH22" s="222">
        <f>IF(data!W91&gt;0,ROUND(data!W91,0),0)</f>
        <v>0</v>
      </c>
      <c r="AI22" s="222">
        <f>IF(data!W92&gt;0,ROUND(data!W92,0),0)</f>
        <v>721</v>
      </c>
      <c r="AJ22" s="222">
        <f>IF(data!W93&gt;0,ROUND(data!W93,0),0)</f>
        <v>70363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029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332002</v>
      </c>
      <c r="F23" s="212">
        <f>ROUND(data!X60,2)</f>
        <v>27.56</v>
      </c>
      <c r="G23" s="222">
        <f>ROUND(data!X61,0)</f>
        <v>3980613</v>
      </c>
      <c r="H23" s="222">
        <f>ROUND(data!X62,0)</f>
        <v>833062</v>
      </c>
      <c r="I23" s="222">
        <f>ROUND(data!X63,0)</f>
        <v>0</v>
      </c>
      <c r="J23" s="222">
        <f>ROUND(data!X64,0)</f>
        <v>581309</v>
      </c>
      <c r="K23" s="222">
        <f>ROUND(data!X65,0)</f>
        <v>306</v>
      </c>
      <c r="L23" s="222">
        <f>ROUND(data!X66,0)</f>
        <v>91830</v>
      </c>
      <c r="M23" s="66">
        <f>ROUND(data!X67,0)</f>
        <v>613114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187000429</v>
      </c>
      <c r="AF23" s="222">
        <f>ROUND(data!X87,0)</f>
        <v>106914608</v>
      </c>
      <c r="AG23" s="222">
        <f>IF(data!X90&gt;0,ROUND(data!X90,0),0)</f>
        <v>2296</v>
      </c>
      <c r="AH23" s="222">
        <f>IF(data!X91&gt;0,ROUND(data!X91,0),0)</f>
        <v>0</v>
      </c>
      <c r="AI23" s="222">
        <f>IF(data!X92&gt;0,ROUND(data!X92,0),0)</f>
        <v>792</v>
      </c>
      <c r="AJ23" s="222">
        <f>IF(data!X93&gt;0,ROUND(data!X93,0),0)</f>
        <v>43168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029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427629</v>
      </c>
      <c r="F24" s="212">
        <f>ROUND(data!Y60,2)</f>
        <v>167.74</v>
      </c>
      <c r="G24" s="222">
        <f>ROUND(data!Y61,0)</f>
        <v>17015240</v>
      </c>
      <c r="H24" s="222">
        <f>ROUND(data!Y62,0)</f>
        <v>5103924</v>
      </c>
      <c r="I24" s="222">
        <f>ROUND(data!Y63,0)</f>
        <v>0</v>
      </c>
      <c r="J24" s="222">
        <f>ROUND(data!Y64,0)</f>
        <v>6798673</v>
      </c>
      <c r="K24" s="222">
        <f>ROUND(data!Y65,0)</f>
        <v>41</v>
      </c>
      <c r="L24" s="222">
        <f>ROUND(data!Y66,0)</f>
        <v>203502</v>
      </c>
      <c r="M24" s="66">
        <f>ROUND(data!Y67,0)</f>
        <v>1209481</v>
      </c>
      <c r="N24" s="222">
        <f>ROUND(data!Y68,0)</f>
        <v>46386</v>
      </c>
      <c r="O24" s="222">
        <f>ROUND(data!Y69,0)</f>
        <v>17161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17161</v>
      </c>
      <c r="AD24" s="222">
        <f>ROUND(data!Y84,0)</f>
        <v>32137</v>
      </c>
      <c r="AE24" s="222">
        <f>ROUND(data!Y89,0)</f>
        <v>159206142</v>
      </c>
      <c r="AF24" s="222">
        <f>ROUND(data!Y87,0)</f>
        <v>96426700</v>
      </c>
      <c r="AG24" s="222">
        <f>IF(data!Y90&gt;0,ROUND(data!Y90,0),0)</f>
        <v>30559</v>
      </c>
      <c r="AH24" s="222">
        <f>IF(data!Y91&gt;0,ROUND(data!Y91,0),0)</f>
        <v>12</v>
      </c>
      <c r="AI24" s="222">
        <f>IF(data!Y92&gt;0,ROUND(data!Y92,0),0)</f>
        <v>10548</v>
      </c>
      <c r="AJ24" s="222">
        <f>IF(data!Y93&gt;0,ROUND(data!Y93,0),0)</f>
        <v>54913</v>
      </c>
      <c r="AK24" s="212">
        <f>IF(data!Y94&gt;0,ROUND(data!Y94,2),0)</f>
        <v>19.48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029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11413</v>
      </c>
      <c r="F25" s="212">
        <f>ROUND(data!Z60,2)</f>
        <v>7.45</v>
      </c>
      <c r="G25" s="222">
        <f>ROUND(data!Z61,0)</f>
        <v>974801</v>
      </c>
      <c r="H25" s="222">
        <f>ROUND(data!Z62,0)</f>
        <v>297511</v>
      </c>
      <c r="I25" s="222">
        <f>ROUND(data!Z63,0)</f>
        <v>0</v>
      </c>
      <c r="J25" s="222">
        <f>ROUND(data!Z64,0)</f>
        <v>239488</v>
      </c>
      <c r="K25" s="222">
        <f>ROUND(data!Z65,0)</f>
        <v>346</v>
      </c>
      <c r="L25" s="222">
        <f>ROUND(data!Z66,0)</f>
        <v>5833</v>
      </c>
      <c r="M25" s="66">
        <f>ROUND(data!Z67,0)</f>
        <v>176470</v>
      </c>
      <c r="N25" s="222">
        <f>ROUND(data!Z68,0)</f>
        <v>81</v>
      </c>
      <c r="O25" s="222">
        <f>ROUND(data!Z69,0)</f>
        <v>7711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7711</v>
      </c>
      <c r="AD25" s="222">
        <f>ROUND(data!Z84,0)</f>
        <v>0</v>
      </c>
      <c r="AE25" s="222">
        <f>ROUND(data!Z89,0)</f>
        <v>25371546</v>
      </c>
      <c r="AF25" s="222">
        <f>ROUND(data!Z87,0)</f>
        <v>31815</v>
      </c>
      <c r="AG25" s="222">
        <f>IF(data!Z90&gt;0,ROUND(data!Z90,0),0)</f>
        <v>2863</v>
      </c>
      <c r="AH25" s="222">
        <f>IF(data!Z91&gt;0,ROUND(data!Z91,0),0)</f>
        <v>0</v>
      </c>
      <c r="AI25" s="222">
        <f>IF(data!Z92&gt;0,ROUND(data!Z92,0),0)</f>
        <v>988</v>
      </c>
      <c r="AJ25" s="222">
        <f>IF(data!Z93&gt;0,ROUND(data!Z93,0),0)</f>
        <v>1489</v>
      </c>
      <c r="AK25" s="212">
        <f>IF(data!Z94&gt;0,ROUND(data!Z94,2),0)</f>
        <v>3.71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029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13732</v>
      </c>
      <c r="F26" s="212">
        <f>ROUND(data!AA60,2)</f>
        <v>3.28</v>
      </c>
      <c r="G26" s="222">
        <f>ROUND(data!AA61,0)</f>
        <v>483426</v>
      </c>
      <c r="H26" s="222">
        <f>ROUND(data!AA62,0)</f>
        <v>177240</v>
      </c>
      <c r="I26" s="222">
        <f>ROUND(data!AA63,0)</f>
        <v>0</v>
      </c>
      <c r="J26" s="222">
        <f>ROUND(data!AA64,0)</f>
        <v>106305</v>
      </c>
      <c r="K26" s="222">
        <f>ROUND(data!AA65,0)</f>
        <v>0</v>
      </c>
      <c r="L26" s="222">
        <f>ROUND(data!AA66,0)</f>
        <v>0</v>
      </c>
      <c r="M26" s="66">
        <f>ROUND(data!AA67,0)</f>
        <v>244438</v>
      </c>
      <c r="N26" s="222">
        <f>ROUND(data!AA68,0)</f>
        <v>90</v>
      </c>
      <c r="O26" s="222">
        <f>ROUND(data!AA69,0)</f>
        <v>4596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4596</v>
      </c>
      <c r="AD26" s="222">
        <f>ROUND(data!AA84,0)</f>
        <v>0</v>
      </c>
      <c r="AE26" s="222">
        <f>ROUND(data!AA89,0)</f>
        <v>4277494</v>
      </c>
      <c r="AF26" s="222">
        <f>ROUND(data!AA87,0)</f>
        <v>831894</v>
      </c>
      <c r="AG26" s="222">
        <f>IF(data!AA90&gt;0,ROUND(data!AA90,0),0)</f>
        <v>1694</v>
      </c>
      <c r="AH26" s="222">
        <f>IF(data!AA91&gt;0,ROUND(data!AA91,0),0)</f>
        <v>0</v>
      </c>
      <c r="AI26" s="222">
        <f>IF(data!AA92&gt;0,ROUND(data!AA92,0),0)</f>
        <v>585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029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215.05</v>
      </c>
      <c r="G27" s="222">
        <f>ROUND(data!AB61,0)</f>
        <v>23318999</v>
      </c>
      <c r="H27" s="222">
        <f>ROUND(data!AB62,0)</f>
        <v>8058261</v>
      </c>
      <c r="I27" s="222">
        <f>ROUND(data!AB63,0)</f>
        <v>152085</v>
      </c>
      <c r="J27" s="222">
        <f>ROUND(data!AB64,0)</f>
        <v>89915660</v>
      </c>
      <c r="K27" s="222">
        <f>ROUND(data!AB65,0)</f>
        <v>12543</v>
      </c>
      <c r="L27" s="222">
        <f>ROUND(data!AB66,0)</f>
        <v>5027666</v>
      </c>
      <c r="M27" s="66">
        <f>ROUND(data!AB67,0)</f>
        <v>15927</v>
      </c>
      <c r="N27" s="222">
        <f>ROUND(data!AB68,0)</f>
        <v>1242684</v>
      </c>
      <c r="O27" s="222">
        <f>ROUND(data!AB69,0)</f>
        <v>202336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202336</v>
      </c>
      <c r="AD27" s="222">
        <f>ROUND(data!AB84,0)</f>
        <v>26506235</v>
      </c>
      <c r="AE27" s="222">
        <f>ROUND(data!AB89,0)</f>
        <v>382684603</v>
      </c>
      <c r="AF27" s="222">
        <f>ROUND(data!AB87,0)</f>
        <v>194719293</v>
      </c>
      <c r="AG27" s="222">
        <f>IF(data!AB90&gt;0,ROUND(data!AB90,0),0)</f>
        <v>18296</v>
      </c>
      <c r="AH27" s="222">
        <f>IF(data!AB91&gt;0,ROUND(data!AB91,0),0)</f>
        <v>0</v>
      </c>
      <c r="AI27" s="222">
        <f>IF(data!AB92&gt;0,ROUND(data!AB92,0),0)</f>
        <v>6237</v>
      </c>
      <c r="AJ27" s="222">
        <f>IF(data!AB93&gt;0,ROUND(data!AB93,0),0)</f>
        <v>7920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029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61493</v>
      </c>
      <c r="F28" s="212">
        <f>ROUND(data!AC60,2)</f>
        <v>79.37</v>
      </c>
      <c r="G28" s="222">
        <f>ROUND(data!AC61,0)</f>
        <v>10225713</v>
      </c>
      <c r="H28" s="222">
        <f>ROUND(data!AC62,0)</f>
        <v>2385784</v>
      </c>
      <c r="I28" s="222">
        <f>ROUND(data!AC63,0)</f>
        <v>0</v>
      </c>
      <c r="J28" s="222">
        <f>ROUND(data!AC64,0)</f>
        <v>1523031</v>
      </c>
      <c r="K28" s="222">
        <f>ROUND(data!AC65,0)</f>
        <v>0</v>
      </c>
      <c r="L28" s="222">
        <f>ROUND(data!AC66,0)</f>
        <v>1600</v>
      </c>
      <c r="M28" s="66">
        <f>ROUND(data!AC67,0)</f>
        <v>404851</v>
      </c>
      <c r="N28" s="222">
        <f>ROUND(data!AC68,0)</f>
        <v>15038</v>
      </c>
      <c r="O28" s="222">
        <f>ROUND(data!AC69,0)</f>
        <v>4914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4914</v>
      </c>
      <c r="AD28" s="222">
        <f>ROUND(data!AC84,0)</f>
        <v>0</v>
      </c>
      <c r="AE28" s="222">
        <f>ROUND(data!AC89,0)</f>
        <v>69086013</v>
      </c>
      <c r="AF28" s="222">
        <f>ROUND(data!AC87,0)</f>
        <v>65632529</v>
      </c>
      <c r="AG28" s="222">
        <f>IF(data!AC90&gt;0,ROUND(data!AC90,0),0)</f>
        <v>3706</v>
      </c>
      <c r="AH28" s="222">
        <f>IF(data!AC91&gt;0,ROUND(data!AC91,0),0)</f>
        <v>0</v>
      </c>
      <c r="AI28" s="222">
        <f>IF(data!AC92&gt;0,ROUND(data!AC92,0),0)</f>
        <v>1279</v>
      </c>
      <c r="AJ28" s="222">
        <f>IF(data!AC93&gt;0,ROUND(data!AC93,0),0)</f>
        <v>0</v>
      </c>
      <c r="AK28" s="212">
        <f>IF(data!AC94&gt;0,ROUND(data!AC94,2),0)</f>
        <v>10.25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029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1559</v>
      </c>
      <c r="K29" s="222">
        <f>ROUND(data!AD65,0)</f>
        <v>0</v>
      </c>
      <c r="L29" s="222">
        <f>ROUND(data!AD66,0)</f>
        <v>3454573</v>
      </c>
      <c r="M29" s="66">
        <f>ROUND(data!AD67,0)</f>
        <v>34705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10117354</v>
      </c>
      <c r="AF29" s="222">
        <f>ROUND(data!AD87,0)</f>
        <v>9818539</v>
      </c>
      <c r="AG29" s="222">
        <f>IF(data!AD90&gt;0,ROUND(data!AD90,0),0)</f>
        <v>1602</v>
      </c>
      <c r="AH29" s="222">
        <f>IF(data!AD91&gt;0,ROUND(data!AD91,0),0)</f>
        <v>0</v>
      </c>
      <c r="AI29" s="222">
        <f>IF(data!AD92&gt;0,ROUND(data!AD92,0),0)</f>
        <v>553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029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132770</v>
      </c>
      <c r="F30" s="212">
        <f>ROUND(data!AE60,2)</f>
        <v>81.12</v>
      </c>
      <c r="G30" s="222">
        <f>ROUND(data!AE61,0)</f>
        <v>8419276</v>
      </c>
      <c r="H30" s="222">
        <f>ROUND(data!AE62,0)</f>
        <v>2788128</v>
      </c>
      <c r="I30" s="222">
        <f>ROUND(data!AE63,0)</f>
        <v>0</v>
      </c>
      <c r="J30" s="222">
        <f>ROUND(data!AE64,0)</f>
        <v>131771</v>
      </c>
      <c r="K30" s="222">
        <f>ROUND(data!AE65,0)</f>
        <v>0</v>
      </c>
      <c r="L30" s="222">
        <f>ROUND(data!AE66,0)</f>
        <v>22712</v>
      </c>
      <c r="M30" s="66">
        <f>ROUND(data!AE67,0)</f>
        <v>6599</v>
      </c>
      <c r="N30" s="222">
        <f>ROUND(data!AE68,0)</f>
        <v>104</v>
      </c>
      <c r="O30" s="222">
        <f>ROUND(data!AE69,0)</f>
        <v>2197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2197</v>
      </c>
      <c r="AD30" s="222">
        <f>ROUND(data!AE84,0)</f>
        <v>1400</v>
      </c>
      <c r="AE30" s="222">
        <f>ROUND(data!AE89,0)</f>
        <v>33615568</v>
      </c>
      <c r="AF30" s="222">
        <f>ROUND(data!AE87,0)</f>
        <v>24715993</v>
      </c>
      <c r="AG30" s="222">
        <f>IF(data!AE90&gt;0,ROUND(data!AE90,0),0)</f>
        <v>7948</v>
      </c>
      <c r="AH30" s="222">
        <f>IF(data!AE91&gt;0,ROUND(data!AE91,0),0)</f>
        <v>0</v>
      </c>
      <c r="AI30" s="222">
        <f>IF(data!AE92&gt;0,ROUND(data!AE92,0),0)</f>
        <v>2644</v>
      </c>
      <c r="AJ30" s="222">
        <f>IF(data!AE93&gt;0,ROUND(data!AE93,0),0)</f>
        <v>21713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029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48840</v>
      </c>
      <c r="F31" s="212">
        <f>ROUND(data!AF60,2)</f>
        <v>80.31</v>
      </c>
      <c r="G31" s="222">
        <f>ROUND(data!AF61,0)</f>
        <v>7343671</v>
      </c>
      <c r="H31" s="222">
        <f>ROUND(data!AF62,0)</f>
        <v>2430351</v>
      </c>
      <c r="I31" s="222">
        <f>ROUND(data!AF63,0)</f>
        <v>67116</v>
      </c>
      <c r="J31" s="222">
        <f>ROUND(data!AF64,0)</f>
        <v>57843</v>
      </c>
      <c r="K31" s="222">
        <f>ROUND(data!AF65,0)</f>
        <v>87</v>
      </c>
      <c r="L31" s="222">
        <f>ROUND(data!AF66,0)</f>
        <v>172109</v>
      </c>
      <c r="M31" s="66">
        <f>ROUND(data!AF67,0)</f>
        <v>0</v>
      </c>
      <c r="N31" s="222">
        <f>ROUND(data!AF68,0)</f>
        <v>973</v>
      </c>
      <c r="O31" s="222">
        <f>ROUND(data!AF69,0)</f>
        <v>75211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75211</v>
      </c>
      <c r="AD31" s="222">
        <f>ROUND(data!AF84,0)</f>
        <v>6383269</v>
      </c>
      <c r="AE31" s="222">
        <f>ROUND(data!AF89,0)</f>
        <v>9591591</v>
      </c>
      <c r="AF31" s="222">
        <f>ROUND(data!AF87,0)</f>
        <v>5314</v>
      </c>
      <c r="AG31" s="222">
        <f>IF(data!AF90&gt;0,ROUND(data!AF90,0),0)</f>
        <v>10250</v>
      </c>
      <c r="AH31" s="222">
        <f>IF(data!AF91&gt;0,ROUND(data!AF91,0),0)</f>
        <v>0</v>
      </c>
      <c r="AI31" s="222">
        <f>IF(data!AF92&gt;0,ROUND(data!AF92,0),0)</f>
        <v>3531</v>
      </c>
      <c r="AJ31" s="222">
        <f>IF(data!AF93&gt;0,ROUND(data!AF93,0),0)</f>
        <v>0</v>
      </c>
      <c r="AK31" s="212">
        <f>IF(data!AF94&gt;0,ROUND(data!AF94,2),0)</f>
        <v>4.16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029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50401</v>
      </c>
      <c r="F32" s="212">
        <f>ROUND(data!AG60,2)</f>
        <v>189.69</v>
      </c>
      <c r="G32" s="222">
        <f>ROUND(data!AG61,0)</f>
        <v>32128134</v>
      </c>
      <c r="H32" s="222">
        <f>ROUND(data!AG62,0)</f>
        <v>6331136</v>
      </c>
      <c r="I32" s="222">
        <f>ROUND(data!AG63,0)</f>
        <v>675</v>
      </c>
      <c r="J32" s="222">
        <f>ROUND(data!AG64,0)</f>
        <v>3733973</v>
      </c>
      <c r="K32" s="222">
        <f>ROUND(data!AG65,0)</f>
        <v>0</v>
      </c>
      <c r="L32" s="222">
        <f>ROUND(data!AG66,0)</f>
        <v>382727</v>
      </c>
      <c r="M32" s="66">
        <f>ROUND(data!AG67,0)</f>
        <v>266401</v>
      </c>
      <c r="N32" s="222">
        <f>ROUND(data!AG68,0)</f>
        <v>280</v>
      </c>
      <c r="O32" s="222">
        <f>ROUND(data!AG69,0)</f>
        <v>113628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113628</v>
      </c>
      <c r="AD32" s="222">
        <f>ROUND(data!AG84,0)</f>
        <v>262869</v>
      </c>
      <c r="AE32" s="222">
        <f>ROUND(data!AG89,0)</f>
        <v>237178084</v>
      </c>
      <c r="AF32" s="222">
        <f>ROUND(data!AG87,0)</f>
        <v>85054578</v>
      </c>
      <c r="AG32" s="222">
        <f>IF(data!AG90&gt;0,ROUND(data!AG90,0),0)</f>
        <v>26332</v>
      </c>
      <c r="AH32" s="222">
        <f>IF(data!AG91&gt;0,ROUND(data!AG91,0),0)</f>
        <v>0</v>
      </c>
      <c r="AI32" s="222">
        <f>IF(data!AG92&gt;0,ROUND(data!AG92,0),0)</f>
        <v>9088</v>
      </c>
      <c r="AJ32" s="222">
        <f>IF(data!AG93&gt;0,ROUND(data!AG93,0),0)</f>
        <v>376149</v>
      </c>
      <c r="AK32" s="212">
        <f>IF(data!AG94&gt;0,ROUND(data!AG94,2),0)</f>
        <v>107.86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029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61384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029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029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265817</v>
      </c>
      <c r="F35" s="212">
        <f>ROUND(data!AJ60,2)</f>
        <v>666.53</v>
      </c>
      <c r="G35" s="222">
        <f>ROUND(data!AJ61,0)</f>
        <v>64589972</v>
      </c>
      <c r="H35" s="222">
        <f>ROUND(data!AJ62,0)</f>
        <v>20505815</v>
      </c>
      <c r="I35" s="222">
        <f>ROUND(data!AJ63,0)</f>
        <v>144132</v>
      </c>
      <c r="J35" s="222">
        <f>ROUND(data!AJ64,0)</f>
        <v>8998703</v>
      </c>
      <c r="K35" s="222">
        <f>ROUND(data!AJ65,0)</f>
        <v>31888</v>
      </c>
      <c r="L35" s="222">
        <f>ROUND(data!AJ66,0)</f>
        <v>2081694</v>
      </c>
      <c r="M35" s="66">
        <f>ROUND(data!AJ67,0)</f>
        <v>1050052</v>
      </c>
      <c r="N35" s="222">
        <f>ROUND(data!AJ68,0)</f>
        <v>715004</v>
      </c>
      <c r="O35" s="222">
        <f>ROUND(data!AJ69,0)</f>
        <v>128335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128335</v>
      </c>
      <c r="AD35" s="222">
        <f>ROUND(data!AJ84,0)</f>
        <v>17788257</v>
      </c>
      <c r="AE35" s="222">
        <f>ROUND(data!AJ89,0)</f>
        <v>174974930</v>
      </c>
      <c r="AF35" s="222">
        <f>ROUND(data!AJ87,0)</f>
        <v>11047313</v>
      </c>
      <c r="AG35" s="222">
        <f>IF(data!AJ90&gt;0,ROUND(data!AJ90,0),0)</f>
        <v>195675</v>
      </c>
      <c r="AH35" s="222">
        <f>IF(data!AJ91&gt;0,ROUND(data!AJ91,0),0)</f>
        <v>0</v>
      </c>
      <c r="AI35" s="222">
        <f>IF(data!AJ92&gt;0,ROUND(data!AJ92,0),0)</f>
        <v>67464</v>
      </c>
      <c r="AJ35" s="222">
        <f>IF(data!AJ93&gt;0,ROUND(data!AJ93,0),0)</f>
        <v>177374</v>
      </c>
      <c r="AK35" s="212">
        <f>IF(data!AJ94&gt;0,ROUND(data!AJ94,2),0)</f>
        <v>156.89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029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78048</v>
      </c>
      <c r="F36" s="212">
        <f>ROUND(data!AK60,2)</f>
        <v>31.77</v>
      </c>
      <c r="G36" s="222">
        <f>ROUND(data!AK61,0)</f>
        <v>3126721</v>
      </c>
      <c r="H36" s="222">
        <f>ROUND(data!AK62,0)</f>
        <v>1050078</v>
      </c>
      <c r="I36" s="222">
        <f>ROUND(data!AK63,0)</f>
        <v>0</v>
      </c>
      <c r="J36" s="222">
        <f>ROUND(data!AK64,0)</f>
        <v>26734</v>
      </c>
      <c r="K36" s="222">
        <f>ROUND(data!AK65,0)</f>
        <v>0</v>
      </c>
      <c r="L36" s="222">
        <f>ROUND(data!AK66,0)</f>
        <v>2201</v>
      </c>
      <c r="M36" s="66">
        <f>ROUND(data!AK67,0)</f>
        <v>21296</v>
      </c>
      <c r="N36" s="222">
        <f>ROUND(data!AK68,0)</f>
        <v>81</v>
      </c>
      <c r="O36" s="222">
        <f>ROUND(data!AK69,0)</f>
        <v>3094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3094</v>
      </c>
      <c r="AD36" s="222">
        <f>ROUND(data!AK84,0)</f>
        <v>321651</v>
      </c>
      <c r="AE36" s="222">
        <f>ROUND(data!AK89,0)</f>
        <v>15397780</v>
      </c>
      <c r="AF36" s="222">
        <f>ROUND(data!AK87,0)</f>
        <v>15334091</v>
      </c>
      <c r="AG36" s="222">
        <f>IF(data!AK90&gt;0,ROUND(data!AK90,0),0)</f>
        <v>6608</v>
      </c>
      <c r="AH36" s="222">
        <f>IF(data!AK91&gt;0,ROUND(data!AK91,0),0)</f>
        <v>0</v>
      </c>
      <c r="AI36" s="222">
        <f>IF(data!AK92&gt;0,ROUND(data!AK92,0),0)</f>
        <v>2153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029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029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029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029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029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029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029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029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029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029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8.4</v>
      </c>
      <c r="G46" s="222">
        <f>ROUND(data!AU61,0)</f>
        <v>809831</v>
      </c>
      <c r="H46" s="222">
        <f>ROUND(data!AU62,0)</f>
        <v>272821</v>
      </c>
      <c r="I46" s="222">
        <f>ROUND(data!AU63,0)</f>
        <v>0</v>
      </c>
      <c r="J46" s="222">
        <f>ROUND(data!AU64,0)</f>
        <v>4830</v>
      </c>
      <c r="K46" s="222">
        <f>ROUND(data!AU65,0)</f>
        <v>0</v>
      </c>
      <c r="L46" s="222">
        <f>ROUND(data!AU66,0)</f>
        <v>364518</v>
      </c>
      <c r="M46" s="66">
        <f>ROUND(data!AU67,0)</f>
        <v>0</v>
      </c>
      <c r="N46" s="222">
        <f>ROUND(data!AU68,0)</f>
        <v>0</v>
      </c>
      <c r="O46" s="222">
        <f>ROUND(data!AU69,0)</f>
        <v>1983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1983</v>
      </c>
      <c r="AD46" s="222">
        <f>ROUND(data!AU84,0)</f>
        <v>1220980</v>
      </c>
      <c r="AE46" s="222">
        <f>ROUND(data!AU89,0)</f>
        <v>469875</v>
      </c>
      <c r="AF46" s="222">
        <f>ROUND(data!AU87,0)</f>
        <v>253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4.01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029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58.1</v>
      </c>
      <c r="G47" s="222">
        <f>ROUND(data!AV61,0)</f>
        <v>5573112</v>
      </c>
      <c r="H47" s="222">
        <f>ROUND(data!AV62,0)</f>
        <v>1625941</v>
      </c>
      <c r="I47" s="222">
        <f>ROUND(data!AV63,0)</f>
        <v>78465</v>
      </c>
      <c r="J47" s="222">
        <f>ROUND(data!AV64,0)</f>
        <v>206625</v>
      </c>
      <c r="K47" s="222">
        <f>ROUND(data!AV65,0)</f>
        <v>510</v>
      </c>
      <c r="L47" s="222">
        <f>ROUND(data!AV66,0)</f>
        <v>8132733</v>
      </c>
      <c r="M47" s="66">
        <f>ROUND(data!AV67,0)</f>
        <v>1017</v>
      </c>
      <c r="N47" s="222">
        <f>ROUND(data!AV68,0)</f>
        <v>30108</v>
      </c>
      <c r="O47" s="222">
        <f>ROUND(data!AV69,0)</f>
        <v>-1017553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-1017553</v>
      </c>
      <c r="AD47" s="222">
        <f>ROUND(data!AV84,0)</f>
        <v>6678305</v>
      </c>
      <c r="AE47" s="222">
        <f>ROUND(data!AV89,0)</f>
        <v>5379265</v>
      </c>
      <c r="AF47" s="222">
        <f>ROUND(data!AV87,0)</f>
        <v>4171828</v>
      </c>
      <c r="AG47" s="222">
        <f>IF(data!AV90&gt;0,ROUND(data!AV90,0),0)</f>
        <v>1620</v>
      </c>
      <c r="AH47" s="222">
        <f>IF(data!AV91&gt;0,ROUND(data!AV91,0),0)</f>
        <v>0</v>
      </c>
      <c r="AI47" s="222">
        <f>IF(data!AV92&gt;0,ROUND(data!AV92,0),0)</f>
        <v>559</v>
      </c>
      <c r="AJ47" s="222">
        <f>IF(data!AV93&gt;0,ROUND(data!AV93,0),0)</f>
        <v>44</v>
      </c>
      <c r="AK47" s="212">
        <f>IF(data!AV94&gt;0,ROUND(data!AV94,2),0)</f>
        <v>12.42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029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3</v>
      </c>
      <c r="G48" s="222">
        <f>ROUND(data!AW61,0)</f>
        <v>215427</v>
      </c>
      <c r="H48" s="222">
        <f>ROUND(data!AW62,0)</f>
        <v>49979</v>
      </c>
      <c r="I48" s="222">
        <f>ROUND(data!AW63,0)</f>
        <v>0</v>
      </c>
      <c r="J48" s="222">
        <f>ROUND(data!AW64,0)</f>
        <v>496240</v>
      </c>
      <c r="K48" s="222">
        <f>ROUND(data!AW65,0)</f>
        <v>0</v>
      </c>
      <c r="L48" s="222">
        <f>ROUND(data!AW66,0)</f>
        <v>31014255</v>
      </c>
      <c r="M48" s="66">
        <f>ROUND(data!AW67,0)</f>
        <v>0</v>
      </c>
      <c r="N48" s="222">
        <f>ROUND(data!AW68,0)</f>
        <v>0</v>
      </c>
      <c r="O48" s="222">
        <f>ROUND(data!AW69,0)</f>
        <v>19640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19640</v>
      </c>
      <c r="AD48" s="222">
        <f>ROUND(data!AW84,0)</f>
        <v>200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029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029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848294</v>
      </c>
      <c r="F50" s="212">
        <f>ROUND(data!AY60,2)</f>
        <v>141.88</v>
      </c>
      <c r="G50" s="222">
        <f>ROUND(data!AY61,0)</f>
        <v>7395848</v>
      </c>
      <c r="H50" s="222">
        <f>ROUND(data!AY62,0)</f>
        <v>2551333</v>
      </c>
      <c r="I50" s="222">
        <f>ROUND(data!AY63,0)</f>
        <v>0</v>
      </c>
      <c r="J50" s="222">
        <f>ROUND(data!AY64,0)</f>
        <v>6045242</v>
      </c>
      <c r="K50" s="222">
        <f>ROUND(data!AY65,0)</f>
        <v>0</v>
      </c>
      <c r="L50" s="222">
        <f>ROUND(data!AY66,0)</f>
        <v>392518</v>
      </c>
      <c r="M50" s="66">
        <f>ROUND(data!AY67,0)</f>
        <v>130212</v>
      </c>
      <c r="N50" s="222">
        <f>ROUND(data!AY68,0)</f>
        <v>163</v>
      </c>
      <c r="O50" s="222">
        <f>ROUND(data!AY69,0)</f>
        <v>-485756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-485756</v>
      </c>
      <c r="AD50" s="222">
        <f>ROUND(data!AY84,0)</f>
        <v>3831766</v>
      </c>
      <c r="AE50" s="222"/>
      <c r="AF50" s="222"/>
      <c r="AG50" s="222">
        <f>IF(data!AY90&gt;0,ROUND(data!AY90,0),0)</f>
        <v>27282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029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029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11.32</v>
      </c>
      <c r="G52" s="222">
        <f>ROUND(data!BA61,0)</f>
        <v>543083</v>
      </c>
      <c r="H52" s="222">
        <f>ROUND(data!BA62,0)</f>
        <v>186598</v>
      </c>
      <c r="I52" s="222">
        <f>ROUND(data!BA63,0)</f>
        <v>0</v>
      </c>
      <c r="J52" s="222">
        <f>ROUND(data!BA64,0)</f>
        <v>899520</v>
      </c>
      <c r="K52" s="222">
        <f>ROUND(data!BA65,0)</f>
        <v>0</v>
      </c>
      <c r="L52" s="222">
        <f>ROUND(data!BA66,0)</f>
        <v>139563</v>
      </c>
      <c r="M52" s="66">
        <f>ROUND(data!BA67,0)</f>
        <v>1586</v>
      </c>
      <c r="N52" s="222">
        <f>ROUND(data!BA68,0)</f>
        <v>81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5539</v>
      </c>
      <c r="AH52" s="222">
        <f>IFERROR(IF(data!BA$91&gt;0,ROUND(data!BA$91,0),0),0)</f>
        <v>0</v>
      </c>
      <c r="AI52" s="222">
        <f>IFERROR(IF(data!BA$92&gt;0,ROUND(data!BA$92,0),0),0)</f>
        <v>1912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029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103.5</v>
      </c>
      <c r="G53" s="222">
        <f>ROUND(data!BB61,0)</f>
        <v>8369459</v>
      </c>
      <c r="H53" s="222">
        <f>ROUND(data!BB62,0)</f>
        <v>2911529</v>
      </c>
      <c r="I53" s="222">
        <f>ROUND(data!BB63,0)</f>
        <v>219485</v>
      </c>
      <c r="J53" s="222">
        <f>ROUND(data!BB64,0)</f>
        <v>148665</v>
      </c>
      <c r="K53" s="222">
        <f>ROUND(data!BB65,0)</f>
        <v>302</v>
      </c>
      <c r="L53" s="222">
        <f>ROUND(data!BB66,0)</f>
        <v>7604536</v>
      </c>
      <c r="M53" s="66">
        <f>ROUND(data!BB67,0)</f>
        <v>0</v>
      </c>
      <c r="N53" s="222">
        <f>ROUND(data!BB68,0)</f>
        <v>175</v>
      </c>
      <c r="O53" s="222">
        <f>ROUND(data!BB69,0)</f>
        <v>247688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247688</v>
      </c>
      <c r="AD53" s="222">
        <f>ROUND(data!BB84,0)</f>
        <v>2095268</v>
      </c>
      <c r="AE53" s="222"/>
      <c r="AF53" s="222"/>
      <c r="AG53" s="222">
        <f>IF(data!BB90&gt;0,ROUND(data!BB90,0),0)</f>
        <v>6774</v>
      </c>
      <c r="AH53" s="222">
        <f>IFERROR(IF(data!BB$91&gt;0,ROUND(data!BB$91,0),0),0)</f>
        <v>0</v>
      </c>
      <c r="AI53" s="222">
        <f>IFERROR(IF(data!BB$92&gt;0,ROUND(data!BB$92,0),0),0)</f>
        <v>2330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029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029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15</v>
      </c>
      <c r="K55" s="222">
        <f>ROUND(data!BD65,0)</f>
        <v>0</v>
      </c>
      <c r="L55" s="222">
        <f>ROUND(data!BD66,0)</f>
        <v>3634315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3131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029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1163875</v>
      </c>
      <c r="F56" s="212">
        <f>ROUND(data!BE60,2)</f>
        <v>94.25</v>
      </c>
      <c r="G56" s="222">
        <f>ROUND(data!BE61,0)</f>
        <v>8038797</v>
      </c>
      <c r="H56" s="222">
        <f>ROUND(data!BE62,0)</f>
        <v>2870928</v>
      </c>
      <c r="I56" s="222">
        <f>ROUND(data!BE63,0)</f>
        <v>800</v>
      </c>
      <c r="J56" s="222">
        <f>ROUND(data!BE64,0)</f>
        <v>1722790</v>
      </c>
      <c r="K56" s="222">
        <f>ROUND(data!BE65,0)</f>
        <v>5013992</v>
      </c>
      <c r="L56" s="222">
        <f>ROUND(data!BE66,0)</f>
        <v>8273074</v>
      </c>
      <c r="M56" s="66">
        <f>ROUND(data!BE67,0)</f>
        <v>2205313</v>
      </c>
      <c r="N56" s="222">
        <f>ROUND(data!BE68,0)</f>
        <v>87229</v>
      </c>
      <c r="O56" s="222">
        <f>ROUND(data!BE69,0)</f>
        <v>48464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48464</v>
      </c>
      <c r="AD56" s="222">
        <f>ROUND(data!BE84,0)</f>
        <v>370361</v>
      </c>
      <c r="AE56" s="222"/>
      <c r="AF56" s="222"/>
      <c r="AG56" s="222">
        <f>IF(data!BE90&gt;0,ROUND(data!BE90,0),0)</f>
        <v>145714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029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210.48</v>
      </c>
      <c r="G57" s="222">
        <f>ROUND(data!BF61,0)</f>
        <v>10195219</v>
      </c>
      <c r="H57" s="222">
        <f>ROUND(data!BF62,0)</f>
        <v>3403337</v>
      </c>
      <c r="I57" s="222">
        <f>ROUND(data!BF63,0)</f>
        <v>0</v>
      </c>
      <c r="J57" s="222">
        <f>ROUND(data!BF64,0)</f>
        <v>1683309</v>
      </c>
      <c r="K57" s="222">
        <f>ROUND(data!BF65,0)</f>
        <v>615265</v>
      </c>
      <c r="L57" s="222">
        <f>ROUND(data!BF66,0)</f>
        <v>410354</v>
      </c>
      <c r="M57" s="66">
        <f>ROUND(data!BF67,0)</f>
        <v>59997</v>
      </c>
      <c r="N57" s="222">
        <f>ROUND(data!BF68,0)</f>
        <v>136</v>
      </c>
      <c r="O57" s="222">
        <f>ROUND(data!BF69,0)</f>
        <v>7671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7671</v>
      </c>
      <c r="AD57" s="222">
        <f>ROUND(data!BF84,0)</f>
        <v>1222</v>
      </c>
      <c r="AE57" s="222"/>
      <c r="AF57" s="222"/>
      <c r="AG57" s="222">
        <f>IF(data!BF90&gt;0,ROUND(data!BF90,0),0)</f>
        <v>25971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029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9.59</v>
      </c>
      <c r="G58" s="222">
        <f>ROUND(data!BG61,0)</f>
        <v>517117</v>
      </c>
      <c r="H58" s="222">
        <f>ROUND(data!BG62,0)</f>
        <v>181912</v>
      </c>
      <c r="I58" s="222">
        <f>ROUND(data!BG63,0)</f>
        <v>0</v>
      </c>
      <c r="J58" s="222">
        <f>ROUND(data!BG64,0)</f>
        <v>2015</v>
      </c>
      <c r="K58" s="222">
        <f>ROUND(data!BG65,0)</f>
        <v>18456</v>
      </c>
      <c r="L58" s="222">
        <f>ROUND(data!BG66,0)</f>
        <v>41023</v>
      </c>
      <c r="M58" s="66">
        <f>ROUND(data!BG67,0)</f>
        <v>7154</v>
      </c>
      <c r="N58" s="222">
        <f>ROUND(data!BG68,0)</f>
        <v>180</v>
      </c>
      <c r="O58" s="222">
        <f>ROUND(data!BG69,0)</f>
        <v>28506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28506</v>
      </c>
      <c r="AD58" s="222">
        <f>ROUND(data!BG84,0)</f>
        <v>0</v>
      </c>
      <c r="AE58" s="222"/>
      <c r="AF58" s="222"/>
      <c r="AG58" s="222">
        <f>IF(data!BG90&gt;0,ROUND(data!BG90,0),0)</f>
        <v>6792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029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14.33</v>
      </c>
      <c r="G59" s="222">
        <f>ROUND(data!BH61,0)</f>
        <v>982469</v>
      </c>
      <c r="H59" s="222">
        <f>ROUND(data!BH62,0)</f>
        <v>322363</v>
      </c>
      <c r="I59" s="222">
        <f>ROUND(data!BH63,0)</f>
        <v>0</v>
      </c>
      <c r="J59" s="222">
        <f>ROUND(data!BH64,0)</f>
        <v>224987</v>
      </c>
      <c r="K59" s="222">
        <f>ROUND(data!BH65,0)</f>
        <v>192195</v>
      </c>
      <c r="L59" s="222">
        <f>ROUND(data!BH66,0)</f>
        <v>78930056</v>
      </c>
      <c r="M59" s="66">
        <f>ROUND(data!BH67,0)</f>
        <v>908462</v>
      </c>
      <c r="N59" s="222">
        <f>ROUND(data!BH68,0)</f>
        <v>1893457</v>
      </c>
      <c r="O59" s="222">
        <f>ROUND(data!BH69,0)</f>
        <v>29442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29442</v>
      </c>
      <c r="AD59" s="222">
        <f>ROUND(data!BH84,0)</f>
        <v>6179969</v>
      </c>
      <c r="AE59" s="222"/>
      <c r="AF59" s="222"/>
      <c r="AG59" s="222">
        <f>IF(data!BH90&gt;0,ROUND(data!BH90,0),0)</f>
        <v>58967</v>
      </c>
      <c r="AH59" s="222">
        <f>IFERROR(IF(data!BH$91&gt;0,ROUND(data!BH$91,0),0),0)</f>
        <v>0</v>
      </c>
      <c r="AI59" s="222">
        <f>IFERROR(IF(data!BH$92&gt;0,ROUND(data!BH$92,0),0),0)</f>
        <v>20353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029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4.02</v>
      </c>
      <c r="G60" s="222">
        <f>ROUND(data!BI61,0)</f>
        <v>263399</v>
      </c>
      <c r="H60" s="222">
        <f>ROUND(data!BI62,0)</f>
        <v>83801</v>
      </c>
      <c r="I60" s="222">
        <f>ROUND(data!BI63,0)</f>
        <v>0</v>
      </c>
      <c r="J60" s="222">
        <f>ROUND(data!BI64,0)</f>
        <v>272533</v>
      </c>
      <c r="K60" s="222">
        <f>ROUND(data!BI65,0)</f>
        <v>87</v>
      </c>
      <c r="L60" s="222">
        <f>ROUND(data!BI66,0)</f>
        <v>17879</v>
      </c>
      <c r="M60" s="66">
        <f>ROUND(data!BI67,0)</f>
        <v>0</v>
      </c>
      <c r="N60" s="222">
        <f>ROUND(data!BI68,0)</f>
        <v>862</v>
      </c>
      <c r="O60" s="222">
        <f>ROUND(data!BI69,0)</f>
        <v>12844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12844</v>
      </c>
      <c r="AD60" s="222">
        <f>ROUND(data!BI84,0)</f>
        <v>444845</v>
      </c>
      <c r="AE60" s="222"/>
      <c r="AF60" s="222"/>
      <c r="AG60" s="222">
        <f>IF(data!BI90&gt;0,ROUND(data!BI90,0),0)</f>
        <v>20298</v>
      </c>
      <c r="AH60" s="222">
        <f>IFERROR(IF(data!BI$91&gt;0,ROUND(data!BI$91,0),0),0)</f>
        <v>0</v>
      </c>
      <c r="AI60" s="222">
        <f>IFERROR(IF(data!BI$92&gt;0,ROUND(data!BI$92,0),0),0)</f>
        <v>7006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029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439476</v>
      </c>
      <c r="J61" s="222">
        <f>ROUND(data!BJ64,0)</f>
        <v>0</v>
      </c>
      <c r="K61" s="222">
        <f>ROUND(data!BJ65,0)</f>
        <v>0</v>
      </c>
      <c r="L61" s="222">
        <f>ROUND(data!BJ66,0)</f>
        <v>7554591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3022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029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18856693</v>
      </c>
      <c r="M62" s="66">
        <f>ROUND(data!BK67,0)</f>
        <v>0</v>
      </c>
      <c r="N62" s="222">
        <f>ROUND(data!BK68,0)</f>
        <v>0</v>
      </c>
      <c r="O62" s="222">
        <f>ROUND(data!BK69,0)</f>
        <v>-572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-572</v>
      </c>
      <c r="AD62" s="222">
        <f>ROUND(data!BK84,0)</f>
        <v>164994</v>
      </c>
      <c r="AE62" s="222"/>
      <c r="AF62" s="222"/>
      <c r="AG62" s="222">
        <f>IF(data!BK90&gt;0,ROUND(data!BK90,0),0)</f>
        <v>4440</v>
      </c>
      <c r="AH62" s="222">
        <f>IFERROR(IF(data!BK$91&gt;0,ROUND(data!BK$91,0),0),0)</f>
        <v>0</v>
      </c>
      <c r="AI62" s="222">
        <f>IFERROR(IF(data!BK$92&gt;0,ROUND(data!BK$92,0),0),0)</f>
        <v>1533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029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5942196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2763</v>
      </c>
      <c r="AH63" s="222">
        <f>IFERROR(IF(data!BL$91&gt;0,ROUND(data!BL$91,0),0),0)</f>
        <v>0</v>
      </c>
      <c r="AI63" s="222">
        <f>IFERROR(IF(data!BL$92&gt;0,ROUND(data!BL$92,0),0),0)</f>
        <v>954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029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325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572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572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029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45.07</v>
      </c>
      <c r="G65" s="222">
        <f>ROUND(data!BN61,0)</f>
        <v>5443679</v>
      </c>
      <c r="H65" s="222">
        <f>ROUND(data!BN62,0)</f>
        <v>1670158</v>
      </c>
      <c r="I65" s="222">
        <f>ROUND(data!BN63,0)</f>
        <v>1298660</v>
      </c>
      <c r="J65" s="222">
        <f>ROUND(data!BN64,0)</f>
        <v>1195571</v>
      </c>
      <c r="K65" s="222">
        <f>ROUND(data!BN65,0)</f>
        <v>523</v>
      </c>
      <c r="L65" s="222">
        <f>ROUND(data!BN66,0)</f>
        <v>3936765</v>
      </c>
      <c r="M65" s="66">
        <f>ROUND(data!BN67,0)</f>
        <v>0</v>
      </c>
      <c r="N65" s="222">
        <f>ROUND(data!BN68,0)</f>
        <v>8742</v>
      </c>
      <c r="O65" s="222">
        <f>ROUND(data!BN69,0)</f>
        <v>991378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991378</v>
      </c>
      <c r="AD65" s="222">
        <f>ROUND(data!BN84,0)</f>
        <v>850892</v>
      </c>
      <c r="AE65" s="222"/>
      <c r="AF65" s="222"/>
      <c r="AG65" s="222">
        <f>IF(data!BN90&gt;0,ROUND(data!BN90,0),0)</f>
        <v>5674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029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10.48</v>
      </c>
      <c r="G66" s="222">
        <f>ROUND(data!BO61,0)</f>
        <v>1103905</v>
      </c>
      <c r="H66" s="222">
        <f>ROUND(data!BO62,0)</f>
        <v>348676</v>
      </c>
      <c r="I66" s="222">
        <f>ROUND(data!BO63,0)</f>
        <v>0</v>
      </c>
      <c r="J66" s="222">
        <f>ROUND(data!BO64,0)</f>
        <v>44076</v>
      </c>
      <c r="K66" s="222">
        <f>ROUND(data!BO65,0)</f>
        <v>0</v>
      </c>
      <c r="L66" s="222">
        <f>ROUND(data!BO66,0)</f>
        <v>3306</v>
      </c>
      <c r="M66" s="66">
        <f>ROUND(data!BO67,0)</f>
        <v>1054</v>
      </c>
      <c r="N66" s="222">
        <f>ROUND(data!BO68,0)</f>
        <v>226</v>
      </c>
      <c r="O66" s="222">
        <f>ROUND(data!BO69,0)</f>
        <v>867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867</v>
      </c>
      <c r="AD66" s="222">
        <f>ROUND(data!BO84,0)</f>
        <v>13494</v>
      </c>
      <c r="AE66" s="222"/>
      <c r="AF66" s="222"/>
      <c r="AG66" s="222">
        <f>IF(data!BO90&gt;0,ROUND(data!BO90,0),0)</f>
        <v>1305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029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8.69</v>
      </c>
      <c r="G67" s="222">
        <f>ROUND(data!BP61,0)</f>
        <v>654599</v>
      </c>
      <c r="H67" s="222">
        <f>ROUND(data!BP62,0)</f>
        <v>209438</v>
      </c>
      <c r="I67" s="222">
        <f>ROUND(data!BP63,0)</f>
        <v>0</v>
      </c>
      <c r="J67" s="222">
        <f>ROUND(data!BP64,0)</f>
        <v>2096</v>
      </c>
      <c r="K67" s="222">
        <f>ROUND(data!BP65,0)</f>
        <v>0</v>
      </c>
      <c r="L67" s="222">
        <f>ROUND(data!BP66,0)</f>
        <v>352166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816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029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029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6928728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3541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029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2.42</v>
      </c>
      <c r="G70" s="222">
        <f>ROUND(data!BS61,0)</f>
        <v>173114</v>
      </c>
      <c r="H70" s="222">
        <f>ROUND(data!BS62,0)</f>
        <v>50790</v>
      </c>
      <c r="I70" s="222">
        <f>ROUND(data!BS63,0)</f>
        <v>3075</v>
      </c>
      <c r="J70" s="222">
        <f>ROUND(data!BS64,0)</f>
        <v>33968</v>
      </c>
      <c r="K70" s="222">
        <f>ROUND(data!BS65,0)</f>
        <v>0</v>
      </c>
      <c r="L70" s="222">
        <f>ROUND(data!BS66,0)</f>
        <v>21401</v>
      </c>
      <c r="M70" s="66">
        <f>ROUND(data!BS67,0)</f>
        <v>0</v>
      </c>
      <c r="N70" s="222">
        <f>ROUND(data!BS68,0)</f>
        <v>81</v>
      </c>
      <c r="O70" s="222">
        <f>ROUND(data!BS69,0)</f>
        <v>10434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10434</v>
      </c>
      <c r="AD70" s="222">
        <f>ROUND(data!BS84,0)</f>
        <v>7017</v>
      </c>
      <c r="AE70" s="222"/>
      <c r="AF70" s="222"/>
      <c r="AG70" s="222">
        <f>IF(data!BS90&gt;0,ROUND(data!BS90,0),0)</f>
        <v>654</v>
      </c>
      <c r="AH70" s="222">
        <f>IFERROR(IF(data!BS$91&gt;0,ROUND(data!BS$91,0),0),0)</f>
        <v>0</v>
      </c>
      <c r="AI70" s="222">
        <f>IFERROR(IF(data!BS$92&gt;0,ROUND(data!BS$92,0),0),0)</f>
        <v>226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029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9.04</v>
      </c>
      <c r="G71" s="222">
        <f>ROUND(data!BT61,0)</f>
        <v>611567</v>
      </c>
      <c r="H71" s="222">
        <f>ROUND(data!BT62,0)</f>
        <v>170305</v>
      </c>
      <c r="I71" s="222">
        <f>ROUND(data!BT63,0)</f>
        <v>0</v>
      </c>
      <c r="J71" s="222">
        <f>ROUND(data!BT64,0)</f>
        <v>2447</v>
      </c>
      <c r="K71" s="222">
        <f>ROUND(data!BT65,0)</f>
        <v>0</v>
      </c>
      <c r="L71" s="222">
        <f>ROUND(data!BT66,0)</f>
        <v>3930</v>
      </c>
      <c r="M71" s="66">
        <f>ROUND(data!BT67,0)</f>
        <v>0</v>
      </c>
      <c r="N71" s="222">
        <f>ROUND(data!BT68,0)</f>
        <v>81</v>
      </c>
      <c r="O71" s="222">
        <f>ROUND(data!BT69,0)</f>
        <v>7785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7785</v>
      </c>
      <c r="AD71" s="222">
        <f>ROUND(data!BT84,0)</f>
        <v>0</v>
      </c>
      <c r="AE71" s="222"/>
      <c r="AF71" s="222"/>
      <c r="AG71" s="222">
        <f>IF(data!BT90&gt;0,ROUND(data!BT90,0),0)</f>
        <v>1057</v>
      </c>
      <c r="AH71" s="222">
        <f>IFERROR(IF(data!BT$91&gt;0,ROUND(data!BT$91,0),0),0)</f>
        <v>0</v>
      </c>
      <c r="AI71" s="222">
        <f>IFERROR(IF(data!BT$92&gt;0,ROUND(data!BT$92,0),0),0)</f>
        <v>365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029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029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6465977</v>
      </c>
      <c r="M73" s="66">
        <f>ROUND(data!BV67,0)</f>
        <v>10161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14834</v>
      </c>
      <c r="AH73" s="222">
        <f>IF(data!BV91&gt;0,ROUND(data!BV91,0),0)</f>
        <v>0</v>
      </c>
      <c r="AI73" s="222">
        <f>IF(data!BV92&gt;0,ROUND(data!BV92,0),0)</f>
        <v>5120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029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122.05</v>
      </c>
      <c r="G74" s="222">
        <f>ROUND(data!BW61,0)</f>
        <v>22617490</v>
      </c>
      <c r="H74" s="222">
        <f>ROUND(data!BW62,0)</f>
        <v>6363827</v>
      </c>
      <c r="I74" s="222">
        <f>ROUND(data!BW63,0)</f>
        <v>38118956</v>
      </c>
      <c r="J74" s="222">
        <f>ROUND(data!BW64,0)</f>
        <v>10835</v>
      </c>
      <c r="K74" s="222">
        <f>ROUND(data!BW65,0)</f>
        <v>11631</v>
      </c>
      <c r="L74" s="222">
        <f>ROUND(data!BW66,0)</f>
        <v>1451904</v>
      </c>
      <c r="M74" s="66">
        <f>ROUND(data!BW67,0)</f>
        <v>0</v>
      </c>
      <c r="N74" s="222">
        <f>ROUND(data!BW68,0)</f>
        <v>711</v>
      </c>
      <c r="O74" s="222">
        <f>ROUND(data!BW69,0)</f>
        <v>36966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36966</v>
      </c>
      <c r="AD74" s="222">
        <f>ROUND(data!BW84,0)</f>
        <v>-7000</v>
      </c>
      <c r="AE74" s="222"/>
      <c r="AF74" s="222"/>
      <c r="AG74" s="222">
        <f>IF(data!BW90&gt;0,ROUND(data!BW90,0),0)</f>
        <v>128316</v>
      </c>
      <c r="AH74" s="222">
        <f>IF(data!BW91&gt;0,ROUND(data!BW91,0),0)</f>
        <v>0</v>
      </c>
      <c r="AI74" s="222">
        <f>IF(data!BW92&gt;0,ROUND(data!BW92,0),0)</f>
        <v>44290</v>
      </c>
      <c r="AJ74" s="222">
        <f>IF(data!BW93&gt;0,ROUND(data!BW93,0),0)</f>
        <v>61964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029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54.48</v>
      </c>
      <c r="G75" s="222">
        <f>ROUND(data!BX61,0)</f>
        <v>6372280</v>
      </c>
      <c r="H75" s="222">
        <f>ROUND(data!BX62,0)</f>
        <v>2029495</v>
      </c>
      <c r="I75" s="222">
        <f>ROUND(data!BX63,0)</f>
        <v>0</v>
      </c>
      <c r="J75" s="222">
        <f>ROUND(data!BX64,0)</f>
        <v>96912</v>
      </c>
      <c r="K75" s="222">
        <f>ROUND(data!BX65,0)</f>
        <v>1494</v>
      </c>
      <c r="L75" s="222">
        <f>ROUND(data!BX66,0)</f>
        <v>40380</v>
      </c>
      <c r="M75" s="66">
        <f>ROUND(data!BX67,0)</f>
        <v>0</v>
      </c>
      <c r="N75" s="222">
        <f>ROUND(data!BX68,0)</f>
        <v>82</v>
      </c>
      <c r="O75" s="222">
        <f>ROUND(data!BX69,0)</f>
        <v>718503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718503</v>
      </c>
      <c r="AD75" s="222">
        <f>ROUND(data!BX84,0)</f>
        <v>249247</v>
      </c>
      <c r="AE75" s="222"/>
      <c r="AF75" s="222"/>
      <c r="AG75" s="222">
        <f>IF(data!BX90&gt;0,ROUND(data!BX90,0),0)</f>
        <v>5124</v>
      </c>
      <c r="AH75" s="222">
        <f>IF(data!BX91&gt;0,ROUND(data!BX91,0),0)</f>
        <v>0</v>
      </c>
      <c r="AI75" s="222">
        <f>IF(data!BX92&gt;0,ROUND(data!BX92,0),0)</f>
        <v>1769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029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97.65</v>
      </c>
      <c r="G76" s="222">
        <f>ROUND(data!BY61,0)</f>
        <v>10493769</v>
      </c>
      <c r="H76" s="222">
        <f>ROUND(data!BY62,0)</f>
        <v>3502913</v>
      </c>
      <c r="I76" s="222">
        <f>ROUND(data!BY63,0)</f>
        <v>14032</v>
      </c>
      <c r="J76" s="222">
        <f>ROUND(data!BY64,0)</f>
        <v>20095</v>
      </c>
      <c r="K76" s="222">
        <f>ROUND(data!BY65,0)</f>
        <v>212</v>
      </c>
      <c r="L76" s="222">
        <f>ROUND(data!BY66,0)</f>
        <v>10641</v>
      </c>
      <c r="M76" s="66">
        <f>ROUND(data!BY67,0)</f>
        <v>0</v>
      </c>
      <c r="N76" s="222">
        <f>ROUND(data!BY68,0)</f>
        <v>478</v>
      </c>
      <c r="O76" s="222">
        <f>ROUND(data!BY69,0)</f>
        <v>51270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51270</v>
      </c>
      <c r="AD76" s="222">
        <f>ROUND(data!BY84,0)</f>
        <v>0</v>
      </c>
      <c r="AE76" s="222"/>
      <c r="AF76" s="222"/>
      <c r="AG76" s="222">
        <f>IF(data!BY90&gt;0,ROUND(data!BY90,0),0)</f>
        <v>3237</v>
      </c>
      <c r="AH76" s="222">
        <f>IF(data!BY91&gt;0,ROUND(data!BY91,0),0)</f>
        <v>0</v>
      </c>
      <c r="AI76" s="222">
        <f>IF(data!BY92&gt;0,ROUND(data!BY92,0),0)</f>
        <v>1117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029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73.11</v>
      </c>
      <c r="G77" s="222">
        <f>ROUND(data!BZ61,0)</f>
        <v>12659165</v>
      </c>
      <c r="H77" s="222">
        <f>ROUND(data!BZ62,0)</f>
        <v>1692361</v>
      </c>
      <c r="I77" s="222">
        <f>ROUND(data!BZ63,0)</f>
        <v>0</v>
      </c>
      <c r="J77" s="222">
        <f>ROUND(data!BZ64,0)</f>
        <v>6733</v>
      </c>
      <c r="K77" s="222">
        <f>ROUND(data!BZ65,0)</f>
        <v>0</v>
      </c>
      <c r="L77" s="222">
        <f>ROUND(data!BZ66,0)</f>
        <v>0</v>
      </c>
      <c r="M77" s="66">
        <f>ROUND(data!BZ67,0)</f>
        <v>1776</v>
      </c>
      <c r="N77" s="222">
        <f>ROUND(data!BZ68,0)</f>
        <v>0</v>
      </c>
      <c r="O77" s="222">
        <f>ROUND(data!BZ69,0)</f>
        <v>7802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7802</v>
      </c>
      <c r="AD77" s="222">
        <f>ROUND(data!BZ84,0)</f>
        <v>0</v>
      </c>
      <c r="AE77" s="222"/>
      <c r="AF77" s="222"/>
      <c r="AG77" s="222">
        <f>IF(data!BZ90&gt;0,ROUND(data!BZ90,0),0)</f>
        <v>1806</v>
      </c>
      <c r="AH77" s="222">
        <f>IF(data!BZ91&gt;0,ROUND(data!BZ91,0),0)</f>
        <v>0</v>
      </c>
      <c r="AI77" s="222">
        <f>IF(data!BZ92&gt;0,ROUND(data!BZ92,0),0)</f>
        <v>623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029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26.88</v>
      </c>
      <c r="G78" s="222">
        <f>ROUND(data!CA61,0)</f>
        <v>3103077</v>
      </c>
      <c r="H78" s="222">
        <f>ROUND(data!CA62,0)</f>
        <v>935211</v>
      </c>
      <c r="I78" s="222">
        <f>ROUND(data!CA63,0)</f>
        <v>34784</v>
      </c>
      <c r="J78" s="222">
        <f>ROUND(data!CA64,0)</f>
        <v>94739</v>
      </c>
      <c r="K78" s="222">
        <f>ROUND(data!CA65,0)</f>
        <v>4997</v>
      </c>
      <c r="L78" s="222">
        <f>ROUND(data!CA66,0)</f>
        <v>167809</v>
      </c>
      <c r="M78" s="66">
        <f>ROUND(data!CA67,0)</f>
        <v>7512</v>
      </c>
      <c r="N78" s="222">
        <f>ROUND(data!CA68,0)</f>
        <v>1242</v>
      </c>
      <c r="O78" s="222">
        <f>ROUND(data!CA69,0)</f>
        <v>927538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927538</v>
      </c>
      <c r="AD78" s="222">
        <f>ROUND(data!CA84,0)</f>
        <v>41129</v>
      </c>
      <c r="AE78" s="222"/>
      <c r="AF78" s="222"/>
      <c r="AG78" s="222">
        <f>IF(data!CA90&gt;0,ROUND(data!CA90,0),0)</f>
        <v>9794</v>
      </c>
      <c r="AH78" s="222">
        <f>IF(data!CA91&gt;0,ROUND(data!CA91,0),0)</f>
        <v>0</v>
      </c>
      <c r="AI78" s="222">
        <f>IF(data!CA92&gt;0,ROUND(data!CA92,0),0)</f>
        <v>3381</v>
      </c>
      <c r="AJ78" s="222">
        <f>IF(data!CA93&gt;0,ROUND(data!CA93,0),0)</f>
        <v>5858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029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5.3</v>
      </c>
      <c r="G79" s="222">
        <f>ROUND(data!CB61,0)</f>
        <v>729791</v>
      </c>
      <c r="H79" s="222">
        <f>ROUND(data!CB62,0)</f>
        <v>217636</v>
      </c>
      <c r="I79" s="222">
        <f>ROUND(data!CB63,0)</f>
        <v>0</v>
      </c>
      <c r="J79" s="222">
        <f>ROUND(data!CB64,0)</f>
        <v>33909</v>
      </c>
      <c r="K79" s="222">
        <f>ROUND(data!CB65,0)</f>
        <v>0</v>
      </c>
      <c r="L79" s="222">
        <f>ROUND(data!CB66,0)</f>
        <v>36463</v>
      </c>
      <c r="M79" s="66">
        <f>ROUND(data!CB67,0)</f>
        <v>0</v>
      </c>
      <c r="N79" s="222">
        <f>ROUND(data!CB68,0)</f>
        <v>0</v>
      </c>
      <c r="O79" s="222">
        <f>ROUND(data!CB69,0)</f>
        <v>59173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59173</v>
      </c>
      <c r="AD79" s="222">
        <f>ROUND(data!CB84,0)</f>
        <v>97712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029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77.31</v>
      </c>
      <c r="G80" s="222">
        <f>ROUND(data!CC61,0)</f>
        <v>12941284</v>
      </c>
      <c r="H80" s="222">
        <f>ROUND(data!CC62,0)</f>
        <v>4705624</v>
      </c>
      <c r="I80" s="222">
        <f>ROUND(data!CC63,0)</f>
        <v>7098</v>
      </c>
      <c r="J80" s="222">
        <f>ROUND(data!CC64,0)</f>
        <v>-2882444</v>
      </c>
      <c r="K80" s="222">
        <f>ROUND(data!CC65,0)</f>
        <v>5138803</v>
      </c>
      <c r="L80" s="222">
        <f>ROUND(data!CC66,0)</f>
        <v>24553529</v>
      </c>
      <c r="M80" s="66">
        <f>ROUND(data!CC67,0)</f>
        <v>26280360</v>
      </c>
      <c r="N80" s="222">
        <f>ROUND(data!CC68,0)</f>
        <v>-2631236</v>
      </c>
      <c r="O80" s="222">
        <f>ROUND(data!CC69,0)</f>
        <v>6634382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6634382</v>
      </c>
      <c r="AD80" s="222">
        <f>ROUND(data!CC84,0)</f>
        <v>14192231</v>
      </c>
      <c r="AE80" s="222"/>
      <c r="AF80" s="222"/>
      <c r="AG80" s="222">
        <f>IF(data!CC90&gt;0,ROUND(data!CC90,0),0)</f>
        <v>70549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Harborview Medical Center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H-029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325 Ninth Avenue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Seattle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 t="str">
        <f>data!C97</f>
        <v>029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67280693.76000002</v>
      </c>
      <c r="D15" s="275">
        <f>'Prior Year'!C60</f>
        <v>0</v>
      </c>
      <c r="E15" s="1">
        <f>data!C59</f>
        <v>29553</v>
      </c>
      <c r="F15" s="238" t="str">
        <f ref="F15:F59" t="shared" si="0">IF(B15=0,"",IF(D15=0,"",B15/D15))</f>
      </c>
      <c r="G15" s="238">
        <f ref="G15:G29" t="shared" si="1">IF(C15=0,"",IF(E15=0,"",C15/E15))</f>
        <v>2276.6113003755972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103328117.69000001</v>
      </c>
      <c r="D16" s="275">
        <f>'Prior Year'!D60</f>
        <v>0</v>
      </c>
      <c r="E16" s="1">
        <f>data!D59</f>
        <v>102307</v>
      </c>
      <c r="F16" s="238" t="str">
        <f t="shared" si="0"/>
      </c>
      <c r="G16" s="238">
        <f t="shared" si="1"/>
        <v>1009.9809171415446</v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342003.89</v>
      </c>
      <c r="D17" s="275">
        <f>'Prior Year'!E60</f>
        <v>0</v>
      </c>
      <c r="E17" s="1">
        <f>data!E59</f>
        <v>2008</v>
      </c>
      <c r="F17" s="238" t="str">
        <f t="shared" si="0"/>
      </c>
      <c r="G17" s="238">
        <f t="shared" si="1"/>
        <v>170.32066235059762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10228192.6</v>
      </c>
      <c r="D19" s="275">
        <f>'Prior Year'!G60</f>
        <v>0</v>
      </c>
      <c r="E19" s="1">
        <f>data!G59</f>
        <v>10575</v>
      </c>
      <c r="F19" s="238" t="str">
        <f t="shared" si="0"/>
      </c>
      <c r="G19" s="238">
        <f t="shared" si="1"/>
        <v>967.20497399527187</v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16537989.179999998</v>
      </c>
      <c r="D20" s="275">
        <f>'Prior Year'!H60</f>
        <v>0</v>
      </c>
      <c r="E20" s="1">
        <f>data!H59</f>
        <v>23130</v>
      </c>
      <c r="F20" s="238" t="str">
        <f t="shared" si="0"/>
      </c>
      <c r="G20" s="238">
        <f t="shared" si="1"/>
        <v>715.00169390402061</v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42664.170000000006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80371675.050000012</v>
      </c>
      <c r="D28" s="275">
        <f>'Prior Year'!P60</f>
        <v>0</v>
      </c>
      <c r="E28" s="1">
        <f>data!P59</f>
        <v>3057453</v>
      </c>
      <c r="F28" s="238" t="str">
        <f t="shared" si="0"/>
      </c>
      <c r="G28" s="238">
        <f t="shared" si="1"/>
        <v>26.287133457161897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12226337.030000003</v>
      </c>
      <c r="D29" s="275">
        <f>'Prior Year'!Q60</f>
        <v>0</v>
      </c>
      <c r="E29" s="1">
        <f>data!Q59</f>
        <v>1196361</v>
      </c>
      <c r="F29" s="238" t="str">
        <f t="shared" si="0"/>
      </c>
      <c r="G29" s="238">
        <f t="shared" si="1"/>
        <v>10.219605144266659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16239356.12</v>
      </c>
      <c r="D30" s="275">
        <f>'Prior Year'!R60</f>
        <v>0</v>
      </c>
      <c r="E30" s="1">
        <f>data!R59</f>
        <v>7000254</v>
      </c>
      <c r="F30" s="238" t="str">
        <f t="shared" si="0"/>
      </c>
      <c r="G30" s="238">
        <f>IFERROR(IF(C30=0,"",IF(E30=0,"",C30/E30)),"")</f>
        <v>2.3198238406777811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14473156.6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0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34841649.84</v>
      </c>
      <c r="D33" s="275">
        <f>'Prior Year'!U60</f>
        <v>0</v>
      </c>
      <c r="E33" s="1">
        <f>data!U59</f>
        <v>1811031</v>
      </c>
      <c r="F33" s="238" t="str">
        <f t="shared" si="0"/>
      </c>
      <c r="G33" s="238">
        <f ref="G33:G69" t="shared" si="5">IF(C33=0,"",IF(E33=0,"",C33/E33))</f>
        <v>19.23857175277508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10282554.360000001</v>
      </c>
      <c r="D34" s="275">
        <f>'Prior Year'!V60</f>
        <v>0</v>
      </c>
      <c r="E34" s="1">
        <f>data!V59</f>
        <v>63709</v>
      </c>
      <c r="F34" s="238" t="str">
        <f t="shared" si="0"/>
      </c>
      <c r="G34" s="238">
        <f t="shared" si="5"/>
        <v>161.39877191605584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2688725.07</v>
      </c>
      <c r="D35" s="275">
        <f>'Prior Year'!W60</f>
        <v>0</v>
      </c>
      <c r="E35" s="1">
        <f>data!W59</f>
        <v>91226.900000000009</v>
      </c>
      <c r="F35" s="238" t="str">
        <f t="shared" si="0"/>
      </c>
      <c r="G35" s="238">
        <f t="shared" si="5"/>
        <v>29.47294131445878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6100233.63</v>
      </c>
      <c r="D36" s="275">
        <f>'Prior Year'!X60</f>
        <v>0</v>
      </c>
      <c r="E36" s="1">
        <f>data!X59</f>
        <v>332002.01000000013</v>
      </c>
      <c r="F36" s="238" t="str">
        <f t="shared" si="0"/>
      </c>
      <c r="G36" s="238">
        <f t="shared" si="5"/>
        <v>18.374086440018836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30362270.43</v>
      </c>
      <c r="D37" s="275">
        <f>'Prior Year'!Y60</f>
        <v>0</v>
      </c>
      <c r="E37" s="1">
        <f>data!Y59</f>
        <v>427628.55000000028</v>
      </c>
      <c r="F37" s="238" t="str">
        <f t="shared" si="0"/>
      </c>
      <c r="G37" s="238">
        <f t="shared" si="5"/>
        <v>71.001504530041274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1702240.55</v>
      </c>
      <c r="D38" s="275">
        <f>'Prior Year'!Z60</f>
        <v>0</v>
      </c>
      <c r="E38" s="1">
        <f>data!Z59</f>
        <v>11412.91</v>
      </c>
      <c r="F38" s="238" t="str">
        <f t="shared" si="0"/>
      </c>
      <c r="G38" s="238">
        <f t="shared" si="5"/>
        <v>149.15044015943349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1016094.95</v>
      </c>
      <c r="D39" s="275">
        <f>'Prior Year'!AA60</f>
        <v>0</v>
      </c>
      <c r="E39" s="1">
        <f>data!AA59</f>
        <v>13732.110000000002</v>
      </c>
      <c r="F39" s="238" t="str">
        <f t="shared" si="0"/>
      </c>
      <c r="G39" s="238">
        <f t="shared" si="5"/>
        <v>73.99408758013152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101439925.95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14560931.81</v>
      </c>
      <c r="D41" s="275">
        <f>'Prior Year'!AC60</f>
        <v>0</v>
      </c>
      <c r="E41" s="1">
        <f>data!AC59</f>
        <v>61493</v>
      </c>
      <c r="F41" s="238" t="str">
        <f t="shared" si="0"/>
      </c>
      <c r="G41" s="238">
        <f t="shared" si="5"/>
        <v>236.79007057713886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3490837.13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11369387.54</v>
      </c>
      <c r="D43" s="275">
        <f>'Prior Year'!AE60</f>
        <v>0</v>
      </c>
      <c r="E43" s="1">
        <f>data!AE59</f>
        <v>132770</v>
      </c>
      <c r="F43" s="238" t="str">
        <f t="shared" si="0"/>
      </c>
      <c r="G43" s="238">
        <f t="shared" si="5"/>
        <v>85.632202606010381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3764091.7600000007</v>
      </c>
      <c r="D44" s="275">
        <f>'Prior Year'!AF60</f>
        <v>0</v>
      </c>
      <c r="E44" s="1">
        <f>data!AF59</f>
        <v>48840</v>
      </c>
      <c r="F44" s="238" t="str">
        <f t="shared" si="0"/>
      </c>
      <c r="G44" s="238">
        <f t="shared" si="5"/>
        <v>77.069855855855877</v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42694085.6</v>
      </c>
      <c r="D45" s="275">
        <f>'Prior Year'!AG60</f>
        <v>0</v>
      </c>
      <c r="E45" s="1">
        <f>data!AG59</f>
        <v>50401</v>
      </c>
      <c r="F45" s="238" t="str">
        <f t="shared" si="0"/>
      </c>
      <c r="G45" s="238">
        <f t="shared" si="5"/>
        <v>847.08806571298192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61383.51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80457336.92</v>
      </c>
      <c r="D48" s="275">
        <f>'Prior Year'!AJ60</f>
        <v>0</v>
      </c>
      <c r="E48" s="1">
        <f>data!AJ59</f>
        <v>265817</v>
      </c>
      <c r="F48" s="238" t="str">
        <f t="shared" si="0"/>
      </c>
      <c r="G48" s="238">
        <f t="shared" si="5"/>
        <v>302.67942577036081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3908554.3899999997</v>
      </c>
      <c r="D49" s="275">
        <f>'Prior Year'!AK60</f>
        <v>0</v>
      </c>
      <c r="E49" s="1">
        <f>data!AK59</f>
        <v>78048</v>
      </c>
      <c r="F49" s="238" t="str">
        <f t="shared" si="0"/>
      </c>
      <c r="G49" s="238">
        <f t="shared" si="5"/>
        <v>50.0788539104141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233003.06000000029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7952653.3000000017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31795341.34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12197793.819999997</v>
      </c>
      <c r="D63" s="275">
        <f>'Prior Year'!AY60</f>
        <v>0</v>
      </c>
      <c r="E63" s="1">
        <f>data!AY59</f>
        <v>848294</v>
      </c>
      <c r="F63" s="238" t="str">
        <f>IF(B63=0,"",IF(D63=0,"",B63/D63))</f>
      </c>
      <c r="G63" s="238">
        <f t="shared" si="5"/>
        <v>14.379205582026982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1770431.57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17406570.099999994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3634330.24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27891024.93</v>
      </c>
      <c r="D69" s="275">
        <f>'Prior Year'!BE60</f>
        <v>0</v>
      </c>
      <c r="E69" s="1">
        <f>data!BE59</f>
        <v>1163874.7499999998</v>
      </c>
      <c r="F69" s="238" t="str">
        <f>IF(B69=0,"",IF(D69=0,"",B69/D69))</f>
      </c>
      <c r="G69" s="238">
        <f t="shared" si="5"/>
        <v>23.963940217794057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16374066.41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796362.91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77303462.96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206559.3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7994066.83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18691126.99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5942195.55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897.48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13694582.919999998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1488616.5699999998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1218299.18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6928728.34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285846.86000000004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796115.52999999991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6476138.25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68619320.089999989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9009898.09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14093410.110000001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14367838.13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5235780.5200000005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979261.05999999994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60555168.72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0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87821123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1310951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H-29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Harborview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98104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Sommer Kleweno-Walley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Jacqueline Cabe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206.744.3000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  <v> X</v>
      </c>
      <c r="B17" s="81" t="s">
        <v>310</v>
      </c>
      <c r="C17" s="93" t="str">
        <f>IF(data!C118&gt;0," X","")</f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15180</v>
      </c>
      <c r="G23" s="81">
        <f>data!D127</f>
        <v>167573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89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228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0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0</v>
      </c>
      <c r="E34" s="78" t="s">
        <v>351</v>
      </c>
      <c r="F34" s="81"/>
      <c r="G34" s="81">
        <f>data!E143</f>
        <v>413</v>
      </c>
    </row>
    <row r="35" ht="20.1" customHeight="1">
      <c r="A35" s="77"/>
      <c r="B35" s="97" t="s">
        <v>851</v>
      </c>
      <c r="C35" s="81"/>
      <c r="D35" s="81">
        <f>data!C137</f>
        <v>28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68</v>
      </c>
      <c r="E36" s="78" t="s">
        <v>352</v>
      </c>
      <c r="F36" s="81"/>
      <c r="G36" s="81">
        <f>data!C144</f>
        <v>413</v>
      </c>
    </row>
    <row r="37" ht="20.1" customHeight="1">
      <c r="A37" s="77"/>
      <c r="E37" s="78" t="s">
        <v>353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Harborview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5319</v>
      </c>
      <c r="C7" s="141">
        <f>data!B155</f>
        <v>59634</v>
      </c>
      <c r="D7" s="141">
        <f>data!B156</f>
        <v>130614</v>
      </c>
      <c r="E7" s="141">
        <f>data!B157</f>
        <v>670291401</v>
      </c>
      <c r="F7" s="141">
        <f>data!B158</f>
        <v>305784145</v>
      </c>
      <c r="G7" s="141">
        <f>data!B157+data!B158</f>
        <v>976075546</v>
      </c>
    </row>
    <row r="8" ht="20.1" customHeight="1">
      <c r="A8" s="77" t="s">
        <v>358</v>
      </c>
      <c r="B8" s="141">
        <f>data!C154</f>
        <v>5480</v>
      </c>
      <c r="C8" s="141">
        <f>data!C155</f>
        <v>66624</v>
      </c>
      <c r="D8" s="141">
        <f>data!C156</f>
        <v>119124</v>
      </c>
      <c r="E8" s="141">
        <f>data!C157</f>
        <v>732490416</v>
      </c>
      <c r="F8" s="141">
        <f>data!C158</f>
        <v>307250839</v>
      </c>
      <c r="G8" s="141">
        <f>data!C157+data!C158</f>
        <v>1039741255</v>
      </c>
    </row>
    <row r="9" ht="20.1" customHeight="1">
      <c r="A9" s="77" t="s">
        <v>861</v>
      </c>
      <c r="B9" s="141">
        <f>data!D154</f>
        <v>4381</v>
      </c>
      <c r="C9" s="141">
        <f>data!D155</f>
        <v>41315</v>
      </c>
      <c r="D9" s="141">
        <f>data!D156</f>
        <v>61689</v>
      </c>
      <c r="E9" s="141">
        <f>data!D157</f>
        <v>599107478</v>
      </c>
      <c r="F9" s="141">
        <f>data!D158</f>
        <v>474785033</v>
      </c>
      <c r="G9" s="141">
        <f>data!D157+data!D158</f>
        <v>1073892511</v>
      </c>
    </row>
    <row r="10" ht="20.1" customHeight="1">
      <c r="A10" s="92" t="s">
        <v>230</v>
      </c>
      <c r="B10" s="141">
        <f>data!E154</f>
        <v>15180</v>
      </c>
      <c r="C10" s="141">
        <f>data!E155</f>
        <v>167573</v>
      </c>
      <c r="D10" s="141">
        <f>data!E156</f>
        <v>311427</v>
      </c>
      <c r="E10" s="141">
        <f>data!E157</f>
        <v>2001889295</v>
      </c>
      <c r="F10" s="141">
        <f>data!E158</f>
        <v>1087820017</v>
      </c>
      <c r="G10" s="141">
        <f>E10+F10</f>
        <v>3089709312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Harborview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29317596.51</v>
      </c>
    </row>
    <row r="7" ht="20.1" customHeight="1">
      <c r="A7" s="158">
        <v>3</v>
      </c>
      <c r="B7" s="97" t="s">
        <v>369</v>
      </c>
      <c r="C7" s="77">
        <f>data!C182</f>
        <v>803787.01</v>
      </c>
    </row>
    <row r="8" ht="20.1" customHeight="1">
      <c r="A8" s="158">
        <v>4</v>
      </c>
      <c r="B8" s="78" t="s">
        <v>370</v>
      </c>
      <c r="C8" s="77">
        <f>data!C183</f>
        <v>2536144.36</v>
      </c>
    </row>
    <row r="9" ht="20.1" customHeight="1">
      <c r="A9" s="158">
        <v>5</v>
      </c>
      <c r="B9" s="78" t="s">
        <v>371</v>
      </c>
      <c r="C9" s="77">
        <f>data!C184</f>
        <v>62906510.03</v>
      </c>
    </row>
    <row r="10" ht="20.1" customHeight="1">
      <c r="A10" s="158">
        <v>6</v>
      </c>
      <c r="B10" s="78" t="s">
        <v>372</v>
      </c>
      <c r="C10" s="77">
        <f>data!C185</f>
        <v>0</v>
      </c>
    </row>
    <row r="11" ht="20.1" customHeight="1">
      <c r="A11" s="158">
        <v>7</v>
      </c>
      <c r="B11" s="78" t="s">
        <v>373</v>
      </c>
      <c r="C11" s="77">
        <f>data!C186</f>
        <v>39313204.63</v>
      </c>
    </row>
    <row r="12" ht="20.1" customHeight="1">
      <c r="A12" s="158">
        <v>8</v>
      </c>
      <c r="B12" s="78" t="s">
        <v>374</v>
      </c>
      <c r="C12" s="77">
        <f>data!C187</f>
        <v>2132905.68</v>
      </c>
    </row>
    <row r="13" ht="20.1" customHeight="1">
      <c r="A13" s="158">
        <v>9</v>
      </c>
      <c r="B13" s="78" t="s">
        <v>374</v>
      </c>
      <c r="C13" s="77">
        <f>data!C188</f>
        <v>0</v>
      </c>
    </row>
    <row r="14" ht="20.1" customHeight="1">
      <c r="A14" s="158">
        <v>10</v>
      </c>
      <c r="B14" s="78" t="s">
        <v>869</v>
      </c>
      <c r="C14" s="77">
        <f>data!D189</f>
        <v>137010148.22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-332684</v>
      </c>
    </row>
    <row r="19" ht="20.1" customHeight="1">
      <c r="A19" s="77">
        <v>13</v>
      </c>
      <c r="B19" s="78" t="s">
        <v>871</v>
      </c>
      <c r="C19" s="77">
        <f>data!C192</f>
        <v>4368617</v>
      </c>
    </row>
    <row r="20" ht="20.1" customHeight="1">
      <c r="A20" s="77">
        <v>14</v>
      </c>
      <c r="B20" s="78" t="s">
        <v>872</v>
      </c>
      <c r="C20" s="77">
        <f>data!D193</f>
        <v>4035933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5838281</v>
      </c>
    </row>
    <row r="26" ht="20.1" customHeight="1">
      <c r="A26" s="77">
        <v>18</v>
      </c>
      <c r="B26" s="78" t="s">
        <v>380</v>
      </c>
      <c r="C26" s="77">
        <f>data!C196</f>
        <v>1745732</v>
      </c>
    </row>
    <row r="27" ht="20.1" customHeight="1">
      <c r="A27" s="77">
        <v>19</v>
      </c>
      <c r="B27" s="78" t="s">
        <v>875</v>
      </c>
      <c r="C27" s="77">
        <f>data!D197</f>
        <v>7584013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2751226</v>
      </c>
    </row>
    <row r="32" ht="20.1" customHeight="1">
      <c r="A32" s="77">
        <v>22</v>
      </c>
      <c r="B32" s="78" t="s">
        <v>877</v>
      </c>
      <c r="C32" s="77">
        <f>data!C200</f>
        <v>-987171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1764055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0</v>
      </c>
    </row>
    <row r="40" ht="20.1" customHeight="1">
      <c r="A40" s="77">
        <v>28</v>
      </c>
      <c r="B40" s="78" t="s">
        <v>880</v>
      </c>
      <c r="C40" s="77">
        <f>data!D206</f>
        <v>0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Harborview Medical Center</v>
      </c>
      <c r="F3" s="156" t="str">
        <f>"FYE: "&amp;data!C96</f>
        <v>FYE: 06/30/2022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2432000</v>
      </c>
      <c r="D7" s="81">
        <f>data!C225</f>
        <v>295000</v>
      </c>
      <c r="E7" s="81">
        <f>data!D225</f>
        <v>0</v>
      </c>
      <c r="F7" s="81">
        <f>data!E211</f>
        <v>2432000</v>
      </c>
    </row>
    <row r="8" ht="20.1" customHeight="1">
      <c r="A8" s="77">
        <v>2</v>
      </c>
      <c r="B8" s="81" t="s">
        <v>394</v>
      </c>
      <c r="C8" s="81">
        <f>data!B212</f>
        <v>7378000</v>
      </c>
      <c r="D8" s="81">
        <f>data!C226</f>
        <v>15161000</v>
      </c>
      <c r="E8" s="81">
        <f>data!D226</f>
        <v>0</v>
      </c>
      <c r="F8" s="81">
        <f>data!E212</f>
        <v>7378000</v>
      </c>
    </row>
    <row r="9" ht="20.1" customHeight="1">
      <c r="A9" s="77">
        <v>3</v>
      </c>
      <c r="B9" s="81" t="s">
        <v>395</v>
      </c>
      <c r="C9" s="81">
        <f>data!B213</f>
        <v>448580110.26</v>
      </c>
      <c r="D9" s="81">
        <f>data!C227</f>
        <v>-1069000</v>
      </c>
      <c r="E9" s="81">
        <f>data!D227</f>
        <v>0</v>
      </c>
      <c r="F9" s="81">
        <f>data!E213</f>
        <v>459243110.26</v>
      </c>
    </row>
    <row r="10" ht="20.1" customHeight="1">
      <c r="A10" s="77">
        <v>4</v>
      </c>
      <c r="B10" s="81" t="s">
        <v>886</v>
      </c>
      <c r="C10" s="81">
        <f>data!B214</f>
        <v>128340791.79</v>
      </c>
      <c r="D10" s="81">
        <f>data!C228</f>
        <v>0</v>
      </c>
      <c r="E10" s="81">
        <f>data!D228</f>
        <v>0</v>
      </c>
      <c r="F10" s="81">
        <f>data!E214</f>
        <v>124164791.79</v>
      </c>
    </row>
    <row r="11" ht="20.1" customHeight="1">
      <c r="A11" s="77">
        <v>5</v>
      </c>
      <c r="B11" s="81" t="s">
        <v>887</v>
      </c>
      <c r="C11" s="81">
        <f>data!B215</f>
        <v>0</v>
      </c>
      <c r="D11" s="81">
        <f>data!C229</f>
        <v>11625000</v>
      </c>
      <c r="E11" s="81">
        <f>data!D229</f>
        <v>2308000</v>
      </c>
      <c r="F11" s="81">
        <f>data!E215</f>
        <v>0</v>
      </c>
    </row>
    <row r="12" ht="20.1" customHeight="1">
      <c r="A12" s="77">
        <v>6</v>
      </c>
      <c r="B12" s="81" t="s">
        <v>888</v>
      </c>
      <c r="C12" s="81">
        <f>data!B216</f>
        <v>190056000</v>
      </c>
      <c r="D12" s="81">
        <f>data!C230</f>
        <v>0</v>
      </c>
      <c r="E12" s="81">
        <f>data!D230</f>
        <v>0</v>
      </c>
      <c r="F12" s="81">
        <f>data!E216</f>
        <v>198937000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851000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13854000</v>
      </c>
      <c r="D14" s="81">
        <f>data!C232</f>
        <v>0</v>
      </c>
      <c r="E14" s="81">
        <f>data!D232</f>
        <v>0</v>
      </c>
      <c r="F14" s="81">
        <f>data!E218</f>
        <v>14158000</v>
      </c>
    </row>
    <row r="15" ht="20.1" customHeight="1">
      <c r="A15" s="77">
        <v>9</v>
      </c>
      <c r="B15" s="81" t="s">
        <v>890</v>
      </c>
      <c r="C15" s="81">
        <f>data!B219</f>
        <v>5792412.5199999977</v>
      </c>
      <c r="D15" s="81">
        <f>data!C233</f>
        <v>26863000</v>
      </c>
      <c r="E15" s="81">
        <f>data!D233</f>
        <v>2308000</v>
      </c>
      <c r="F15" s="81">
        <f>data!E219</f>
        <v>12521412.519999996</v>
      </c>
    </row>
    <row r="16" ht="20.1" customHeight="1">
      <c r="A16" s="77">
        <v>10</v>
      </c>
      <c r="B16" s="81" t="s">
        <v>614</v>
      </c>
      <c r="C16" s="81">
        <f>data!B220</f>
        <v>796433314.56999993</v>
      </c>
      <c r="D16" s="81">
        <f>data!C234</f>
        <v>0</v>
      </c>
      <c r="E16" s="81">
        <f>data!D234</f>
        <v>0</v>
      </c>
      <c r="F16" s="81">
        <f>data!E220</f>
        <v>818834314.56999993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4677000</v>
      </c>
      <c r="D24" s="81">
        <f>data!C225</f>
        <v>295000</v>
      </c>
      <c r="E24" s="81">
        <f>data!D225</f>
        <v>0</v>
      </c>
      <c r="F24" s="81">
        <f>data!E225</f>
        <v>4972000</v>
      </c>
    </row>
    <row r="25" ht="20.1" customHeight="1">
      <c r="A25" s="77">
        <v>13</v>
      </c>
      <c r="B25" s="81" t="s">
        <v>395</v>
      </c>
      <c r="C25" s="81">
        <f>data!B226</f>
        <v>242913000</v>
      </c>
      <c r="D25" s="81">
        <f>data!C226</f>
        <v>15161000</v>
      </c>
      <c r="E25" s="81">
        <f>data!D226</f>
        <v>0</v>
      </c>
      <c r="F25" s="81">
        <f>data!E226</f>
        <v>258074000</v>
      </c>
    </row>
    <row r="26" ht="20.1" customHeight="1">
      <c r="A26" s="77">
        <v>14</v>
      </c>
      <c r="B26" s="81" t="s">
        <v>886</v>
      </c>
      <c r="C26" s="81">
        <f>data!B227</f>
        <v>117959000</v>
      </c>
      <c r="D26" s="81">
        <f>data!C227</f>
        <v>-1069000</v>
      </c>
      <c r="E26" s="81">
        <f>data!D227</f>
        <v>0</v>
      </c>
      <c r="F26" s="81">
        <f>data!E227</f>
        <v>116890000</v>
      </c>
    </row>
    <row r="27" ht="20.1" customHeight="1">
      <c r="A27" s="77">
        <v>15</v>
      </c>
      <c r="B27" s="81" t="s">
        <v>887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ht="20.1" customHeight="1">
      <c r="A28" s="77">
        <v>16</v>
      </c>
      <c r="B28" s="81" t="s">
        <v>888</v>
      </c>
      <c r="C28" s="81">
        <f>data!B229</f>
        <v>154127000</v>
      </c>
      <c r="D28" s="81">
        <f>data!C229</f>
        <v>11625000</v>
      </c>
      <c r="E28" s="81">
        <f>data!D229</f>
        <v>2308000</v>
      </c>
      <c r="F28" s="81">
        <f>data!E229</f>
        <v>163444000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7863000</v>
      </c>
      <c r="D30" s="81">
        <f>data!C231</f>
        <v>851000</v>
      </c>
      <c r="E30" s="81">
        <f>data!D231</f>
        <v>0</v>
      </c>
      <c r="F30" s="81">
        <f>data!E231</f>
        <v>8714000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527539000</v>
      </c>
      <c r="D32" s="81">
        <f>data!C233</f>
        <v>26863000</v>
      </c>
      <c r="E32" s="81">
        <f>data!D233</f>
        <v>2308000</v>
      </c>
      <c r="F32" s="81">
        <f>data!E233</f>
        <v>552094000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Harborview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46108339.939880587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722354288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721256191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417324908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25903345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0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-54761129.556138121</v>
      </c>
    </row>
    <row r="13" ht="20.1" customHeight="1">
      <c r="A13" s="77">
        <v>9</v>
      </c>
      <c r="B13" s="81"/>
      <c r="C13" s="81" t="s">
        <v>897</v>
      </c>
      <c r="D13" s="81">
        <f>data!D245</f>
        <v>1832077602.443862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9828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55675238.6672693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71105023.948988244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126780262.61625755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0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0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2022-12-30T00:37:42Z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