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50EFB495-67F2-45D8-8799-67A7BBA02D4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<sst xmlns="http://schemas.openxmlformats.org/spreadsheetml/2006/main" count="1376" uniqueCount="1376">
  <si>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</si>
  <si>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</si>
  <si>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</si>
  <si>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</si>
  <si>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</si>
  <si>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</si>
  <si>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</si>
  <si>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</si>
  <si>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</si>
  <si>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</si>
  <si>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</si>
  <si>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</si>
  <si>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</si>
  <si>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</si>
  <si>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</si>
  <si>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</si>
  <si>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</si>
  <si>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</si>
  <si>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</si>
  <si>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</si>
  <si>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</si>
  <si>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</si>
  <si>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</si>
  <si>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</si>
  <si>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</si>
  <si>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</si>
  <si>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</si>
  <si>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</si>
  <si>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</si>
  <si>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</si>
  <si>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</si>
  <si>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</si>
  <si>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</si>
  <si>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</si>
  <si>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</si>
  <si>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</si>
  <si>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</si>
  <si>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</si>
  <si>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</si>
  <si>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</si>
  <si>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</si>
  <si>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</si>
  <si>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</si>
  <si>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</si>
  <si>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</si>
  <si>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</si>
  <si>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</si>
  <si>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</si>
  <si>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</si>
  <si>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</si>
  <si>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</si>
  <si>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</si>
  <si>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</si>
  <si>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</si>
  <si>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</si>
  <si>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</si>
  <si>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</si>
  <si>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</si>
  <si>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</si>
  <si>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</si>
  <si>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</si>
  <si>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</si>
  <si>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</si>
  <si>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</si>
  <si>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</si>
  <si>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</si>
  <si>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</si>
  <si>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</si>
  <si>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</si>
  <si>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</si>
  <si>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</si>
  <si>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</si>
  <si>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</si>
  <si>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</si>
  <si>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</si>
  <si>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</si>
  <si>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</si>
  <si>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</si>
  <si>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</si>
  <si>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</si>
  <si>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</si>
  <si>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</si>
  <si>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</si>
  <si>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</si>
  <si>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</si>
  <si>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</si>
  <si>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</si>
  <si>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</si>
  <si>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</si>
  <si>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</si>
  <si>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</si>
  <si>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</si>
  <si>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</si>
  <si>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</si>
  <si>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</si>
  <si>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</si>
  <si>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</si>
  <si>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</si>
  <si>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</si>
  <si>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</si>
  <si>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</si>
  <si>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</si>
  <si>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</si>
  <si>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</si>
  <si>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</si>
  <si>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</si>
  <si>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</si>
  <si>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</si>
  <si>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</si>
  <si>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</si>
  <si>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</si>
  <si>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</si>
  <si>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</si>
  <si>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</si>
  <si>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</si>
  <si>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</si>
  <si>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</si>
  <si>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</si>
  <si>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</si>
  <si>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</si>
  <si>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</si>
  <si>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</si>
  <si>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</si>
  <si>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</si>
  <si>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</si>
  <si>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</si>
  <si>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</si>
  <si>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</si>
  <si>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</si>
  <si>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</si>
  <si>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</si>
  <si>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</si>
  <si>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</si>
  <si>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</si>
  <si>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</si>
  <si>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</si>
  <si>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</si>
  <si>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</si>
  <si>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</si>
  <si>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</si>
  <si>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</si>
  <si>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</si>
  <si>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</si>
  <si>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</si>
  <si>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</si>
  <si>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</si>
  <si>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</si>
  <si>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</si>
  <si>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</si>
  <si>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</si>
  <si>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</si>
  <si>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</si>
  <si>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</si>
  <si>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</si>
  <si>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</si>
  <si>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</si>
  <si>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</si>
  <si>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</si>
  <si>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</si>
  <si>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</si>
  <si>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</si>
  <si>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</si>
  <si>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</si>
  <si>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</si>
  <si>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</si>
  <si>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</si>
  <si>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</si>
  <si>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</si>
  <si>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</si>
  <si>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</si>
  <si>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</si>
  <si>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</si>
  <si>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</si>
  <si>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</si>
  <si>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</si>
  <si>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</si>
  <si>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</si>
  <si>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</si>
  <si>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</si>
  <si>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</si>
  <si>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</si>
  <si>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</si>
  <si>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</si>
  <si>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</si>
  <si>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</si>
  <si>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</si>
  <si>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</si>
  <si>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</si>
  <si>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</si>
  <si>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</si>
  <si>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</si>
  <si>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</si>
  <si>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</si>
  <si>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</si>
  <si>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</si>
  <si>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</si>
  <si>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</si>
  <si>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</si>
  <si>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</si>
  <si>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</si>
  <si>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</si>
  <si>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</si>
  <si>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</si>
  <si>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</si>
  <si>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</si>
  <si>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</si>
  <si>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</si>
  <si>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</si>
  <si>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</si>
  <si>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</si>
  <si>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</si>
  <si>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</si>
  <si>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</si>
  <si>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</si>
  <si>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</si>
  <si>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</si>
  <si>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</si>
  <si>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</si>
  <si>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</si>
  <si>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</si>
  <si>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</si>
  <si>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</si>
  <si>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</si>
  <si>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</si>
  <si>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</si>
  <si>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</si>
  <si>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</si>
  <si>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</si>
  <si>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</si>
  <si>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</si>
  <si>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</si>
  <si>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</si>
  <si>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</si>
  <si>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</si>
  <si>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</si>
  <si>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</si>
  <si>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</si>
  <si>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</si>
  <si>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</si>
  <si>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</si>
  <si>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</si>
  <si>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</si>
  <si>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</si>
  <si>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</si>
  <si>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</si>
  <si>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</si>
  <si>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</si>
  <si>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</si>
  <si>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</si>
  <si>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</si>
  <si>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</si>
  <si>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</si>
  <si>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</si>
  <si>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</si>
  <si>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</si>
  <si>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</si>
  <si>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</si>
  <si>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</si>
  <si>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</si>
  <si>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</si>
  <si>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</si>
  <si>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</si>
  <si>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</si>
  <si>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</si>
  <si>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</si>
  <si>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</si>
  <si>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</si>
  <si>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</si>
  <si>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</si>
  <si>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</si>
  <si>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</si>
  <si>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</si>
  <si>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</si>
  <si>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</si>
  <si>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</si>
  <si>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</si>
  <si>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</si>
  <si>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</si>
  <si>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</si>
  <si>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</si>
  <si>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</si>
  <si>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</si>
  <si>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</si>
  <si>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</si>
  <si>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</si>
  <si>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</si>
  <si>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</si>
  <si>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</si>
  <si>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</si>
  <si>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</si>
  <si>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</si>
  <si>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</si>
  <si>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</si>
  <si>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</si>
  <si>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</si>
  <si>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</si>
  <si>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</si>
  <si>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</si>
  <si>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</si>
  <si>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</si>
  <si>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170</t>
  </si>
  <si>
    <t>Hospital Name</t>
  </si>
  <si>
    <t>PeaceHealth Southwest Medical Center</t>
  </si>
  <si>
    <t>Mailing Address</t>
  </si>
  <si>
    <t>PO Box 1600</t>
  </si>
  <si>
    <t>City</t>
  </si>
  <si>
    <t>Vancouver</t>
  </si>
  <si>
    <t>State</t>
  </si>
  <si>
    <t>WA</t>
  </si>
  <si>
    <t>Zip</t>
  </si>
  <si>
    <t>County</t>
  </si>
  <si>
    <t>Clark</t>
  </si>
  <si>
    <t>Chief Executive Officer</t>
  </si>
  <si>
    <t>Sean Gregory, CEO</t>
  </si>
  <si>
    <t>Chief Financial Officer</t>
  </si>
  <si>
    <t>Tracey Fernandez, CFO</t>
  </si>
  <si>
    <t>Chair of Governing Board</t>
  </si>
  <si>
    <t>Renate Atkins, Community Health Board Chair</t>
  </si>
  <si>
    <t>Telephone Number</t>
  </si>
  <si>
    <t>(360) 256-2000</t>
  </si>
  <si>
    <t>Facsimile Number</t>
  </si>
  <si>
    <t>(360) 514-2006</t>
  </si>
  <si>
    <t>Name of Submitter</t>
  </si>
  <si>
    <t>Email of Submitter</t>
  </si>
  <si>
    <t>bmarsden@peacehealth.org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</si>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</sst>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2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6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0" fontId="30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1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50" transitionEvaluation="1" transitionEntry="1" codeName="Sheet1">
    <tabColor rgb="FF92D050"/>
    <pageSetUpPr autoPageBreaks="0" fitToPage="1"/>
  </sheetPr>
  <dimension ref="A1:CF716"/>
  <sheetViews>
    <sheetView tabSelected="1" topLeftCell="A250" zoomScaleNormal="100" workbookViewId="0">
      <selection activeCell="H425" sqref="H425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4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5" t="s">
        <v>28</v>
      </c>
      <c r="B36" s="336"/>
      <c r="C36" s="337"/>
      <c r="D36" s="336"/>
      <c r="E36" s="336"/>
      <c r="F36" s="336"/>
      <c r="G36" s="336"/>
    </row>
    <row r="37">
      <c r="A37" s="338" t="s">
        <v>29</v>
      </c>
      <c r="B37" s="339"/>
      <c r="C37" s="337"/>
      <c r="D37" s="336"/>
      <c r="E37" s="336"/>
      <c r="F37" s="336"/>
      <c r="G37" s="336"/>
    </row>
    <row r="38">
      <c r="A38" s="342" t="s">
        <v>30</v>
      </c>
      <c r="B38" s="339"/>
      <c r="C38" s="337"/>
      <c r="D38" s="336"/>
      <c r="E38" s="336"/>
      <c r="F38" s="336"/>
      <c r="G38" s="336"/>
    </row>
    <row r="39">
      <c r="A39" s="341" t="s">
        <v>31</v>
      </c>
      <c r="B39" s="336"/>
      <c r="C39" s="337"/>
      <c r="D39" s="336"/>
      <c r="E39" s="336"/>
      <c r="F39" s="336"/>
      <c r="G39" s="336"/>
    </row>
    <row r="40">
      <c r="A40" s="342" t="s">
        <v>32</v>
      </c>
      <c r="B40" s="336"/>
      <c r="C40" s="337"/>
      <c r="D40" s="336"/>
      <c r="E40" s="336"/>
      <c r="F40" s="336"/>
      <c r="G40" s="336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64152787.459999986</v>
      </c>
      <c r="C47" s="24">
        <v>3962714.4899999998</v>
      </c>
      <c r="D47" s="24">
        <v>888201.85</v>
      </c>
      <c r="E47" s="24">
        <v>9979954.27</v>
      </c>
      <c r="F47" s="24">
        <v>2364084.506034</v>
      </c>
      <c r="G47" s="24">
        <v>379479.52</v>
      </c>
      <c r="H47" s="24">
        <v>0</v>
      </c>
      <c r="I47" s="24">
        <v>0</v>
      </c>
      <c r="J47" s="24">
        <v>349199.67396600015</v>
      </c>
      <c r="K47" s="24">
        <v>0</v>
      </c>
      <c r="L47" s="24">
        <v>0</v>
      </c>
      <c r="M47" s="24">
        <v>1054437.74</v>
      </c>
      <c r="N47" s="24">
        <v>606739.35</v>
      </c>
      <c r="O47" s="24">
        <v>0</v>
      </c>
      <c r="P47" s="24">
        <v>2232396.1799999997</v>
      </c>
      <c r="Q47" s="24">
        <v>629258.66999999993</v>
      </c>
      <c r="R47" s="24">
        <v>149053.83</v>
      </c>
      <c r="S47" s="24">
        <v>488227.89</v>
      </c>
      <c r="T47" s="24">
        <v>745290.92</v>
      </c>
      <c r="U47" s="24">
        <v>1839823.07</v>
      </c>
      <c r="V47" s="24">
        <v>259232.65</v>
      </c>
      <c r="W47" s="24">
        <v>176626.76</v>
      </c>
      <c r="X47" s="24">
        <v>308440.61</v>
      </c>
      <c r="Y47" s="24">
        <v>2619508.13</v>
      </c>
      <c r="Z47" s="24">
        <v>196316.06</v>
      </c>
      <c r="AA47" s="24">
        <v>95019.29</v>
      </c>
      <c r="AB47" s="24">
        <v>1267912.27</v>
      </c>
      <c r="AC47" s="24">
        <v>1338650.98</v>
      </c>
      <c r="AD47" s="24">
        <v>0</v>
      </c>
      <c r="AE47" s="24">
        <v>1567140.85</v>
      </c>
      <c r="AF47" s="24">
        <v>320116</v>
      </c>
      <c r="AG47" s="24">
        <v>4278821.69</v>
      </c>
      <c r="AH47" s="24">
        <v>0</v>
      </c>
      <c r="AI47" s="24">
        <v>1532352.7400000002</v>
      </c>
      <c r="AJ47" s="24">
        <v>6321458.58</v>
      </c>
      <c r="AK47" s="24">
        <v>0</v>
      </c>
      <c r="AL47" s="24">
        <v>0</v>
      </c>
      <c r="AM47" s="24">
        <v>0</v>
      </c>
      <c r="AN47" s="24">
        <v>0</v>
      </c>
      <c r="AO47" s="24">
        <v>359188.14</v>
      </c>
      <c r="AP47" s="24">
        <v>4776195.1</v>
      </c>
      <c r="AQ47" s="24">
        <v>0</v>
      </c>
      <c r="AR47" s="24">
        <v>4170833.37</v>
      </c>
      <c r="AS47" s="24">
        <v>0</v>
      </c>
      <c r="AT47" s="24">
        <v>0</v>
      </c>
      <c r="AU47" s="24">
        <v>0</v>
      </c>
      <c r="AV47" s="24">
        <v>122004.11</v>
      </c>
      <c r="AW47" s="24">
        <v>0</v>
      </c>
      <c r="AX47" s="24">
        <v>0</v>
      </c>
      <c r="AY47" s="24">
        <v>1228000</v>
      </c>
      <c r="AZ47" s="24">
        <v>0</v>
      </c>
      <c r="BA47" s="24">
        <v>0</v>
      </c>
      <c r="BB47" s="24">
        <v>1416823.83</v>
      </c>
      <c r="BC47" s="24">
        <v>0</v>
      </c>
      <c r="BD47" s="24">
        <v>0</v>
      </c>
      <c r="BE47" s="24">
        <v>1080079.44</v>
      </c>
      <c r="BF47" s="24">
        <v>1394642.83</v>
      </c>
      <c r="BG47" s="24">
        <v>187754.26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469675.83</v>
      </c>
      <c r="BO47" s="24">
        <v>181119.05</v>
      </c>
      <c r="BP47" s="24">
        <v>0</v>
      </c>
      <c r="BQ47" s="24">
        <v>0</v>
      </c>
      <c r="BR47" s="24">
        <v>0</v>
      </c>
      <c r="BS47" s="24">
        <v>86639.56</v>
      </c>
      <c r="BT47" s="24">
        <v>224021.94</v>
      </c>
      <c r="BU47" s="24">
        <v>0</v>
      </c>
      <c r="BV47" s="24">
        <v>0</v>
      </c>
      <c r="BW47" s="24">
        <v>158699.57</v>
      </c>
      <c r="BX47" s="24">
        <v>316415.06</v>
      </c>
      <c r="BY47" s="24">
        <v>622452.47</v>
      </c>
      <c r="BZ47" s="24">
        <v>885671.43</v>
      </c>
      <c r="CA47" s="24">
        <v>0</v>
      </c>
      <c r="CB47" s="24">
        <v>0</v>
      </c>
      <c r="CC47" s="24">
        <v>522112.9</v>
      </c>
      <c r="CD47" s="20"/>
      <c r="CE47" s="32">
        <f>SUM(C47:CC47)</f>
        <v>64152787.459999986</v>
      </c>
    </row>
    <row r="48">
      <c r="A48" s="32" t="s">
        <v>232</v>
      </c>
      <c r="B48" s="312">
        <v>18165152.36</v>
      </c>
      <c r="C48" s="32">
        <f>IF($B$48,(ROUND((($B$48/$CE$61)*C61),0)))</f>
        <v>1597948</v>
      </c>
      <c r="D48" s="32">
        <f ref="D48:BO48" t="shared" si="0">IF($B$48,(ROUND((($B$48/$CE$61)*D61),0)))</f>
        <v>380027</v>
      </c>
      <c r="E48" s="32">
        <f t="shared" si="0"/>
        <v>2812122</v>
      </c>
      <c r="F48" s="32">
        <f t="shared" si="0"/>
        <v>692086</v>
      </c>
      <c r="G48" s="32">
        <f t="shared" si="0"/>
        <v>113089</v>
      </c>
      <c r="H48" s="32">
        <f t="shared" si="0"/>
        <v>0</v>
      </c>
      <c r="I48" s="32">
        <f t="shared" si="0"/>
        <v>0</v>
      </c>
      <c r="J48" s="32">
        <f t="shared" si="0"/>
        <v>102228</v>
      </c>
      <c r="K48" s="32">
        <f t="shared" si="0"/>
        <v>0</v>
      </c>
      <c r="L48" s="32">
        <f t="shared" si="0"/>
        <v>0</v>
      </c>
      <c r="M48" s="32">
        <f t="shared" si="0"/>
        <v>235424</v>
      </c>
      <c r="N48" s="32">
        <f t="shared" si="0"/>
        <v>244303</v>
      </c>
      <c r="O48" s="32">
        <f t="shared" si="0"/>
        <v>0</v>
      </c>
      <c r="P48" s="32">
        <f t="shared" si="0"/>
        <v>652795</v>
      </c>
      <c r="Q48" s="32">
        <f t="shared" si="0"/>
        <v>166610</v>
      </c>
      <c r="R48" s="32">
        <f t="shared" si="0"/>
        <v>20008</v>
      </c>
      <c r="S48" s="32">
        <f t="shared" si="0"/>
        <v>138784</v>
      </c>
      <c r="T48" s="32">
        <f t="shared" si="0"/>
        <v>191139</v>
      </c>
      <c r="U48" s="32">
        <f t="shared" si="0"/>
        <v>369662</v>
      </c>
      <c r="V48" s="32">
        <f t="shared" si="0"/>
        <v>48329</v>
      </c>
      <c r="W48" s="32">
        <f t="shared" si="0"/>
        <v>38105</v>
      </c>
      <c r="X48" s="32">
        <f t="shared" si="0"/>
        <v>101738</v>
      </c>
      <c r="Y48" s="32">
        <f t="shared" si="0"/>
        <v>652824</v>
      </c>
      <c r="Z48" s="32">
        <f t="shared" si="0"/>
        <v>44868</v>
      </c>
      <c r="AA48" s="32">
        <f t="shared" si="0"/>
        <v>22981</v>
      </c>
      <c r="AB48" s="32">
        <f t="shared" si="0"/>
        <v>448725</v>
      </c>
      <c r="AC48" s="32">
        <f t="shared" si="0"/>
        <v>430735</v>
      </c>
      <c r="AD48" s="32">
        <f t="shared" si="0"/>
        <v>0</v>
      </c>
      <c r="AE48" s="32">
        <f t="shared" si="0"/>
        <v>354540</v>
      </c>
      <c r="AF48" s="32">
        <f t="shared" si="0"/>
        <v>86419</v>
      </c>
      <c r="AG48" s="32">
        <f t="shared" si="0"/>
        <v>1483539</v>
      </c>
      <c r="AH48" s="32">
        <f t="shared" si="0"/>
        <v>0</v>
      </c>
      <c r="AI48" s="32">
        <f t="shared" si="0"/>
        <v>402243</v>
      </c>
      <c r="AJ48" s="32">
        <f t="shared" si="0"/>
        <v>2155460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92527</v>
      </c>
      <c r="AP48" s="32">
        <f t="shared" si="0"/>
        <v>1053546</v>
      </c>
      <c r="AQ48" s="32">
        <f t="shared" si="0"/>
        <v>0</v>
      </c>
      <c r="AR48" s="32">
        <f t="shared" si="0"/>
        <v>1001215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23028</v>
      </c>
      <c r="AW48" s="32">
        <f t="shared" si="0"/>
        <v>0</v>
      </c>
      <c r="AX48" s="32">
        <f t="shared" si="0"/>
        <v>0</v>
      </c>
      <c r="AY48" s="32">
        <f t="shared" si="0"/>
        <v>203355</v>
      </c>
      <c r="AZ48" s="32">
        <f t="shared" si="0"/>
        <v>0</v>
      </c>
      <c r="BA48" s="32">
        <f t="shared" si="0"/>
        <v>0</v>
      </c>
      <c r="BB48" s="32">
        <f t="shared" si="0"/>
        <v>380708</v>
      </c>
      <c r="BC48" s="32">
        <f t="shared" si="0"/>
        <v>0</v>
      </c>
      <c r="BD48" s="32">
        <f t="shared" si="0"/>
        <v>0</v>
      </c>
      <c r="BE48" s="32">
        <f t="shared" si="0"/>
        <v>182721</v>
      </c>
      <c r="BF48" s="32">
        <f t="shared" si="0"/>
        <v>250784</v>
      </c>
      <c r="BG48" s="32">
        <f t="shared" si="0"/>
        <v>20731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200953</v>
      </c>
      <c r="BO48" s="32">
        <f t="shared" si="0"/>
        <v>25052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12186</v>
      </c>
      <c r="BT48" s="32">
        <f t="shared" si="1"/>
        <v>40911</v>
      </c>
      <c r="BU48" s="32">
        <f t="shared" si="1"/>
        <v>0</v>
      </c>
      <c r="BV48" s="32">
        <f t="shared" si="1"/>
        <v>0</v>
      </c>
      <c r="BW48" s="32">
        <f t="shared" si="1"/>
        <v>32745</v>
      </c>
      <c r="BX48" s="32">
        <f t="shared" si="1"/>
        <v>74020</v>
      </c>
      <c r="BY48" s="32">
        <f t="shared" si="1"/>
        <v>153021</v>
      </c>
      <c r="BZ48" s="32">
        <f t="shared" si="1"/>
        <v>237038</v>
      </c>
      <c r="CA48" s="32">
        <f t="shared" si="1"/>
        <v>0</v>
      </c>
      <c r="CB48" s="32">
        <f t="shared" si="1"/>
        <v>0</v>
      </c>
      <c r="CC48" s="32">
        <f t="shared" si="1"/>
        <v>193879</v>
      </c>
      <c r="CD48" s="32">
        <f t="shared" si="1"/>
        <v>0</v>
      </c>
      <c r="CE48" s="32">
        <f>SUM(C48:CD48)</f>
        <v>18165151</v>
      </c>
    </row>
    <row r="49">
      <c r="A49" s="20" t="s">
        <v>233</v>
      </c>
      <c r="B49" s="32">
        <f>B47+B48</f>
        <v>82317939.82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32984909.200000007</v>
      </c>
      <c r="C51" s="24">
        <v>388821.06</v>
      </c>
      <c r="D51" s="24">
        <v>0</v>
      </c>
      <c r="E51" s="24">
        <v>282178.55</v>
      </c>
      <c r="F51" s="24">
        <v>122103.25882100001</v>
      </c>
      <c r="G51" s="24">
        <v>1273.34</v>
      </c>
      <c r="H51" s="24">
        <v>0</v>
      </c>
      <c r="I51" s="24">
        <v>0</v>
      </c>
      <c r="J51" s="24">
        <v>18035.911179000006</v>
      </c>
      <c r="K51" s="24">
        <v>0</v>
      </c>
      <c r="L51" s="24">
        <v>0</v>
      </c>
      <c r="M51" s="24">
        <v>48202.58</v>
      </c>
      <c r="N51" s="24">
        <v>0</v>
      </c>
      <c r="O51" s="24">
        <v>0</v>
      </c>
      <c r="P51" s="24">
        <v>2682779.93</v>
      </c>
      <c r="Q51" s="24">
        <v>83754.25</v>
      </c>
      <c r="R51" s="24">
        <v>221920.41</v>
      </c>
      <c r="S51" s="24">
        <v>197977.75</v>
      </c>
      <c r="T51" s="24">
        <v>31408.19</v>
      </c>
      <c r="U51" s="24">
        <v>35953.08</v>
      </c>
      <c r="V51" s="24">
        <v>5467.14</v>
      </c>
      <c r="W51" s="24">
        <v>525521.34</v>
      </c>
      <c r="X51" s="24">
        <v>7141.23</v>
      </c>
      <c r="Y51" s="24">
        <v>1645700.48</v>
      </c>
      <c r="Z51" s="24">
        <v>31173.69</v>
      </c>
      <c r="AA51" s="24">
        <v>70232.59</v>
      </c>
      <c r="AB51" s="24">
        <v>128772.63</v>
      </c>
      <c r="AC51" s="24">
        <v>261882.04</v>
      </c>
      <c r="AD51" s="24">
        <v>0</v>
      </c>
      <c r="AE51" s="24">
        <v>82593.4</v>
      </c>
      <c r="AF51" s="24">
        <v>870.41</v>
      </c>
      <c r="AG51" s="24">
        <v>180713.42</v>
      </c>
      <c r="AH51" s="24">
        <v>0</v>
      </c>
      <c r="AI51" s="24">
        <v>500053.2</v>
      </c>
      <c r="AJ51" s="24">
        <v>288753.75</v>
      </c>
      <c r="AK51" s="24">
        <v>0</v>
      </c>
      <c r="AL51" s="24">
        <v>0</v>
      </c>
      <c r="AM51" s="24">
        <v>0</v>
      </c>
      <c r="AN51" s="24">
        <v>0</v>
      </c>
      <c r="AO51" s="24">
        <v>94016.29</v>
      </c>
      <c r="AP51" s="24">
        <v>211926.56</v>
      </c>
      <c r="AQ51" s="24">
        <v>0</v>
      </c>
      <c r="AR51" s="24">
        <v>38456.16</v>
      </c>
      <c r="AS51" s="24">
        <v>0</v>
      </c>
      <c r="AT51" s="24">
        <v>0</v>
      </c>
      <c r="AU51" s="24">
        <v>0</v>
      </c>
      <c r="AV51" s="24">
        <v>9523.07</v>
      </c>
      <c r="AW51" s="24">
        <v>0</v>
      </c>
      <c r="AX51" s="24">
        <v>0</v>
      </c>
      <c r="AY51" s="24">
        <v>86300.08</v>
      </c>
      <c r="AZ51" s="24">
        <v>0</v>
      </c>
      <c r="BA51" s="24">
        <v>0</v>
      </c>
      <c r="BB51" s="24">
        <v>901.05</v>
      </c>
      <c r="BC51" s="24">
        <v>0</v>
      </c>
      <c r="BD51" s="24">
        <v>0</v>
      </c>
      <c r="BE51" s="24">
        <v>541351.51</v>
      </c>
      <c r="BF51" s="24">
        <v>237851.98</v>
      </c>
      <c r="BG51" s="24">
        <v>7940.67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19004602.37</v>
      </c>
      <c r="BO51" s="24">
        <v>0</v>
      </c>
      <c r="BP51" s="24">
        <v>0</v>
      </c>
      <c r="BQ51" s="24">
        <v>0</v>
      </c>
      <c r="BR51" s="24">
        <v>0</v>
      </c>
      <c r="BS51" s="24">
        <v>2373.89</v>
      </c>
      <c r="BT51" s="24">
        <v>0</v>
      </c>
      <c r="BU51" s="24">
        <v>0</v>
      </c>
      <c r="BV51" s="24">
        <v>0</v>
      </c>
      <c r="BW51" s="24">
        <v>423.44</v>
      </c>
      <c r="BX51" s="24">
        <v>-809.89</v>
      </c>
      <c r="BY51" s="24">
        <v>1625243.39</v>
      </c>
      <c r="BZ51" s="24">
        <v>1044.97</v>
      </c>
      <c r="CA51" s="24">
        <v>0</v>
      </c>
      <c r="CB51" s="24">
        <v>0</v>
      </c>
      <c r="CC51" s="24">
        <v>3280480.03</v>
      </c>
      <c r="CD51" s="20"/>
      <c r="CE51" s="32">
        <f>SUM(C51:CD51)</f>
        <v>32984909.200000007</v>
      </c>
    </row>
    <row r="52">
      <c r="A52" s="39" t="s">
        <v>235</v>
      </c>
      <c r="B52" s="313">
        <v>16005647.98</v>
      </c>
      <c r="C52" s="32">
        <f>IF($B$52,ROUND(($B$52/($CE$90+$CF$90)*C90),0))</f>
        <v>814314</v>
      </c>
      <c r="D52" s="32">
        <f ref="D52:BO52" t="shared" si="2">IF($B$52,ROUND(($B$52/($CE$90+$CF$90)*D90),0))</f>
        <v>0</v>
      </c>
      <c r="E52" s="32">
        <f t="shared" si="2"/>
        <v>2543252</v>
      </c>
      <c r="F52" s="32">
        <f t="shared" si="2"/>
        <v>734151</v>
      </c>
      <c r="G52" s="32">
        <f t="shared" si="2"/>
        <v>286210</v>
      </c>
      <c r="H52" s="32">
        <f t="shared" si="2"/>
        <v>0</v>
      </c>
      <c r="I52" s="32">
        <f t="shared" si="2"/>
        <v>0</v>
      </c>
      <c r="J52" s="32">
        <f t="shared" si="2"/>
        <v>108442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793832</v>
      </c>
      <c r="Q52" s="32">
        <f t="shared" si="2"/>
        <v>160714</v>
      </c>
      <c r="R52" s="32">
        <f t="shared" si="2"/>
        <v>19073</v>
      </c>
      <c r="S52" s="32">
        <f t="shared" si="2"/>
        <v>375441</v>
      </c>
      <c r="T52" s="32">
        <f t="shared" si="2"/>
        <v>2060</v>
      </c>
      <c r="U52" s="32">
        <f t="shared" si="2"/>
        <v>305705</v>
      </c>
      <c r="V52" s="32">
        <f t="shared" si="2"/>
        <v>11499</v>
      </c>
      <c r="W52" s="32">
        <f t="shared" si="2"/>
        <v>37821</v>
      </c>
      <c r="X52" s="32">
        <f t="shared" si="2"/>
        <v>48861</v>
      </c>
      <c r="Y52" s="32">
        <f t="shared" si="2"/>
        <v>227920</v>
      </c>
      <c r="Z52" s="32">
        <f t="shared" si="2"/>
        <v>165110</v>
      </c>
      <c r="AA52" s="32">
        <f t="shared" si="2"/>
        <v>53201</v>
      </c>
      <c r="AB52" s="32">
        <f t="shared" si="2"/>
        <v>253389</v>
      </c>
      <c r="AC52" s="32">
        <f t="shared" si="2"/>
        <v>31911</v>
      </c>
      <c r="AD52" s="32">
        <f t="shared" si="2"/>
        <v>5964</v>
      </c>
      <c r="AE52" s="32">
        <f t="shared" si="2"/>
        <v>19297</v>
      </c>
      <c r="AF52" s="32">
        <f t="shared" si="2"/>
        <v>83752</v>
      </c>
      <c r="AG52" s="32">
        <f t="shared" si="2"/>
        <v>366156</v>
      </c>
      <c r="AH52" s="32">
        <f t="shared" si="2"/>
        <v>0</v>
      </c>
      <c r="AI52" s="32">
        <f t="shared" si="2"/>
        <v>417525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88153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10837</v>
      </c>
      <c r="AW52" s="32">
        <f t="shared" si="2"/>
        <v>0</v>
      </c>
      <c r="AX52" s="32">
        <f t="shared" si="2"/>
        <v>0</v>
      </c>
      <c r="AY52" s="32">
        <f t="shared" si="2"/>
        <v>372843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145755</v>
      </c>
      <c r="BE52" s="32">
        <f t="shared" si="2"/>
        <v>6100600</v>
      </c>
      <c r="BF52" s="32">
        <f t="shared" si="2"/>
        <v>409119</v>
      </c>
      <c r="BG52" s="32">
        <f t="shared" si="2"/>
        <v>52764</v>
      </c>
      <c r="BH52" s="32">
        <f t="shared" si="2"/>
        <v>57525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88974</v>
      </c>
      <c r="BM52" s="32">
        <f t="shared" si="2"/>
        <v>0</v>
      </c>
      <c r="BN52" s="32">
        <f t="shared" si="2"/>
        <v>193986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54412</v>
      </c>
      <c r="BS52" s="32">
        <f t="shared" si="3"/>
        <v>31947</v>
      </c>
      <c r="BT52" s="32">
        <f t="shared" si="3"/>
        <v>26066</v>
      </c>
      <c r="BU52" s="32">
        <f t="shared" si="3"/>
        <v>31444</v>
      </c>
      <c r="BV52" s="32">
        <f t="shared" si="3"/>
        <v>147766</v>
      </c>
      <c r="BW52" s="32">
        <f t="shared" si="3"/>
        <v>32370</v>
      </c>
      <c r="BX52" s="32">
        <f t="shared" si="3"/>
        <v>21668</v>
      </c>
      <c r="BY52" s="32">
        <f t="shared" si="3"/>
        <v>84324</v>
      </c>
      <c r="BZ52" s="32">
        <f t="shared" si="3"/>
        <v>0</v>
      </c>
      <c r="CA52" s="32">
        <f t="shared" si="3"/>
        <v>184957</v>
      </c>
      <c r="CB52" s="32">
        <f t="shared" si="3"/>
        <v>0</v>
      </c>
      <c r="CC52" s="32">
        <f t="shared" si="3"/>
        <v>4538</v>
      </c>
      <c r="CD52" s="32">
        <f t="shared" si="3"/>
        <v>0</v>
      </c>
      <c r="CE52" s="32">
        <f>SUM(C52:CD52)</f>
        <v>16005648</v>
      </c>
    </row>
    <row r="53">
      <c r="A53" s="20" t="s">
        <v>233</v>
      </c>
      <c r="B53" s="32">
        <f>B51+B52</f>
        <v>48990557.180000007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19575</v>
      </c>
      <c r="D59" s="24">
        <v>7846</v>
      </c>
      <c r="E59" s="24">
        <v>69032</v>
      </c>
      <c r="F59" s="24">
        <v>4632</v>
      </c>
      <c r="G59" s="24">
        <v>3849</v>
      </c>
      <c r="H59" s="24">
        <v>0</v>
      </c>
      <c r="I59" s="24">
        <v>0</v>
      </c>
      <c r="J59" s="24">
        <v>2747</v>
      </c>
      <c r="K59" s="24">
        <v>0</v>
      </c>
      <c r="L59" s="24">
        <v>0</v>
      </c>
      <c r="M59" s="24">
        <v>5830</v>
      </c>
      <c r="N59" s="24">
        <v>56576</v>
      </c>
      <c r="O59" s="24">
        <v>1846</v>
      </c>
      <c r="P59" s="30">
        <v>1213166</v>
      </c>
      <c r="Q59" s="30">
        <v>747589</v>
      </c>
      <c r="R59" s="30">
        <v>2353447</v>
      </c>
      <c r="S59" s="314"/>
      <c r="T59" s="314"/>
      <c r="U59" s="31">
        <v>1140738</v>
      </c>
      <c r="V59" s="30">
        <v>55462</v>
      </c>
      <c r="W59" s="30">
        <v>9063</v>
      </c>
      <c r="X59" s="30">
        <v>55612</v>
      </c>
      <c r="Y59" s="30">
        <v>133667</v>
      </c>
      <c r="Z59" s="30">
        <v>6820</v>
      </c>
      <c r="AA59" s="30">
        <v>2344</v>
      </c>
      <c r="AB59" s="314"/>
      <c r="AC59" s="30">
        <v>118046</v>
      </c>
      <c r="AD59" s="30">
        <v>3055</v>
      </c>
      <c r="AE59" s="30">
        <v>193084</v>
      </c>
      <c r="AF59" s="30">
        <v>10364</v>
      </c>
      <c r="AG59" s="30">
        <v>76244</v>
      </c>
      <c r="AH59" s="30">
        <v>0</v>
      </c>
      <c r="AI59" s="30">
        <v>33267</v>
      </c>
      <c r="AJ59" s="30">
        <v>176601</v>
      </c>
      <c r="AK59" s="30">
        <v>0</v>
      </c>
      <c r="AL59" s="30">
        <v>0</v>
      </c>
      <c r="AM59" s="30">
        <v>0</v>
      </c>
      <c r="AN59" s="30">
        <v>0</v>
      </c>
      <c r="AO59" s="30">
        <v>27768</v>
      </c>
      <c r="AP59" s="30">
        <v>123703</v>
      </c>
      <c r="AQ59" s="30">
        <v>0</v>
      </c>
      <c r="AR59" s="30">
        <v>112935.75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328157</v>
      </c>
      <c r="AZ59" s="30">
        <v>0</v>
      </c>
      <c r="BA59" s="314"/>
      <c r="BB59" s="314"/>
      <c r="BC59" s="314"/>
      <c r="BD59" s="314"/>
      <c r="BE59" s="30">
        <v>846278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197.76264232240385</v>
      </c>
      <c r="D60" s="315">
        <v>47.387392774553589</v>
      </c>
      <c r="E60" s="315">
        <v>499.2950296418133</v>
      </c>
      <c r="F60" s="315">
        <v>96.630231620790511</v>
      </c>
      <c r="G60" s="315">
        <v>19.170728600961557</v>
      </c>
      <c r="H60" s="315">
        <v>0</v>
      </c>
      <c r="I60" s="315">
        <v>0</v>
      </c>
      <c r="J60" s="315">
        <v>14.273282232980309</v>
      </c>
      <c r="K60" s="315">
        <v>0</v>
      </c>
      <c r="L60" s="315">
        <v>0</v>
      </c>
      <c r="M60" s="315">
        <v>48.900258311298082</v>
      </c>
      <c r="N60" s="315">
        <v>12.500274969093393</v>
      </c>
      <c r="O60" s="315">
        <v>0</v>
      </c>
      <c r="P60" s="316">
        <v>113.88831872730083</v>
      </c>
      <c r="Q60" s="316">
        <v>27.300974586710176</v>
      </c>
      <c r="R60" s="316">
        <v>6.8558192069024706</v>
      </c>
      <c r="S60" s="317">
        <v>35.242611773179974</v>
      </c>
      <c r="T60" s="317">
        <v>31.689852053571443</v>
      </c>
      <c r="U60" s="318">
        <v>93.026738217719853</v>
      </c>
      <c r="V60" s="316">
        <v>17.476846979223879</v>
      </c>
      <c r="W60" s="316">
        <v>6.839787449690947</v>
      </c>
      <c r="X60" s="316">
        <v>16.300335293440959</v>
      </c>
      <c r="Y60" s="316">
        <v>127.78935778313876</v>
      </c>
      <c r="Z60" s="316">
        <v>8.2334609429945154</v>
      </c>
      <c r="AA60" s="316">
        <v>3.9019851821771971</v>
      </c>
      <c r="AB60" s="317">
        <v>84.837679693681437</v>
      </c>
      <c r="AC60" s="316">
        <v>70.847590405563324</v>
      </c>
      <c r="AD60" s="316">
        <v>0</v>
      </c>
      <c r="AE60" s="316">
        <v>75.040310118990433</v>
      </c>
      <c r="AF60" s="316">
        <v>10.50704142325548</v>
      </c>
      <c r="AG60" s="316">
        <v>193.46741009221861</v>
      </c>
      <c r="AH60" s="316">
        <v>0</v>
      </c>
      <c r="AI60" s="316">
        <v>70.354396223777471</v>
      </c>
      <c r="AJ60" s="316">
        <v>320.20660591234906</v>
      </c>
      <c r="AK60" s="316">
        <v>0</v>
      </c>
      <c r="AL60" s="316">
        <v>0</v>
      </c>
      <c r="AM60" s="316">
        <v>0</v>
      </c>
      <c r="AN60" s="316">
        <v>0</v>
      </c>
      <c r="AO60" s="316">
        <v>15.250609555405235</v>
      </c>
      <c r="AP60" s="316">
        <v>167.55375765840677</v>
      </c>
      <c r="AQ60" s="316">
        <v>0</v>
      </c>
      <c r="AR60" s="316">
        <v>198.30970766981457</v>
      </c>
      <c r="AS60" s="316">
        <v>0</v>
      </c>
      <c r="AT60" s="316">
        <v>0</v>
      </c>
      <c r="AU60" s="316">
        <v>0</v>
      </c>
      <c r="AV60" s="317">
        <v>5.5732260815590573</v>
      </c>
      <c r="AW60" s="317">
        <v>0</v>
      </c>
      <c r="AX60" s="317">
        <v>0</v>
      </c>
      <c r="AY60" s="316">
        <v>86.320908506524816</v>
      </c>
      <c r="AZ60" s="316">
        <v>0</v>
      </c>
      <c r="BA60" s="317">
        <v>0</v>
      </c>
      <c r="BB60" s="317">
        <v>64.05322829670331</v>
      </c>
      <c r="BC60" s="317">
        <v>0</v>
      </c>
      <c r="BD60" s="317">
        <v>0</v>
      </c>
      <c r="BE60" s="316">
        <v>54.356725556833936</v>
      </c>
      <c r="BF60" s="317">
        <v>94.084875429601766</v>
      </c>
      <c r="BG60" s="317">
        <v>9.4425873832417633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12.28350602953298</v>
      </c>
      <c r="BO60" s="317">
        <v>7.6668820841345937</v>
      </c>
      <c r="BP60" s="317">
        <v>0</v>
      </c>
      <c r="BQ60" s="317">
        <v>0</v>
      </c>
      <c r="BR60" s="317">
        <v>0</v>
      </c>
      <c r="BS60" s="317">
        <v>4.5164860101304951</v>
      </c>
      <c r="BT60" s="317">
        <v>9.426524625</v>
      </c>
      <c r="BU60" s="317">
        <v>0</v>
      </c>
      <c r="BV60" s="317">
        <v>0</v>
      </c>
      <c r="BW60" s="317">
        <v>6.8348335362294126</v>
      </c>
      <c r="BX60" s="317">
        <v>18.08449861607145</v>
      </c>
      <c r="BY60" s="317">
        <v>27.597636991119519</v>
      </c>
      <c r="BZ60" s="317">
        <v>32.626223037156585</v>
      </c>
      <c r="CA60" s="317">
        <v>0</v>
      </c>
      <c r="CB60" s="317">
        <v>0</v>
      </c>
      <c r="CC60" s="317">
        <v>46.356197445913459</v>
      </c>
      <c r="CD60" s="247" t="s">
        <v>248</v>
      </c>
      <c r="CE60" s="268">
        <f ref="CE60:CE68" t="shared" si="4">SUM(C60:CD60)</f>
        <v>3110.0653770531612</v>
      </c>
    </row>
    <row r="61">
      <c r="A61" s="39" t="s">
        <v>263</v>
      </c>
      <c r="B61" s="20"/>
      <c r="C61" s="24">
        <v>33655663.21</v>
      </c>
      <c r="D61" s="24">
        <v>8004045.26</v>
      </c>
      <c r="E61" s="24">
        <v>59228348</v>
      </c>
      <c r="F61" s="24">
        <v>14576573.068003</v>
      </c>
      <c r="G61" s="24">
        <v>2381850.32</v>
      </c>
      <c r="H61" s="24">
        <v>0</v>
      </c>
      <c r="I61" s="24">
        <v>0</v>
      </c>
      <c r="J61" s="24">
        <v>2153110.2419970008</v>
      </c>
      <c r="K61" s="24">
        <v>0</v>
      </c>
      <c r="L61" s="24">
        <v>0</v>
      </c>
      <c r="M61" s="24">
        <v>4958457.39</v>
      </c>
      <c r="N61" s="24">
        <v>5145457.34</v>
      </c>
      <c r="O61" s="24">
        <v>0</v>
      </c>
      <c r="P61" s="30">
        <v>13749028.06</v>
      </c>
      <c r="Q61" s="30">
        <v>3509107.4999999995</v>
      </c>
      <c r="R61" s="30">
        <v>421403.72</v>
      </c>
      <c r="S61" s="319">
        <v>2923041.55</v>
      </c>
      <c r="T61" s="319">
        <v>4025738.74</v>
      </c>
      <c r="U61" s="31">
        <v>7785748.84</v>
      </c>
      <c r="V61" s="30">
        <v>1017904.08</v>
      </c>
      <c r="W61" s="30">
        <v>802561.5</v>
      </c>
      <c r="X61" s="30">
        <v>2142776.87</v>
      </c>
      <c r="Y61" s="30">
        <v>13749652.39</v>
      </c>
      <c r="Z61" s="30">
        <v>945007.48</v>
      </c>
      <c r="AA61" s="30">
        <v>484026.98</v>
      </c>
      <c r="AB61" s="320">
        <v>9450946.78</v>
      </c>
      <c r="AC61" s="30">
        <v>9072064.21</v>
      </c>
      <c r="AD61" s="30">
        <v>0</v>
      </c>
      <c r="AE61" s="30">
        <v>7467255.77</v>
      </c>
      <c r="AF61" s="30">
        <v>1820149.59</v>
      </c>
      <c r="AG61" s="30">
        <v>31245997.57</v>
      </c>
      <c r="AH61" s="30">
        <v>0</v>
      </c>
      <c r="AI61" s="30">
        <v>8471960.41</v>
      </c>
      <c r="AJ61" s="30">
        <v>45397858.79</v>
      </c>
      <c r="AK61" s="30">
        <v>0</v>
      </c>
      <c r="AL61" s="30">
        <v>0</v>
      </c>
      <c r="AM61" s="30">
        <v>0</v>
      </c>
      <c r="AN61" s="30">
        <v>0</v>
      </c>
      <c r="AO61" s="30">
        <v>1948793.04</v>
      </c>
      <c r="AP61" s="30">
        <v>22189575.06</v>
      </c>
      <c r="AQ61" s="30">
        <v>0</v>
      </c>
      <c r="AR61" s="30">
        <v>21087384.87</v>
      </c>
      <c r="AS61" s="30">
        <v>0</v>
      </c>
      <c r="AT61" s="30">
        <v>0</v>
      </c>
      <c r="AU61" s="30">
        <v>0</v>
      </c>
      <c r="AV61" s="319">
        <v>485009.28</v>
      </c>
      <c r="AW61" s="319">
        <v>0</v>
      </c>
      <c r="AX61" s="319">
        <v>0</v>
      </c>
      <c r="AY61" s="30">
        <v>4283022.14</v>
      </c>
      <c r="AZ61" s="30">
        <v>0</v>
      </c>
      <c r="BA61" s="319">
        <v>0</v>
      </c>
      <c r="BB61" s="319">
        <v>8018386.63</v>
      </c>
      <c r="BC61" s="319">
        <v>0</v>
      </c>
      <c r="BD61" s="319">
        <v>0</v>
      </c>
      <c r="BE61" s="30">
        <v>3848435.54</v>
      </c>
      <c r="BF61" s="319">
        <v>5281953.55</v>
      </c>
      <c r="BG61" s="319">
        <v>436641.43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4232440.88</v>
      </c>
      <c r="BO61" s="319">
        <v>527629.7</v>
      </c>
      <c r="BP61" s="319">
        <v>0</v>
      </c>
      <c r="BQ61" s="319">
        <v>0</v>
      </c>
      <c r="BR61" s="319">
        <v>0</v>
      </c>
      <c r="BS61" s="319">
        <v>256669.21</v>
      </c>
      <c r="BT61" s="319">
        <v>861666.51</v>
      </c>
      <c r="BU61" s="319">
        <v>0</v>
      </c>
      <c r="BV61" s="319">
        <v>0</v>
      </c>
      <c r="BW61" s="319">
        <v>689666.06</v>
      </c>
      <c r="BX61" s="319">
        <v>1558994.26</v>
      </c>
      <c r="BY61" s="319">
        <v>3222901.39</v>
      </c>
      <c r="BZ61" s="319">
        <v>4992447.09</v>
      </c>
      <c r="CA61" s="319">
        <v>0</v>
      </c>
      <c r="CB61" s="319">
        <v>0</v>
      </c>
      <c r="CC61" s="319">
        <v>4083434.25</v>
      </c>
      <c r="CD61" s="29" t="s">
        <v>248</v>
      </c>
      <c r="CE61" s="32">
        <f t="shared" si="4"/>
        <v>382590786.54999995</v>
      </c>
    </row>
    <row r="62">
      <c r="A62" s="39" t="s">
        <v>11</v>
      </c>
      <c r="B62" s="20"/>
      <c r="C62" s="32">
        <f>ROUND(C47+C48,0)</f>
        <v>5560662</v>
      </c>
      <c r="D62" s="32">
        <f ref="D62:BO62" t="shared" si="5">ROUND(D47+D48,0)</f>
        <v>1268229</v>
      </c>
      <c r="E62" s="32">
        <f t="shared" si="5"/>
        <v>12792076</v>
      </c>
      <c r="F62" s="32">
        <f t="shared" si="5"/>
        <v>3056171</v>
      </c>
      <c r="G62" s="32">
        <f t="shared" si="5"/>
        <v>492569</v>
      </c>
      <c r="H62" s="32">
        <f t="shared" si="5"/>
        <v>0</v>
      </c>
      <c r="I62" s="32">
        <f t="shared" si="5"/>
        <v>0</v>
      </c>
      <c r="J62" s="32">
        <f t="shared" si="5"/>
        <v>451428</v>
      </c>
      <c r="K62" s="32">
        <f t="shared" si="5"/>
        <v>0</v>
      </c>
      <c r="L62" s="32">
        <f t="shared" si="5"/>
        <v>0</v>
      </c>
      <c r="M62" s="32">
        <f t="shared" si="5"/>
        <v>1289862</v>
      </c>
      <c r="N62" s="32">
        <f t="shared" si="5"/>
        <v>851042</v>
      </c>
      <c r="O62" s="32">
        <f t="shared" si="5"/>
        <v>0</v>
      </c>
      <c r="P62" s="32">
        <f t="shared" si="5"/>
        <v>2885191</v>
      </c>
      <c r="Q62" s="32">
        <f t="shared" si="5"/>
        <v>795869</v>
      </c>
      <c r="R62" s="32">
        <f t="shared" si="5"/>
        <v>169062</v>
      </c>
      <c r="S62" s="32">
        <f t="shared" si="5"/>
        <v>627012</v>
      </c>
      <c r="T62" s="32">
        <f t="shared" si="5"/>
        <v>936430</v>
      </c>
      <c r="U62" s="32">
        <f t="shared" si="5"/>
        <v>2209485</v>
      </c>
      <c r="V62" s="32">
        <f t="shared" si="5"/>
        <v>307562</v>
      </c>
      <c r="W62" s="32">
        <f t="shared" si="5"/>
        <v>214732</v>
      </c>
      <c r="X62" s="32">
        <f t="shared" si="5"/>
        <v>410179</v>
      </c>
      <c r="Y62" s="32">
        <f t="shared" si="5"/>
        <v>3272332</v>
      </c>
      <c r="Z62" s="32">
        <f t="shared" si="5"/>
        <v>241184</v>
      </c>
      <c r="AA62" s="32">
        <f t="shared" si="5"/>
        <v>118000</v>
      </c>
      <c r="AB62" s="32">
        <f t="shared" si="5"/>
        <v>1716637</v>
      </c>
      <c r="AC62" s="32">
        <f t="shared" si="5"/>
        <v>1769386</v>
      </c>
      <c r="AD62" s="32">
        <f t="shared" si="5"/>
        <v>0</v>
      </c>
      <c r="AE62" s="32">
        <f t="shared" si="5"/>
        <v>1921681</v>
      </c>
      <c r="AF62" s="32">
        <f t="shared" si="5"/>
        <v>406535</v>
      </c>
      <c r="AG62" s="32">
        <f t="shared" si="5"/>
        <v>5762361</v>
      </c>
      <c r="AH62" s="32">
        <f t="shared" si="5"/>
        <v>0</v>
      </c>
      <c r="AI62" s="32">
        <f t="shared" si="5"/>
        <v>1934596</v>
      </c>
      <c r="AJ62" s="32">
        <f t="shared" si="5"/>
        <v>8476919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451715</v>
      </c>
      <c r="AP62" s="32">
        <f t="shared" si="5"/>
        <v>5829741</v>
      </c>
      <c r="AQ62" s="32">
        <f t="shared" si="5"/>
        <v>0</v>
      </c>
      <c r="AR62" s="32">
        <f t="shared" si="5"/>
        <v>5172048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145032</v>
      </c>
      <c r="AW62" s="32">
        <f t="shared" si="5"/>
        <v>0</v>
      </c>
      <c r="AX62" s="32">
        <f t="shared" si="5"/>
        <v>0</v>
      </c>
      <c r="AY62" s="32">
        <f t="shared" si="5"/>
        <v>1431355</v>
      </c>
      <c r="AZ62" s="32">
        <f t="shared" si="5"/>
        <v>0</v>
      </c>
      <c r="BA62" s="32">
        <f t="shared" si="5"/>
        <v>0</v>
      </c>
      <c r="BB62" s="32">
        <f t="shared" si="5"/>
        <v>1797532</v>
      </c>
      <c r="BC62" s="32">
        <f t="shared" si="5"/>
        <v>0</v>
      </c>
      <c r="BD62" s="32">
        <f t="shared" si="5"/>
        <v>0</v>
      </c>
      <c r="BE62" s="32">
        <f t="shared" si="5"/>
        <v>1262800</v>
      </c>
      <c r="BF62" s="32">
        <f t="shared" si="5"/>
        <v>1645427</v>
      </c>
      <c r="BG62" s="32">
        <f t="shared" si="5"/>
        <v>208485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670629</v>
      </c>
      <c r="BO62" s="32">
        <f t="shared" si="5"/>
        <v>206171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98826</v>
      </c>
      <c r="BT62" s="32">
        <f t="shared" si="6"/>
        <v>264933</v>
      </c>
      <c r="BU62" s="32">
        <f t="shared" si="6"/>
        <v>0</v>
      </c>
      <c r="BV62" s="32">
        <f t="shared" si="6"/>
        <v>0</v>
      </c>
      <c r="BW62" s="32">
        <f t="shared" si="6"/>
        <v>191445</v>
      </c>
      <c r="BX62" s="32">
        <f t="shared" si="6"/>
        <v>390435</v>
      </c>
      <c r="BY62" s="32">
        <f t="shared" si="6"/>
        <v>775473</v>
      </c>
      <c r="BZ62" s="32">
        <f t="shared" si="6"/>
        <v>1122709</v>
      </c>
      <c r="CA62" s="32">
        <f t="shared" si="6"/>
        <v>0</v>
      </c>
      <c r="CB62" s="32">
        <f t="shared" si="6"/>
        <v>0</v>
      </c>
      <c r="CC62" s="32">
        <f t="shared" si="6"/>
        <v>715992</v>
      </c>
      <c r="CD62" s="29" t="s">
        <v>248</v>
      </c>
      <c r="CE62" s="32">
        <f t="shared" si="4"/>
        <v>82317940</v>
      </c>
    </row>
    <row r="63">
      <c r="A63" s="39" t="s">
        <v>264</v>
      </c>
      <c r="B63" s="20"/>
      <c r="C63" s="24">
        <v>1827758.8199999998</v>
      </c>
      <c r="D63" s="24">
        <v>0</v>
      </c>
      <c r="E63" s="24">
        <v>0</v>
      </c>
      <c r="F63" s="24">
        <v>827129.35937</v>
      </c>
      <c r="G63" s="24">
        <v>0</v>
      </c>
      <c r="H63" s="24">
        <v>0</v>
      </c>
      <c r="I63" s="24">
        <v>0</v>
      </c>
      <c r="J63" s="24">
        <v>122175.54063000003</v>
      </c>
      <c r="K63" s="24">
        <v>0</v>
      </c>
      <c r="L63" s="24">
        <v>0</v>
      </c>
      <c r="M63" s="24">
        <v>60340</v>
      </c>
      <c r="N63" s="24">
        <v>6541190.36</v>
      </c>
      <c r="O63" s="24">
        <v>0</v>
      </c>
      <c r="P63" s="30">
        <v>477050</v>
      </c>
      <c r="Q63" s="30">
        <v>0</v>
      </c>
      <c r="R63" s="30">
        <v>1917318.02</v>
      </c>
      <c r="S63" s="319">
        <v>0</v>
      </c>
      <c r="T63" s="319">
        <v>0</v>
      </c>
      <c r="U63" s="31">
        <v>0</v>
      </c>
      <c r="V63" s="30">
        <v>58680</v>
      </c>
      <c r="W63" s="30">
        <v>0</v>
      </c>
      <c r="X63" s="30">
        <v>0</v>
      </c>
      <c r="Y63" s="30">
        <v>240021.23</v>
      </c>
      <c r="Z63" s="30">
        <v>-1600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3225724.86</v>
      </c>
      <c r="AH63" s="30">
        <v>0</v>
      </c>
      <c r="AI63" s="30">
        <v>0</v>
      </c>
      <c r="AJ63" s="30">
        <v>3324475.75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248071.32</v>
      </c>
      <c r="AQ63" s="30">
        <v>0</v>
      </c>
      <c r="AR63" s="30">
        <v>238307.56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93178.25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992582.16</v>
      </c>
      <c r="CD63" s="29" t="s">
        <v>248</v>
      </c>
      <c r="CE63" s="32">
        <f t="shared" si="4"/>
        <v>20192403.229999997</v>
      </c>
    </row>
    <row r="64">
      <c r="A64" s="39" t="s">
        <v>265</v>
      </c>
      <c r="B64" s="20"/>
      <c r="C64" s="24">
        <v>3298369.2900000005</v>
      </c>
      <c r="D64" s="24">
        <v>307134.37</v>
      </c>
      <c r="E64" s="24">
        <v>3699564.12</v>
      </c>
      <c r="F64" s="24">
        <v>1439887.691348</v>
      </c>
      <c r="G64" s="24">
        <v>90376.4</v>
      </c>
      <c r="H64" s="24">
        <v>0</v>
      </c>
      <c r="I64" s="24">
        <v>0</v>
      </c>
      <c r="J64" s="24">
        <v>212686.26865200006</v>
      </c>
      <c r="K64" s="24">
        <v>0</v>
      </c>
      <c r="L64" s="24">
        <v>0</v>
      </c>
      <c r="M64" s="24">
        <v>219493.84</v>
      </c>
      <c r="N64" s="24">
        <v>0</v>
      </c>
      <c r="O64" s="24">
        <v>0</v>
      </c>
      <c r="P64" s="30">
        <v>29314334.43</v>
      </c>
      <c r="Q64" s="30">
        <v>67629.85</v>
      </c>
      <c r="R64" s="30">
        <v>835087.49</v>
      </c>
      <c r="S64" s="319">
        <v>708143.98</v>
      </c>
      <c r="T64" s="319">
        <v>826837.13</v>
      </c>
      <c r="U64" s="31">
        <v>1909447.49</v>
      </c>
      <c r="V64" s="30">
        <v>35050</v>
      </c>
      <c r="W64" s="30">
        <v>114929.02</v>
      </c>
      <c r="X64" s="30">
        <v>648383.09</v>
      </c>
      <c r="Y64" s="30">
        <v>29520541.36</v>
      </c>
      <c r="Z64" s="30">
        <v>30477.66</v>
      </c>
      <c r="AA64" s="30">
        <v>519998.48</v>
      </c>
      <c r="AB64" s="320">
        <v>30815614.58</v>
      </c>
      <c r="AC64" s="30">
        <v>1438876.5</v>
      </c>
      <c r="AD64" s="30">
        <v>51417.87</v>
      </c>
      <c r="AE64" s="30">
        <v>100733.01</v>
      </c>
      <c r="AF64" s="30">
        <v>10675.88</v>
      </c>
      <c r="AG64" s="30">
        <v>2729857.77</v>
      </c>
      <c r="AH64" s="30">
        <v>0</v>
      </c>
      <c r="AI64" s="30">
        <v>1419004.69</v>
      </c>
      <c r="AJ64" s="30">
        <v>7090798.93</v>
      </c>
      <c r="AK64" s="30">
        <v>0</v>
      </c>
      <c r="AL64" s="30">
        <v>0</v>
      </c>
      <c r="AM64" s="30">
        <v>0</v>
      </c>
      <c r="AN64" s="30">
        <v>0</v>
      </c>
      <c r="AO64" s="30">
        <v>54826.08</v>
      </c>
      <c r="AP64" s="30">
        <v>3142521.85</v>
      </c>
      <c r="AQ64" s="30">
        <v>0</v>
      </c>
      <c r="AR64" s="30">
        <v>1968164.18</v>
      </c>
      <c r="AS64" s="30">
        <v>0</v>
      </c>
      <c r="AT64" s="30">
        <v>0</v>
      </c>
      <c r="AU64" s="30">
        <v>0</v>
      </c>
      <c r="AV64" s="319">
        <v>51888.24</v>
      </c>
      <c r="AW64" s="319">
        <v>0</v>
      </c>
      <c r="AX64" s="319">
        <v>0</v>
      </c>
      <c r="AY64" s="30">
        <v>215545.15</v>
      </c>
      <c r="AZ64" s="30">
        <v>0</v>
      </c>
      <c r="BA64" s="319">
        <v>0</v>
      </c>
      <c r="BB64" s="319">
        <v>37197.42</v>
      </c>
      <c r="BC64" s="319">
        <v>0</v>
      </c>
      <c r="BD64" s="319">
        <v>0</v>
      </c>
      <c r="BE64" s="30">
        <v>991330.55</v>
      </c>
      <c r="BF64" s="319">
        <v>775856.33</v>
      </c>
      <c r="BG64" s="319">
        <v>520.07</v>
      </c>
      <c r="BH64" s="319">
        <v>0</v>
      </c>
      <c r="BI64" s="319">
        <v>0</v>
      </c>
      <c r="BJ64" s="319">
        <v>0</v>
      </c>
      <c r="BK64" s="319">
        <v>0</v>
      </c>
      <c r="BL64" s="319">
        <v>0</v>
      </c>
      <c r="BM64" s="319">
        <v>0</v>
      </c>
      <c r="BN64" s="319">
        <v>47833.15</v>
      </c>
      <c r="BO64" s="319">
        <v>0</v>
      </c>
      <c r="BP64" s="319">
        <v>0</v>
      </c>
      <c r="BQ64" s="319">
        <v>0</v>
      </c>
      <c r="BR64" s="319">
        <v>0</v>
      </c>
      <c r="BS64" s="319">
        <v>10202.04</v>
      </c>
      <c r="BT64" s="319">
        <v>2004.39</v>
      </c>
      <c r="BU64" s="319">
        <v>0</v>
      </c>
      <c r="BV64" s="319">
        <v>0</v>
      </c>
      <c r="BW64" s="319">
        <v>292223.72</v>
      </c>
      <c r="BX64" s="319">
        <v>2687651.93</v>
      </c>
      <c r="BY64" s="319">
        <v>37792.32</v>
      </c>
      <c r="BZ64" s="319">
        <v>8123.53</v>
      </c>
      <c r="CA64" s="319">
        <v>0</v>
      </c>
      <c r="CB64" s="319">
        <v>0</v>
      </c>
      <c r="CC64" s="319">
        <v>-389422.39</v>
      </c>
      <c r="CD64" s="29" t="s">
        <v>248</v>
      </c>
      <c r="CE64" s="32">
        <f t="shared" si="4"/>
        <v>127389609.75</v>
      </c>
    </row>
    <row r="65">
      <c r="A65" s="39" t="s">
        <v>266</v>
      </c>
      <c r="B65" s="20"/>
      <c r="C65" s="24">
        <v>0</v>
      </c>
      <c r="D65" s="24">
        <v>0</v>
      </c>
      <c r="E65" s="24">
        <v>1176.05</v>
      </c>
      <c r="F65" s="24">
        <v>3777.2771860000003</v>
      </c>
      <c r="G65" s="24">
        <v>0</v>
      </c>
      <c r="H65" s="24">
        <v>0</v>
      </c>
      <c r="I65" s="24">
        <v>0</v>
      </c>
      <c r="J65" s="24">
        <v>557.94281400000023</v>
      </c>
      <c r="K65" s="24">
        <v>0</v>
      </c>
      <c r="L65" s="24">
        <v>0</v>
      </c>
      <c r="M65" s="24">
        <v>7541.6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600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1738.32</v>
      </c>
      <c r="AH65" s="30">
        <v>0</v>
      </c>
      <c r="AI65" s="30">
        <v>0</v>
      </c>
      <c r="AJ65" s="30">
        <v>23723.09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38470.5</v>
      </c>
      <c r="AQ65" s="30">
        <v>0</v>
      </c>
      <c r="AR65" s="30">
        <v>2672.83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2898098.1</v>
      </c>
      <c r="BF65" s="319">
        <v>838982.6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0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3817338.31</v>
      </c>
    </row>
    <row r="66">
      <c r="A66" s="39" t="s">
        <v>267</v>
      </c>
      <c r="B66" s="20"/>
      <c r="C66" s="24">
        <v>75012.849999999977</v>
      </c>
      <c r="D66" s="24">
        <v>1016.6700000000128</v>
      </c>
      <c r="E66" s="24">
        <v>32080.010000000009</v>
      </c>
      <c r="F66" s="24">
        <v>442092.55774699996</v>
      </c>
      <c r="G66" s="24">
        <v>28.150000000001455</v>
      </c>
      <c r="H66" s="24">
        <v>0</v>
      </c>
      <c r="I66" s="24">
        <v>0</v>
      </c>
      <c r="J66" s="24">
        <v>65301.632253000018</v>
      </c>
      <c r="K66" s="24">
        <v>0</v>
      </c>
      <c r="L66" s="24">
        <v>0</v>
      </c>
      <c r="M66" s="24">
        <v>41909.61</v>
      </c>
      <c r="N66" s="24">
        <v>1747.92</v>
      </c>
      <c r="O66" s="24">
        <v>0</v>
      </c>
      <c r="P66" s="30">
        <v>2398824.79</v>
      </c>
      <c r="Q66" s="30">
        <v>0</v>
      </c>
      <c r="R66" s="30">
        <v>13736.94</v>
      </c>
      <c r="S66" s="319">
        <v>-11820.42</v>
      </c>
      <c r="T66" s="319">
        <v>20172.809999999998</v>
      </c>
      <c r="U66" s="31">
        <v>9787064.040000001</v>
      </c>
      <c r="V66" s="30">
        <v>40.91</v>
      </c>
      <c r="W66" s="30">
        <v>7502.91</v>
      </c>
      <c r="X66" s="30">
        <v>109270.83</v>
      </c>
      <c r="Y66" s="30">
        <v>33476.530000000028</v>
      </c>
      <c r="Z66" s="30">
        <v>2941.09</v>
      </c>
      <c r="AA66" s="30">
        <v>390829.45</v>
      </c>
      <c r="AB66" s="320">
        <v>2331878.1399999997</v>
      </c>
      <c r="AC66" s="30">
        <v>13150.600000000006</v>
      </c>
      <c r="AD66" s="30">
        <v>1610240.42</v>
      </c>
      <c r="AE66" s="30">
        <v>42988.199999999953</v>
      </c>
      <c r="AF66" s="30">
        <v>1047.47</v>
      </c>
      <c r="AG66" s="30">
        <v>718501.79000000015</v>
      </c>
      <c r="AH66" s="30">
        <v>0</v>
      </c>
      <c r="AI66" s="30">
        <v>646395.49</v>
      </c>
      <c r="AJ66" s="30">
        <v>354405.18000000017</v>
      </c>
      <c r="AK66" s="30">
        <v>0</v>
      </c>
      <c r="AL66" s="30">
        <v>0</v>
      </c>
      <c r="AM66" s="30">
        <v>0</v>
      </c>
      <c r="AN66" s="30">
        <v>0</v>
      </c>
      <c r="AO66" s="30">
        <v>36.08</v>
      </c>
      <c r="AP66" s="30">
        <v>604363.14999999991</v>
      </c>
      <c r="AQ66" s="30">
        <v>0</v>
      </c>
      <c r="AR66" s="30">
        <v>1532317.22</v>
      </c>
      <c r="AS66" s="30">
        <v>0</v>
      </c>
      <c r="AT66" s="30">
        <v>0</v>
      </c>
      <c r="AU66" s="30">
        <v>0</v>
      </c>
      <c r="AV66" s="319">
        <v>7247.86</v>
      </c>
      <c r="AW66" s="319">
        <v>0</v>
      </c>
      <c r="AX66" s="319">
        <v>0</v>
      </c>
      <c r="AY66" s="30">
        <v>1400034.21</v>
      </c>
      <c r="AZ66" s="30">
        <v>0</v>
      </c>
      <c r="BA66" s="319">
        <v>0</v>
      </c>
      <c r="BB66" s="319">
        <v>1316187.87</v>
      </c>
      <c r="BC66" s="319">
        <v>0</v>
      </c>
      <c r="BD66" s="319">
        <v>0</v>
      </c>
      <c r="BE66" s="30">
        <v>12190319.53</v>
      </c>
      <c r="BF66" s="319">
        <v>2358665.26</v>
      </c>
      <c r="BG66" s="319">
        <v>0</v>
      </c>
      <c r="BH66" s="319">
        <v>0</v>
      </c>
      <c r="BI66" s="319">
        <v>0</v>
      </c>
      <c r="BJ66" s="319">
        <v>0</v>
      </c>
      <c r="BK66" s="319">
        <v>0</v>
      </c>
      <c r="BL66" s="319">
        <v>0</v>
      </c>
      <c r="BM66" s="319">
        <v>0</v>
      </c>
      <c r="BN66" s="319">
        <v>73935523.21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833.69</v>
      </c>
      <c r="BU66" s="319">
        <v>0</v>
      </c>
      <c r="BV66" s="319">
        <v>175895.24</v>
      </c>
      <c r="BW66" s="319">
        <v>1864.0999999999985</v>
      </c>
      <c r="BX66" s="319">
        <v>1645437.51</v>
      </c>
      <c r="BY66" s="319">
        <v>6685.53</v>
      </c>
      <c r="BZ66" s="319">
        <v>0</v>
      </c>
      <c r="CA66" s="319">
        <v>0</v>
      </c>
      <c r="CB66" s="319">
        <v>0</v>
      </c>
      <c r="CC66" s="319">
        <v>18286645.29</v>
      </c>
      <c r="CD66" s="29" t="s">
        <v>248</v>
      </c>
      <c r="CE66" s="32">
        <f t="shared" si="4"/>
        <v>132591892.31999996</v>
      </c>
    </row>
    <row r="67">
      <c r="A67" s="39" t="s">
        <v>16</v>
      </c>
      <c r="B67" s="20"/>
      <c r="C67" s="32">
        <f ref="C67:BN67" t="shared" si="7">ROUND(C51+C52,0)</f>
        <v>1203135</v>
      </c>
      <c r="D67" s="32">
        <f t="shared" si="7"/>
        <v>0</v>
      </c>
      <c r="E67" s="32">
        <f t="shared" si="7"/>
        <v>2825431</v>
      </c>
      <c r="F67" s="32">
        <f t="shared" si="7"/>
        <v>856254</v>
      </c>
      <c r="G67" s="32">
        <f t="shared" si="7"/>
        <v>287483</v>
      </c>
      <c r="H67" s="32">
        <f t="shared" si="7"/>
        <v>0</v>
      </c>
      <c r="I67" s="32">
        <f t="shared" si="7"/>
        <v>0</v>
      </c>
      <c r="J67" s="32">
        <f t="shared" si="7"/>
        <v>126478</v>
      </c>
      <c r="K67" s="32">
        <f t="shared" si="7"/>
        <v>0</v>
      </c>
      <c r="L67" s="32">
        <f t="shared" si="7"/>
        <v>0</v>
      </c>
      <c r="M67" s="32">
        <f t="shared" si="7"/>
        <v>48203</v>
      </c>
      <c r="N67" s="32">
        <f t="shared" si="7"/>
        <v>0</v>
      </c>
      <c r="O67" s="32">
        <f t="shared" si="7"/>
        <v>0</v>
      </c>
      <c r="P67" s="32">
        <f t="shared" si="7"/>
        <v>3476612</v>
      </c>
      <c r="Q67" s="32">
        <f t="shared" si="7"/>
        <v>244468</v>
      </c>
      <c r="R67" s="32">
        <f t="shared" si="7"/>
        <v>240993</v>
      </c>
      <c r="S67" s="32">
        <f t="shared" si="7"/>
        <v>573419</v>
      </c>
      <c r="T67" s="32">
        <f t="shared" si="7"/>
        <v>33468</v>
      </c>
      <c r="U67" s="32">
        <f t="shared" si="7"/>
        <v>341658</v>
      </c>
      <c r="V67" s="32">
        <f t="shared" si="7"/>
        <v>16966</v>
      </c>
      <c r="W67" s="32">
        <f t="shared" si="7"/>
        <v>563342</v>
      </c>
      <c r="X67" s="32">
        <f t="shared" si="7"/>
        <v>56002</v>
      </c>
      <c r="Y67" s="32">
        <f t="shared" si="7"/>
        <v>1873620</v>
      </c>
      <c r="Z67" s="32">
        <f t="shared" si="7"/>
        <v>196284</v>
      </c>
      <c r="AA67" s="32">
        <f t="shared" si="7"/>
        <v>123434</v>
      </c>
      <c r="AB67" s="32">
        <f t="shared" si="7"/>
        <v>382162</v>
      </c>
      <c r="AC67" s="32">
        <f t="shared" si="7"/>
        <v>293793</v>
      </c>
      <c r="AD67" s="32">
        <f t="shared" si="7"/>
        <v>5964</v>
      </c>
      <c r="AE67" s="32">
        <f t="shared" si="7"/>
        <v>101890</v>
      </c>
      <c r="AF67" s="32">
        <f t="shared" si="7"/>
        <v>84622</v>
      </c>
      <c r="AG67" s="32">
        <f t="shared" si="7"/>
        <v>546869</v>
      </c>
      <c r="AH67" s="32">
        <f t="shared" si="7"/>
        <v>0</v>
      </c>
      <c r="AI67" s="32">
        <f t="shared" si="7"/>
        <v>917578</v>
      </c>
      <c r="AJ67" s="32">
        <f t="shared" si="7"/>
        <v>288754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182169</v>
      </c>
      <c r="AP67" s="32">
        <f t="shared" si="7"/>
        <v>211927</v>
      </c>
      <c r="AQ67" s="32">
        <f t="shared" si="7"/>
        <v>0</v>
      </c>
      <c r="AR67" s="32">
        <f t="shared" si="7"/>
        <v>38456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20360</v>
      </c>
      <c r="AW67" s="32">
        <f t="shared" si="7"/>
        <v>0</v>
      </c>
      <c r="AX67" s="32">
        <f t="shared" si="7"/>
        <v>0</v>
      </c>
      <c r="AY67" s="32">
        <f t="shared" si="7"/>
        <v>459143</v>
      </c>
      <c r="AZ67" s="32">
        <f t="shared" si="7"/>
        <v>0</v>
      </c>
      <c r="BA67" s="32">
        <f t="shared" si="7"/>
        <v>0</v>
      </c>
      <c r="BB67" s="32">
        <f t="shared" si="7"/>
        <v>901</v>
      </c>
      <c r="BC67" s="32">
        <f t="shared" si="7"/>
        <v>0</v>
      </c>
      <c r="BD67" s="32">
        <f t="shared" si="7"/>
        <v>145755</v>
      </c>
      <c r="BE67" s="32">
        <f t="shared" si="7"/>
        <v>6641952</v>
      </c>
      <c r="BF67" s="32">
        <f t="shared" si="7"/>
        <v>646971</v>
      </c>
      <c r="BG67" s="32">
        <f t="shared" si="7"/>
        <v>60705</v>
      </c>
      <c r="BH67" s="32">
        <f t="shared" si="7"/>
        <v>57525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88974</v>
      </c>
      <c r="BM67" s="32">
        <f t="shared" si="7"/>
        <v>0</v>
      </c>
      <c r="BN67" s="32">
        <f t="shared" si="7"/>
        <v>19198588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54412</v>
      </c>
      <c r="BS67" s="32">
        <f t="shared" si="8"/>
        <v>34321</v>
      </c>
      <c r="BT67" s="32">
        <f t="shared" si="8"/>
        <v>26066</v>
      </c>
      <c r="BU67" s="32">
        <f t="shared" si="8"/>
        <v>31444</v>
      </c>
      <c r="BV67" s="32">
        <f t="shared" si="8"/>
        <v>147766</v>
      </c>
      <c r="BW67" s="32">
        <f t="shared" si="8"/>
        <v>32793</v>
      </c>
      <c r="BX67" s="32">
        <f t="shared" si="8"/>
        <v>20858</v>
      </c>
      <c r="BY67" s="32">
        <f t="shared" si="8"/>
        <v>1709567</v>
      </c>
      <c r="BZ67" s="32">
        <f t="shared" si="8"/>
        <v>1045</v>
      </c>
      <c r="CA67" s="32">
        <f t="shared" si="8"/>
        <v>184957</v>
      </c>
      <c r="CB67" s="32">
        <f t="shared" si="8"/>
        <v>0</v>
      </c>
      <c r="CC67" s="32">
        <f t="shared" si="8"/>
        <v>3285018</v>
      </c>
      <c r="CD67" s="29" t="s">
        <v>248</v>
      </c>
      <c r="CE67" s="32">
        <f t="shared" si="4"/>
        <v>48990555</v>
      </c>
    </row>
    <row r="68">
      <c r="A68" s="39" t="s">
        <v>268</v>
      </c>
      <c r="B68" s="32"/>
      <c r="C68" s="24">
        <v>439856.04</v>
      </c>
      <c r="D68" s="24">
        <v>142205.36</v>
      </c>
      <c r="E68" s="24">
        <v>834785.95</v>
      </c>
      <c r="F68" s="24">
        <v>403782.603298</v>
      </c>
      <c r="G68" s="24">
        <v>9777.22</v>
      </c>
      <c r="H68" s="24">
        <v>0</v>
      </c>
      <c r="I68" s="24">
        <v>0</v>
      </c>
      <c r="J68" s="24">
        <v>59642.856702000019</v>
      </c>
      <c r="K68" s="24">
        <v>0</v>
      </c>
      <c r="L68" s="24">
        <v>0</v>
      </c>
      <c r="M68" s="24">
        <v>9774.5</v>
      </c>
      <c r="N68" s="24">
        <v>0</v>
      </c>
      <c r="O68" s="24">
        <v>0</v>
      </c>
      <c r="P68" s="30">
        <v>25053.709999999992</v>
      </c>
      <c r="Q68" s="30">
        <v>0</v>
      </c>
      <c r="R68" s="30">
        <v>0</v>
      </c>
      <c r="S68" s="319">
        <v>0</v>
      </c>
      <c r="T68" s="319">
        <v>226980.96</v>
      </c>
      <c r="U68" s="31">
        <v>13941.94</v>
      </c>
      <c r="V68" s="30">
        <v>0</v>
      </c>
      <c r="W68" s="30">
        <v>0</v>
      </c>
      <c r="X68" s="30">
        <v>125.01</v>
      </c>
      <c r="Y68" s="30">
        <v>1299479.75</v>
      </c>
      <c r="Z68" s="30">
        <v>0</v>
      </c>
      <c r="AA68" s="30">
        <v>0</v>
      </c>
      <c r="AB68" s="320">
        <v>735038.49</v>
      </c>
      <c r="AC68" s="30">
        <v>92785.22</v>
      </c>
      <c r="AD68" s="30">
        <v>0</v>
      </c>
      <c r="AE68" s="30">
        <v>440858.71</v>
      </c>
      <c r="AF68" s="30">
        <v>0</v>
      </c>
      <c r="AG68" s="30">
        <v>399496.82999999996</v>
      </c>
      <c r="AH68" s="30">
        <v>0</v>
      </c>
      <c r="AI68" s="30">
        <v>104608.75000000002</v>
      </c>
      <c r="AJ68" s="30">
        <v>3469062.42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2652230.13</v>
      </c>
      <c r="AQ68" s="30">
        <v>0</v>
      </c>
      <c r="AR68" s="30">
        <v>717140.3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2332210.1599999997</v>
      </c>
      <c r="BF68" s="319">
        <v>3614.85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0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49209.71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270093.76</v>
      </c>
      <c r="CD68" s="29" t="s">
        <v>248</v>
      </c>
      <c r="CE68" s="32">
        <f t="shared" si="4"/>
        <v>14731755.23</v>
      </c>
    </row>
    <row r="69">
      <c r="A69" s="39" t="s">
        <v>269</v>
      </c>
      <c r="B69" s="20"/>
      <c r="C69" s="32">
        <f ref="C69:BN69" t="shared" si="9">SUM(C70:C83)</f>
        <v>21813.51</v>
      </c>
      <c r="D69" s="32">
        <f t="shared" si="9"/>
        <v>2448.51</v>
      </c>
      <c r="E69" s="32">
        <f t="shared" si="9"/>
        <v>43597.71</v>
      </c>
      <c r="F69" s="32">
        <f t="shared" si="9"/>
        <v>31807.233436999995</v>
      </c>
      <c r="G69" s="32">
        <f t="shared" si="9"/>
        <v>-336.41</v>
      </c>
      <c r="H69" s="32">
        <f t="shared" si="9"/>
        <v>0</v>
      </c>
      <c r="I69" s="32">
        <f t="shared" si="9"/>
        <v>0</v>
      </c>
      <c r="J69" s="32">
        <f t="shared" si="9"/>
        <v>4698.2565630000008</v>
      </c>
      <c r="K69" s="32">
        <f t="shared" si="9"/>
        <v>0</v>
      </c>
      <c r="L69" s="32">
        <f t="shared" si="9"/>
        <v>0</v>
      </c>
      <c r="M69" s="32">
        <f t="shared" si="9"/>
        <v>20013.46</v>
      </c>
      <c r="N69" s="32">
        <f t="shared" si="9"/>
        <v>6157.8799999999992</v>
      </c>
      <c r="O69" s="32">
        <f t="shared" si="9"/>
        <v>0</v>
      </c>
      <c r="P69" s="32">
        <f t="shared" si="9"/>
        <v>126658.77</v>
      </c>
      <c r="Q69" s="32">
        <f t="shared" si="9"/>
        <v>1285.73</v>
      </c>
      <c r="R69" s="32">
        <f t="shared" si="9"/>
        <v>6671.07</v>
      </c>
      <c r="S69" s="32">
        <f t="shared" si="9"/>
        <v>33131.35</v>
      </c>
      <c r="T69" s="32">
        <f t="shared" si="9"/>
        <v>36287.04</v>
      </c>
      <c r="U69" s="32">
        <f t="shared" si="9"/>
        <v>44306.73</v>
      </c>
      <c r="V69" s="32">
        <f t="shared" si="9"/>
        <v>895.24</v>
      </c>
      <c r="W69" s="32">
        <f t="shared" si="9"/>
        <v>829.3599999999999</v>
      </c>
      <c r="X69" s="32">
        <f t="shared" si="9"/>
        <v>8661.18</v>
      </c>
      <c r="Y69" s="32">
        <f t="shared" si="9"/>
        <v>136682.17</v>
      </c>
      <c r="Z69" s="32">
        <f t="shared" si="9"/>
        <v>8437.3599999999988</v>
      </c>
      <c r="AA69" s="32">
        <f t="shared" si="9"/>
        <v>1216.93</v>
      </c>
      <c r="AB69" s="32">
        <f t="shared" si="9"/>
        <v>28559.49</v>
      </c>
      <c r="AC69" s="32">
        <f t="shared" si="9"/>
        <v>13240.75</v>
      </c>
      <c r="AD69" s="32">
        <f t="shared" si="9"/>
        <v>20.79</v>
      </c>
      <c r="AE69" s="32">
        <f t="shared" si="9"/>
        <v>22165.51</v>
      </c>
      <c r="AF69" s="32">
        <f t="shared" si="9"/>
        <v>6941.4</v>
      </c>
      <c r="AG69" s="32">
        <f t="shared" si="9"/>
        <v>114571.53000000001</v>
      </c>
      <c r="AH69" s="32">
        <f t="shared" si="9"/>
        <v>0</v>
      </c>
      <c r="AI69" s="32">
        <f t="shared" si="9"/>
        <v>29620.95</v>
      </c>
      <c r="AJ69" s="32">
        <f t="shared" si="9"/>
        <v>213479.23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744.66</v>
      </c>
      <c r="AP69" s="32">
        <f t="shared" si="9"/>
        <v>52145.659999999989</v>
      </c>
      <c r="AQ69" s="32">
        <f t="shared" si="9"/>
        <v>0</v>
      </c>
      <c r="AR69" s="32">
        <f t="shared" si="9"/>
        <v>622608.06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1553.28</v>
      </c>
      <c r="AW69" s="32">
        <f t="shared" si="9"/>
        <v>0</v>
      </c>
      <c r="AX69" s="32">
        <f t="shared" si="9"/>
        <v>0</v>
      </c>
      <c r="AY69" s="32">
        <f t="shared" si="9"/>
        <v>2250.21</v>
      </c>
      <c r="AZ69" s="32">
        <f t="shared" si="9"/>
        <v>0</v>
      </c>
      <c r="BA69" s="32">
        <f t="shared" si="9"/>
        <v>0</v>
      </c>
      <c r="BB69" s="32">
        <f t="shared" si="9"/>
        <v>8911.84</v>
      </c>
      <c r="BC69" s="32">
        <f t="shared" si="9"/>
        <v>0</v>
      </c>
      <c r="BD69" s="32">
        <f t="shared" si="9"/>
        <v>0</v>
      </c>
      <c r="BE69" s="32">
        <f t="shared" si="9"/>
        <v>22908.160000000033</v>
      </c>
      <c r="BF69" s="32">
        <f t="shared" si="9"/>
        <v>2647.39</v>
      </c>
      <c r="BG69" s="32">
        <f t="shared" si="9"/>
        <v>538.6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115823.51999999999</v>
      </c>
      <c r="BO69" s="32">
        <f ref="BO69:CD69" t="shared" si="10">SUM(BO70:BO83)</f>
        <v>406.26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93428.93</v>
      </c>
      <c r="BT69" s="32">
        <f t="shared" si="10"/>
        <v>57105.75</v>
      </c>
      <c r="BU69" s="32">
        <f t="shared" si="10"/>
        <v>0</v>
      </c>
      <c r="BV69" s="32">
        <f t="shared" si="10"/>
        <v>0</v>
      </c>
      <c r="BW69" s="32">
        <f t="shared" si="10"/>
        <v>8374.66</v>
      </c>
      <c r="BX69" s="32">
        <f t="shared" si="10"/>
        <v>7862.3099999999995</v>
      </c>
      <c r="BY69" s="32">
        <f t="shared" si="10"/>
        <v>107709.14</v>
      </c>
      <c r="BZ69" s="32">
        <f t="shared" si="10"/>
        <v>1281.96</v>
      </c>
      <c r="CA69" s="32">
        <f t="shared" si="10"/>
        <v>0</v>
      </c>
      <c r="CB69" s="32">
        <f t="shared" si="10"/>
        <v>0</v>
      </c>
      <c r="CC69" s="32">
        <f t="shared" si="10"/>
        <v>82854.47</v>
      </c>
      <c r="CD69" s="32">
        <f t="shared" si="10"/>
        <v>28048797.509999998</v>
      </c>
      <c r="CE69" s="32">
        <f>SUM(CE70:CE84)</f>
        <v>42994417.94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21813.51</v>
      </c>
      <c r="D83" s="24">
        <v>2448.51</v>
      </c>
      <c r="E83" s="30">
        <v>43597.71</v>
      </c>
      <c r="F83" s="30">
        <v>31807.233436999995</v>
      </c>
      <c r="G83" s="24">
        <v>-336.41</v>
      </c>
      <c r="H83" s="24">
        <v>0</v>
      </c>
      <c r="I83" s="30">
        <v>0</v>
      </c>
      <c r="J83" s="30">
        <v>4698.2565630000008</v>
      </c>
      <c r="K83" s="30">
        <v>0</v>
      </c>
      <c r="L83" s="30">
        <v>0</v>
      </c>
      <c r="M83" s="24">
        <v>20013.46</v>
      </c>
      <c r="N83" s="24">
        <v>6157.8799999999992</v>
      </c>
      <c r="O83" s="24">
        <v>0</v>
      </c>
      <c r="P83" s="30">
        <v>126658.77</v>
      </c>
      <c r="Q83" s="30">
        <v>1285.73</v>
      </c>
      <c r="R83" s="31">
        <v>6671.07</v>
      </c>
      <c r="S83" s="30">
        <v>33131.35</v>
      </c>
      <c r="T83" s="24">
        <v>36287.04</v>
      </c>
      <c r="U83" s="30">
        <v>44306.73</v>
      </c>
      <c r="V83" s="30">
        <v>895.24</v>
      </c>
      <c r="W83" s="24">
        <v>829.3599999999999</v>
      </c>
      <c r="X83" s="30">
        <v>8661.18</v>
      </c>
      <c r="Y83" s="30">
        <v>136682.17</v>
      </c>
      <c r="Z83" s="30">
        <v>8437.3599999999988</v>
      </c>
      <c r="AA83" s="30">
        <v>1216.93</v>
      </c>
      <c r="AB83" s="30">
        <v>28559.49</v>
      </c>
      <c r="AC83" s="30">
        <v>13240.75</v>
      </c>
      <c r="AD83" s="30">
        <v>20.79</v>
      </c>
      <c r="AE83" s="30">
        <v>22165.51</v>
      </c>
      <c r="AF83" s="30">
        <v>6941.4</v>
      </c>
      <c r="AG83" s="30">
        <v>114571.53000000001</v>
      </c>
      <c r="AH83" s="30">
        <v>0</v>
      </c>
      <c r="AI83" s="30">
        <v>29620.95</v>
      </c>
      <c r="AJ83" s="30">
        <v>213479.23</v>
      </c>
      <c r="AK83" s="30">
        <v>0</v>
      </c>
      <c r="AL83" s="30">
        <v>0</v>
      </c>
      <c r="AM83" s="30">
        <v>0</v>
      </c>
      <c r="AN83" s="30">
        <v>0</v>
      </c>
      <c r="AO83" s="24">
        <v>744.66</v>
      </c>
      <c r="AP83" s="30">
        <v>52145.659999999989</v>
      </c>
      <c r="AQ83" s="24">
        <v>0</v>
      </c>
      <c r="AR83" s="24">
        <v>622608.06</v>
      </c>
      <c r="AS83" s="24">
        <v>0</v>
      </c>
      <c r="AT83" s="24">
        <v>0</v>
      </c>
      <c r="AU83" s="30">
        <v>0</v>
      </c>
      <c r="AV83" s="30">
        <v>1553.28</v>
      </c>
      <c r="AW83" s="30">
        <v>0</v>
      </c>
      <c r="AX83" s="30">
        <v>0</v>
      </c>
      <c r="AY83" s="30">
        <v>2250.21</v>
      </c>
      <c r="AZ83" s="30">
        <v>0</v>
      </c>
      <c r="BA83" s="30">
        <v>0</v>
      </c>
      <c r="BB83" s="30">
        <v>8911.84</v>
      </c>
      <c r="BC83" s="30">
        <v>0</v>
      </c>
      <c r="BD83" s="30">
        <v>0</v>
      </c>
      <c r="BE83" s="30">
        <v>22908.160000000033</v>
      </c>
      <c r="BF83" s="30">
        <v>2647.39</v>
      </c>
      <c r="BG83" s="30">
        <v>538.6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115823.51999999999</v>
      </c>
      <c r="BO83" s="30">
        <v>406.26</v>
      </c>
      <c r="BP83" s="30">
        <v>0</v>
      </c>
      <c r="BQ83" s="30">
        <v>0</v>
      </c>
      <c r="BR83" s="30">
        <v>0</v>
      </c>
      <c r="BS83" s="30">
        <v>93428.93</v>
      </c>
      <c r="BT83" s="30">
        <v>57105.75</v>
      </c>
      <c r="BU83" s="30">
        <v>0</v>
      </c>
      <c r="BV83" s="30">
        <v>0</v>
      </c>
      <c r="BW83" s="30">
        <v>8374.66</v>
      </c>
      <c r="BX83" s="30">
        <v>7862.3099999999995</v>
      </c>
      <c r="BY83" s="30">
        <v>107709.14</v>
      </c>
      <c r="BZ83" s="30">
        <v>1281.96</v>
      </c>
      <c r="CA83" s="30">
        <v>0</v>
      </c>
      <c r="CB83" s="30">
        <v>0</v>
      </c>
      <c r="CC83" s="30">
        <v>82854.47</v>
      </c>
      <c r="CD83" s="35">
        <v>28048797.509999998</v>
      </c>
      <c r="CE83" s="32">
        <f t="shared" si="11"/>
        <v>30201815.099999998</v>
      </c>
    </row>
    <row r="84">
      <c r="A84" s="39" t="s">
        <v>284</v>
      </c>
      <c r="B84" s="20"/>
      <c r="C84" s="24">
        <v>183460.49999999997</v>
      </c>
      <c r="D84" s="24">
        <v>0</v>
      </c>
      <c r="E84" s="24">
        <v>57090</v>
      </c>
      <c r="F84" s="24">
        <v>2188.330941</v>
      </c>
      <c r="G84" s="24">
        <v>0</v>
      </c>
      <c r="H84" s="24">
        <v>0</v>
      </c>
      <c r="I84" s="24">
        <v>0</v>
      </c>
      <c r="J84" s="24">
        <v>323.23905900000011</v>
      </c>
      <c r="K84" s="24">
        <v>0</v>
      </c>
      <c r="L84" s="24">
        <v>0</v>
      </c>
      <c r="M84" s="24">
        <v>241463.39</v>
      </c>
      <c r="N84" s="24">
        <v>0</v>
      </c>
      <c r="O84" s="24">
        <v>0</v>
      </c>
      <c r="P84" s="24">
        <v>86631.02</v>
      </c>
      <c r="Q84" s="24">
        <v>0</v>
      </c>
      <c r="R84" s="24">
        <v>0</v>
      </c>
      <c r="S84" s="24">
        <v>0</v>
      </c>
      <c r="T84" s="24">
        <v>48573.77</v>
      </c>
      <c r="U84" s="24">
        <v>1370.4</v>
      </c>
      <c r="V84" s="24">
        <v>0</v>
      </c>
      <c r="W84" s="24">
        <v>3616.54</v>
      </c>
      <c r="X84" s="24">
        <v>0</v>
      </c>
      <c r="Y84" s="24">
        <v>19578.91</v>
      </c>
      <c r="Z84" s="24">
        <v>0</v>
      </c>
      <c r="AA84" s="24">
        <v>0</v>
      </c>
      <c r="AB84" s="24">
        <v>6410489.16</v>
      </c>
      <c r="AC84" s="24">
        <v>0</v>
      </c>
      <c r="AD84" s="24">
        <v>0</v>
      </c>
      <c r="AE84" s="24">
        <v>16480.34</v>
      </c>
      <c r="AF84" s="24">
        <v>27924.85</v>
      </c>
      <c r="AG84" s="24">
        <v>1281772.07</v>
      </c>
      <c r="AH84" s="24">
        <v>0</v>
      </c>
      <c r="AI84" s="24">
        <v>0</v>
      </c>
      <c r="AJ84" s="24">
        <v>1599503.58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712531.69</v>
      </c>
      <c r="AQ84" s="24">
        <v>0</v>
      </c>
      <c r="AR84" s="24">
        <v>2552.96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12546.43</v>
      </c>
      <c r="AZ84" s="24">
        <v>0</v>
      </c>
      <c r="BA84" s="24">
        <v>0</v>
      </c>
      <c r="BB84" s="24">
        <v>1894.27</v>
      </c>
      <c r="BC84" s="24">
        <v>0</v>
      </c>
      <c r="BD84" s="24">
        <v>0</v>
      </c>
      <c r="BE84" s="24">
        <v>401394.26</v>
      </c>
      <c r="BF84" s="24">
        <v>20715.38</v>
      </c>
      <c r="BG84" s="24">
        <v>290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174967.87</v>
      </c>
      <c r="BO84" s="24">
        <v>0</v>
      </c>
      <c r="BP84" s="24">
        <v>0</v>
      </c>
      <c r="BQ84" s="24">
        <v>0</v>
      </c>
      <c r="BR84" s="24">
        <v>0</v>
      </c>
      <c r="BS84" s="24">
        <v>159322.59</v>
      </c>
      <c r="BT84" s="24">
        <v>27672.36</v>
      </c>
      <c r="BU84" s="24">
        <v>0</v>
      </c>
      <c r="BV84" s="24">
        <v>0</v>
      </c>
      <c r="BW84" s="24">
        <v>2150</v>
      </c>
      <c r="BX84" s="24">
        <v>13899.17</v>
      </c>
      <c r="BY84" s="24">
        <v>40122.03</v>
      </c>
      <c r="BZ84" s="24">
        <v>0</v>
      </c>
      <c r="CA84" s="24">
        <v>0</v>
      </c>
      <c r="CB84" s="24">
        <v>7058.36</v>
      </c>
      <c r="CC84" s="24">
        <v>1211873.89</v>
      </c>
      <c r="CD84" s="35">
        <v>23145.48</v>
      </c>
      <c r="CE84" s="32">
        <f t="shared" si="11"/>
        <v>12792602.839999998</v>
      </c>
    </row>
    <row r="85">
      <c r="A85" s="39" t="s">
        <v>285</v>
      </c>
      <c r="B85" s="32"/>
      <c r="C85" s="32">
        <f>SUM(C61:C69)-C84</f>
        <v>45898810.22</v>
      </c>
      <c r="D85" s="32">
        <f ref="D85:BO85" t="shared" si="12">SUM(D61:D69)-D84</f>
        <v>9725079.1699999981</v>
      </c>
      <c r="E85" s="32">
        <f t="shared" si="12"/>
        <v>79399968.84</v>
      </c>
      <c r="F85" s="32">
        <f t="shared" si="12"/>
        <v>21635286.459448002</v>
      </c>
      <c r="G85" s="32">
        <f t="shared" si="12"/>
        <v>3261747.6799999997</v>
      </c>
      <c r="H85" s="32">
        <f t="shared" si="12"/>
        <v>0</v>
      </c>
      <c r="I85" s="32">
        <f t="shared" si="12"/>
        <v>0</v>
      </c>
      <c r="J85" s="32">
        <f t="shared" si="12"/>
        <v>3195755.5005520009</v>
      </c>
      <c r="K85" s="32">
        <f t="shared" si="12"/>
        <v>0</v>
      </c>
      <c r="L85" s="32">
        <f t="shared" si="12"/>
        <v>0</v>
      </c>
      <c r="M85" s="32">
        <f t="shared" si="12"/>
        <v>6414132.01</v>
      </c>
      <c r="N85" s="32">
        <f t="shared" si="12"/>
        <v>12545595.5</v>
      </c>
      <c r="O85" s="32">
        <f t="shared" si="12"/>
        <v>0</v>
      </c>
      <c r="P85" s="32">
        <f t="shared" si="12"/>
        <v>52366121.74</v>
      </c>
      <c r="Q85" s="32">
        <f t="shared" si="12"/>
        <v>4618360.08</v>
      </c>
      <c r="R85" s="32">
        <f t="shared" si="12"/>
        <v>3604272.24</v>
      </c>
      <c r="S85" s="32">
        <f t="shared" si="12"/>
        <v>4852927.459999999</v>
      </c>
      <c r="T85" s="32">
        <f t="shared" si="12"/>
        <v>6057340.91</v>
      </c>
      <c r="U85" s="32">
        <f t="shared" si="12"/>
        <v>22090281.640000004</v>
      </c>
      <c r="V85" s="32">
        <f t="shared" si="12"/>
        <v>1437098.23</v>
      </c>
      <c r="W85" s="32">
        <f t="shared" si="12"/>
        <v>1700280.25</v>
      </c>
      <c r="X85" s="32">
        <f t="shared" si="12"/>
        <v>3375397.98</v>
      </c>
      <c r="Y85" s="32">
        <f t="shared" si="12"/>
        <v>50106826.520000011</v>
      </c>
      <c r="Z85" s="32">
        <f t="shared" si="12"/>
        <v>1422731.59</v>
      </c>
      <c r="AA85" s="32">
        <f t="shared" si="12"/>
        <v>1637505.8399999999</v>
      </c>
      <c r="AB85" s="32">
        <f t="shared" si="12"/>
        <v>39050347.320000008</v>
      </c>
      <c r="AC85" s="32">
        <f t="shared" si="12"/>
        <v>12693296.280000001</v>
      </c>
      <c r="AD85" s="32">
        <f t="shared" si="12"/>
        <v>1667643.08</v>
      </c>
      <c r="AE85" s="32">
        <f t="shared" si="12"/>
        <v>10081091.86</v>
      </c>
      <c r="AF85" s="32">
        <f t="shared" si="12"/>
        <v>2302046.4899999998</v>
      </c>
      <c r="AG85" s="32">
        <f t="shared" si="12"/>
        <v>43463346.6</v>
      </c>
      <c r="AH85" s="32">
        <f t="shared" si="12"/>
        <v>0</v>
      </c>
      <c r="AI85" s="32">
        <f t="shared" si="12"/>
        <v>13523764.29</v>
      </c>
      <c r="AJ85" s="32">
        <f t="shared" si="12"/>
        <v>67039972.81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2638283.8600000003</v>
      </c>
      <c r="AP85" s="32">
        <f t="shared" si="12"/>
        <v>34256513.98</v>
      </c>
      <c r="AQ85" s="32">
        <f t="shared" si="12"/>
        <v>0</v>
      </c>
      <c r="AR85" s="32">
        <f t="shared" si="12"/>
        <v>31376546.059999995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711090.66</v>
      </c>
      <c r="AW85" s="32">
        <f t="shared" si="12"/>
        <v>0</v>
      </c>
      <c r="AX85" s="32">
        <f t="shared" si="12"/>
        <v>0</v>
      </c>
      <c r="AY85" s="32">
        <f t="shared" si="12"/>
        <v>7778803.28</v>
      </c>
      <c r="AZ85" s="32">
        <f t="shared" si="12"/>
        <v>0</v>
      </c>
      <c r="BA85" s="32">
        <f t="shared" si="12"/>
        <v>0</v>
      </c>
      <c r="BB85" s="32">
        <f t="shared" si="12"/>
        <v>11177222.489999998</v>
      </c>
      <c r="BC85" s="32">
        <f t="shared" si="12"/>
        <v>0</v>
      </c>
      <c r="BD85" s="32">
        <f t="shared" si="12"/>
        <v>145755</v>
      </c>
      <c r="BE85" s="32">
        <f t="shared" si="12"/>
        <v>29786659.779999997</v>
      </c>
      <c r="BF85" s="32">
        <f t="shared" si="12"/>
        <v>11533402.6</v>
      </c>
      <c r="BG85" s="32">
        <f t="shared" si="12"/>
        <v>706600.09999999986</v>
      </c>
      <c r="BH85" s="32">
        <f t="shared" si="12"/>
        <v>57525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88974</v>
      </c>
      <c r="BM85" s="32">
        <f t="shared" si="12"/>
        <v>0</v>
      </c>
      <c r="BN85" s="32">
        <f t="shared" si="12"/>
        <v>98025869.889999986</v>
      </c>
      <c r="BO85" s="32">
        <f t="shared" si="12"/>
        <v>734206.96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54412</v>
      </c>
      <c r="BS85" s="32">
        <f t="shared" si="13"/>
        <v>334124.58999999997</v>
      </c>
      <c r="BT85" s="32">
        <f t="shared" si="13"/>
        <v>1184936.9799999998</v>
      </c>
      <c r="BU85" s="32">
        <f t="shared" si="13"/>
        <v>31444</v>
      </c>
      <c r="BV85" s="32">
        <f t="shared" si="13"/>
        <v>323661.24</v>
      </c>
      <c r="BW85" s="32">
        <f t="shared" si="13"/>
        <v>1356604.5</v>
      </c>
      <c r="BX85" s="32">
        <f t="shared" si="13"/>
        <v>6297339.84</v>
      </c>
      <c r="BY85" s="32">
        <f t="shared" si="13"/>
        <v>5820006.35</v>
      </c>
      <c r="BZ85" s="32">
        <f t="shared" si="13"/>
        <v>6125606.58</v>
      </c>
      <c r="CA85" s="32">
        <f t="shared" si="13"/>
        <v>184957</v>
      </c>
      <c r="CB85" s="32">
        <f t="shared" si="13"/>
        <v>-7058.36</v>
      </c>
      <c r="CC85" s="32">
        <f t="shared" si="13"/>
        <v>26115323.65</v>
      </c>
      <c r="CD85" s="32">
        <f t="shared" si="13"/>
        <v>28025652.029999997</v>
      </c>
      <c r="CE85" s="32">
        <f t="shared" si="11"/>
        <v>830031492.6500001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137940607</v>
      </c>
      <c r="D87" s="24">
        <v>39207006</v>
      </c>
      <c r="E87" s="24">
        <v>227724335</v>
      </c>
      <c r="F87" s="24">
        <v>39225475.198093</v>
      </c>
      <c r="G87" s="24">
        <v>8708422</v>
      </c>
      <c r="H87" s="24">
        <v>0</v>
      </c>
      <c r="I87" s="24">
        <v>0</v>
      </c>
      <c r="J87" s="24">
        <v>5794007.4119070014</v>
      </c>
      <c r="K87" s="24">
        <v>0</v>
      </c>
      <c r="L87" s="24">
        <v>0</v>
      </c>
      <c r="M87" s="24">
        <v>220</v>
      </c>
      <c r="N87" s="24">
        <v>0</v>
      </c>
      <c r="O87" s="24">
        <v>0</v>
      </c>
      <c r="P87" s="24">
        <v>153058447.87</v>
      </c>
      <c r="Q87" s="24">
        <v>5012682</v>
      </c>
      <c r="R87" s="24">
        <v>37308696.4</v>
      </c>
      <c r="S87" s="24">
        <v>0</v>
      </c>
      <c r="T87" s="24">
        <v>4480968</v>
      </c>
      <c r="U87" s="24">
        <v>108283806.72</v>
      </c>
      <c r="V87" s="24">
        <v>7650572</v>
      </c>
      <c r="W87" s="24">
        <v>8666821.4</v>
      </c>
      <c r="X87" s="24">
        <v>50415992.15</v>
      </c>
      <c r="Y87" s="24">
        <v>210688090.73</v>
      </c>
      <c r="Z87" s="24">
        <v>546331</v>
      </c>
      <c r="AA87" s="24">
        <v>1642527.2</v>
      </c>
      <c r="AB87" s="24">
        <v>74263575.73</v>
      </c>
      <c r="AC87" s="24">
        <v>67758776</v>
      </c>
      <c r="AD87" s="24">
        <v>7470029</v>
      </c>
      <c r="AE87" s="24">
        <v>22632810</v>
      </c>
      <c r="AF87" s="24">
        <v>135</v>
      </c>
      <c r="AG87" s="24">
        <v>75071872</v>
      </c>
      <c r="AH87" s="24">
        <v>0</v>
      </c>
      <c r="AI87" s="24">
        <v>8660199.84</v>
      </c>
      <c r="AJ87" s="24">
        <v>53416.58</v>
      </c>
      <c r="AK87" s="24">
        <v>0</v>
      </c>
      <c r="AL87" s="24">
        <v>0</v>
      </c>
      <c r="AM87" s="24">
        <v>0</v>
      </c>
      <c r="AN87" s="24">
        <v>0</v>
      </c>
      <c r="AO87" s="24">
        <v>3201260</v>
      </c>
      <c r="AP87" s="24">
        <v>77483</v>
      </c>
      <c r="AQ87" s="24">
        <v>0</v>
      </c>
      <c r="AR87" s="24">
        <v>416</v>
      </c>
      <c r="AS87" s="24">
        <v>0</v>
      </c>
      <c r="AT87" s="24">
        <v>0</v>
      </c>
      <c r="AU87" s="24">
        <v>0</v>
      </c>
      <c r="AV87" s="24">
        <v>967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1305545948.2299998</v>
      </c>
    </row>
    <row r="88">
      <c r="A88" s="26" t="s">
        <v>288</v>
      </c>
      <c r="B88" s="20"/>
      <c r="C88" s="24">
        <v>3024653</v>
      </c>
      <c r="D88" s="24">
        <v>1310183.6</v>
      </c>
      <c r="E88" s="24">
        <v>41069246.01</v>
      </c>
      <c r="F88" s="24">
        <v>11001828.521442998</v>
      </c>
      <c r="G88" s="24">
        <v>0</v>
      </c>
      <c r="H88" s="24">
        <v>0</v>
      </c>
      <c r="I88" s="24">
        <v>0</v>
      </c>
      <c r="J88" s="24">
        <v>1625083.5885570003</v>
      </c>
      <c r="K88" s="24">
        <v>0</v>
      </c>
      <c r="L88" s="24">
        <v>0</v>
      </c>
      <c r="M88" s="24">
        <v>5563910.37</v>
      </c>
      <c r="N88" s="24">
        <v>7141749.1</v>
      </c>
      <c r="O88" s="24">
        <v>0</v>
      </c>
      <c r="P88" s="24">
        <v>140756899.49</v>
      </c>
      <c r="Q88" s="24">
        <v>10778368</v>
      </c>
      <c r="R88" s="24">
        <v>37683977.15</v>
      </c>
      <c r="S88" s="24">
        <v>0</v>
      </c>
      <c r="T88" s="24">
        <v>16491068</v>
      </c>
      <c r="U88" s="24">
        <v>85752664.35</v>
      </c>
      <c r="V88" s="24">
        <v>12599622</v>
      </c>
      <c r="W88" s="24">
        <v>23657933.85</v>
      </c>
      <c r="X88" s="24">
        <v>107351576.65</v>
      </c>
      <c r="Y88" s="24">
        <v>194982326.49</v>
      </c>
      <c r="Z88" s="24">
        <v>14951847</v>
      </c>
      <c r="AA88" s="24">
        <v>9014953.5</v>
      </c>
      <c r="AB88" s="24">
        <v>86298067.7</v>
      </c>
      <c r="AC88" s="24">
        <v>5381563</v>
      </c>
      <c r="AD88" s="24">
        <v>1870817</v>
      </c>
      <c r="AE88" s="24">
        <v>15706387</v>
      </c>
      <c r="AF88" s="24">
        <v>5463089.93</v>
      </c>
      <c r="AG88" s="24">
        <v>219034016.39</v>
      </c>
      <c r="AH88" s="24">
        <v>0</v>
      </c>
      <c r="AI88" s="24">
        <v>21211299.659999996</v>
      </c>
      <c r="AJ88" s="24">
        <v>95851946</v>
      </c>
      <c r="AK88" s="24">
        <v>0</v>
      </c>
      <c r="AL88" s="24">
        <v>0</v>
      </c>
      <c r="AM88" s="24">
        <v>0</v>
      </c>
      <c r="AN88" s="24">
        <v>0</v>
      </c>
      <c r="AO88" s="24">
        <v>775028</v>
      </c>
      <c r="AP88" s="24">
        <v>97740054.19</v>
      </c>
      <c r="AQ88" s="24">
        <v>0</v>
      </c>
      <c r="AR88" s="24">
        <v>70435891.69</v>
      </c>
      <c r="AS88" s="24">
        <v>0</v>
      </c>
      <c r="AT88" s="24">
        <v>0</v>
      </c>
      <c r="AU88" s="24">
        <v>0</v>
      </c>
      <c r="AV88" s="24">
        <v>4105754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1348631805.2300003</v>
      </c>
    </row>
    <row r="89">
      <c r="A89" s="26" t="s">
        <v>289</v>
      </c>
      <c r="B89" s="20"/>
      <c r="C89" s="32">
        <f>C87+C88</f>
        <v>140965260</v>
      </c>
      <c r="D89" s="32">
        <f ref="D89:AV89" t="shared" si="15">D87+D88</f>
        <v>40517189.6</v>
      </c>
      <c r="E89" s="32">
        <f t="shared" si="15"/>
        <v>268793581.01</v>
      </c>
      <c r="F89" s="32">
        <f t="shared" si="15"/>
        <v>50227303.719535992</v>
      </c>
      <c r="G89" s="32">
        <f t="shared" si="15"/>
        <v>8708422</v>
      </c>
      <c r="H89" s="32">
        <f t="shared" si="15"/>
        <v>0</v>
      </c>
      <c r="I89" s="32">
        <f t="shared" si="15"/>
        <v>0</v>
      </c>
      <c r="J89" s="32">
        <f t="shared" si="15"/>
        <v>7419091.0004640017</v>
      </c>
      <c r="K89" s="32">
        <f t="shared" si="15"/>
        <v>0</v>
      </c>
      <c r="L89" s="32">
        <f t="shared" si="15"/>
        <v>0</v>
      </c>
      <c r="M89" s="32">
        <f t="shared" si="15"/>
        <v>5564130.37</v>
      </c>
      <c r="N89" s="32">
        <f t="shared" si="15"/>
        <v>7141749.1</v>
      </c>
      <c r="O89" s="32">
        <f t="shared" si="15"/>
        <v>0</v>
      </c>
      <c r="P89" s="32">
        <f t="shared" si="15"/>
        <v>293815347.36</v>
      </c>
      <c r="Q89" s="32">
        <f t="shared" si="15"/>
        <v>15791050</v>
      </c>
      <c r="R89" s="32">
        <f t="shared" si="15"/>
        <v>74992673.55</v>
      </c>
      <c r="S89" s="32">
        <f t="shared" si="15"/>
        <v>0</v>
      </c>
      <c r="T89" s="32">
        <f t="shared" si="15"/>
        <v>20972036</v>
      </c>
      <c r="U89" s="32">
        <f t="shared" si="15"/>
        <v>194036471.07</v>
      </c>
      <c r="V89" s="32">
        <f t="shared" si="15"/>
        <v>20250194</v>
      </c>
      <c r="W89" s="32">
        <f t="shared" si="15"/>
        <v>32324755.25</v>
      </c>
      <c r="X89" s="32">
        <f t="shared" si="15"/>
        <v>157767568.8</v>
      </c>
      <c r="Y89" s="32">
        <f t="shared" si="15"/>
        <v>405670417.22</v>
      </c>
      <c r="Z89" s="32">
        <f t="shared" si="15"/>
        <v>15498178</v>
      </c>
      <c r="AA89" s="32">
        <f t="shared" si="15"/>
        <v>10657480.7</v>
      </c>
      <c r="AB89" s="32">
        <f t="shared" si="15"/>
        <v>160561643.43</v>
      </c>
      <c r="AC89" s="32">
        <f t="shared" si="15"/>
        <v>73140339</v>
      </c>
      <c r="AD89" s="32">
        <f t="shared" si="15"/>
        <v>9340846</v>
      </c>
      <c r="AE89" s="32">
        <f t="shared" si="15"/>
        <v>38339197</v>
      </c>
      <c r="AF89" s="32">
        <f t="shared" si="15"/>
        <v>5463224.93</v>
      </c>
      <c r="AG89" s="32">
        <f t="shared" si="15"/>
        <v>294105888.39</v>
      </c>
      <c r="AH89" s="32">
        <f t="shared" si="15"/>
        <v>0</v>
      </c>
      <c r="AI89" s="32">
        <f t="shared" si="15"/>
        <v>29871499.499999996</v>
      </c>
      <c r="AJ89" s="32">
        <f t="shared" si="15"/>
        <v>95905362.58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3976288</v>
      </c>
      <c r="AP89" s="32">
        <f t="shared" si="15"/>
        <v>97817537.19</v>
      </c>
      <c r="AQ89" s="32">
        <f t="shared" si="15"/>
        <v>0</v>
      </c>
      <c r="AR89" s="32">
        <f t="shared" si="15"/>
        <v>70436307.69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4106721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2654177753.46</v>
      </c>
    </row>
    <row r="90">
      <c r="A90" s="39" t="s">
        <v>290</v>
      </c>
      <c r="B90" s="32"/>
      <c r="C90" s="24">
        <v>43055.8</v>
      </c>
      <c r="D90" s="24">
        <v>0</v>
      </c>
      <c r="E90" s="24">
        <v>134471.173823529</v>
      </c>
      <c r="F90" s="24">
        <v>38817.2863</v>
      </c>
      <c r="G90" s="24">
        <v>15133</v>
      </c>
      <c r="H90" s="24">
        <v>0</v>
      </c>
      <c r="I90" s="24">
        <v>0</v>
      </c>
      <c r="J90" s="24">
        <v>5733.7137000000021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41972.822499999995</v>
      </c>
      <c r="Q90" s="24">
        <v>8497.54</v>
      </c>
      <c r="R90" s="24">
        <v>1008.45</v>
      </c>
      <c r="S90" s="24">
        <v>19850.97</v>
      </c>
      <c r="T90" s="24">
        <v>108.91</v>
      </c>
      <c r="U90" s="24">
        <v>16163.77</v>
      </c>
      <c r="V90" s="24">
        <v>608</v>
      </c>
      <c r="W90" s="24">
        <v>1999.73</v>
      </c>
      <c r="X90" s="24">
        <v>2583.45</v>
      </c>
      <c r="Y90" s="24">
        <v>12051</v>
      </c>
      <c r="Z90" s="24">
        <v>8730</v>
      </c>
      <c r="AA90" s="24">
        <v>2812.94</v>
      </c>
      <c r="AB90" s="24">
        <v>13397.6</v>
      </c>
      <c r="AC90" s="24">
        <v>1687.24</v>
      </c>
      <c r="AD90" s="24">
        <v>315.34</v>
      </c>
      <c r="AE90" s="24">
        <v>1020.31</v>
      </c>
      <c r="AF90" s="24">
        <v>4428.27</v>
      </c>
      <c r="AG90" s="24">
        <v>19360</v>
      </c>
      <c r="AH90" s="24">
        <v>0</v>
      </c>
      <c r="AI90" s="24">
        <v>22076.09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4661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573</v>
      </c>
      <c r="AW90" s="24">
        <v>0</v>
      </c>
      <c r="AX90" s="24">
        <v>0</v>
      </c>
      <c r="AY90" s="24">
        <v>19713.6</v>
      </c>
      <c r="AZ90" s="24">
        <v>0</v>
      </c>
      <c r="BA90" s="24">
        <v>0</v>
      </c>
      <c r="BB90" s="24">
        <v>0</v>
      </c>
      <c r="BC90" s="24">
        <v>0</v>
      </c>
      <c r="BD90" s="24">
        <v>7706.59</v>
      </c>
      <c r="BE90" s="24">
        <v>322561.37367647077</v>
      </c>
      <c r="BF90" s="24">
        <v>21631.66</v>
      </c>
      <c r="BG90" s="24">
        <v>2789.85</v>
      </c>
      <c r="BH90" s="24">
        <v>3041.56</v>
      </c>
      <c r="BI90" s="24">
        <v>0</v>
      </c>
      <c r="BJ90" s="24">
        <v>0</v>
      </c>
      <c r="BK90" s="24">
        <v>0</v>
      </c>
      <c r="BL90" s="24">
        <v>4704.39</v>
      </c>
      <c r="BM90" s="24">
        <v>0</v>
      </c>
      <c r="BN90" s="24">
        <v>10256.76</v>
      </c>
      <c r="BO90" s="24">
        <v>0</v>
      </c>
      <c r="BP90" s="24">
        <v>0</v>
      </c>
      <c r="BQ90" s="24">
        <v>0</v>
      </c>
      <c r="BR90" s="24">
        <v>2876.96</v>
      </c>
      <c r="BS90" s="24">
        <v>1689.14</v>
      </c>
      <c r="BT90" s="24">
        <v>1378.22</v>
      </c>
      <c r="BU90" s="24">
        <v>1662.58</v>
      </c>
      <c r="BV90" s="24">
        <v>7812.92</v>
      </c>
      <c r="BW90" s="24">
        <v>1711.53</v>
      </c>
      <c r="BX90" s="24">
        <v>1145.67</v>
      </c>
      <c r="BY90" s="24">
        <v>4458.5</v>
      </c>
      <c r="BZ90" s="24">
        <v>0</v>
      </c>
      <c r="CA90" s="24">
        <v>9779.38</v>
      </c>
      <c r="CB90" s="24">
        <v>0</v>
      </c>
      <c r="CC90" s="24">
        <v>239.93</v>
      </c>
      <c r="CD90" s="264" t="s">
        <v>248</v>
      </c>
      <c r="CE90" s="32">
        <f t="shared" si="14"/>
        <v>846278.02</v>
      </c>
      <c r="CF90" s="32">
        <f>BE59-CE90</f>
        <v>-0.020000000018626451</v>
      </c>
    </row>
    <row r="91">
      <c r="A91" s="26" t="s">
        <v>291</v>
      </c>
      <c r="B91" s="20"/>
      <c r="C91" s="24">
        <v>0</v>
      </c>
      <c r="D91" s="24">
        <v>0</v>
      </c>
      <c r="E91" s="24">
        <v>226592</v>
      </c>
      <c r="F91" s="24">
        <v>0</v>
      </c>
      <c r="G91" s="24">
        <v>7752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1670</v>
      </c>
      <c r="AG91" s="24">
        <v>55216</v>
      </c>
      <c r="AH91" s="24">
        <v>0</v>
      </c>
      <c r="AI91" s="24">
        <v>36018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909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328157</v>
      </c>
      <c r="CF91" s="32">
        <f>AY59-CE91</f>
        <v>0</v>
      </c>
    </row>
    <row r="92">
      <c r="A92" s="26" t="s">
        <v>292</v>
      </c>
      <c r="B92" s="20"/>
      <c r="C92" s="24">
        <v>18376.984302918885</v>
      </c>
      <c r="D92" s="24">
        <v>0</v>
      </c>
      <c r="E92" s="24">
        <v>57394.698288037129</v>
      </c>
      <c r="F92" s="24">
        <v>16567.910967094056</v>
      </c>
      <c r="G92" s="24">
        <v>6459.0346354282447</v>
      </c>
      <c r="H92" s="24">
        <v>0</v>
      </c>
      <c r="I92" s="24">
        <v>0</v>
      </c>
      <c r="J92" s="24">
        <v>2447.2513961494383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17914.750166799837</v>
      </c>
      <c r="Q92" s="24">
        <v>3626.9018156305383</v>
      </c>
      <c r="R92" s="24">
        <v>430.4244682546497</v>
      </c>
      <c r="S92" s="24">
        <v>8472.7484819168076</v>
      </c>
      <c r="T92" s="24">
        <v>46.484732845073033</v>
      </c>
      <c r="U92" s="24">
        <v>6898.98567825917</v>
      </c>
      <c r="V92" s="24">
        <v>259.5052572748545</v>
      </c>
      <c r="W92" s="24">
        <v>853.52047389842892</v>
      </c>
      <c r="X92" s="24">
        <v>1102.6625935965835</v>
      </c>
      <c r="Y92" s="24">
        <v>5143.5819990448545</v>
      </c>
      <c r="Z92" s="24">
        <v>3726.1198947524335</v>
      </c>
      <c r="AA92" s="24">
        <v>1200.6130236821205</v>
      </c>
      <c r="AB92" s="24">
        <v>5718.3349257657746</v>
      </c>
      <c r="AC92" s="24">
        <v>720.14416165201567</v>
      </c>
      <c r="AD92" s="24">
        <v>134.59274313988917</v>
      </c>
      <c r="AE92" s="24">
        <v>435.48652804293874</v>
      </c>
      <c r="AF92" s="24">
        <v>1890.0647132113818</v>
      </c>
      <c r="AG92" s="24">
        <v>8263.1937184887884</v>
      </c>
      <c r="AH92" s="24">
        <v>0</v>
      </c>
      <c r="AI92" s="24">
        <v>9422.469432685597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1989.3980331547646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244.56663226725595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0</v>
      </c>
      <c r="BB92" s="24">
        <v>0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1298.192122231754</v>
      </c>
      <c r="BI92" s="24">
        <v>0</v>
      </c>
      <c r="BJ92" s="29" t="s">
        <v>248</v>
      </c>
      <c r="BK92" s="24">
        <v>0</v>
      </c>
      <c r="BL92" s="24">
        <v>2007.9176599856132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720.95511558099963</v>
      </c>
      <c r="BT92" s="24">
        <v>588.2489073706414</v>
      </c>
      <c r="BU92" s="24">
        <v>709.618833289519</v>
      </c>
      <c r="BV92" s="24">
        <v>3334.6937741247639</v>
      </c>
      <c r="BW92" s="24">
        <v>730.511567407289</v>
      </c>
      <c r="BX92" s="24">
        <v>488.9924146415832</v>
      </c>
      <c r="BY92" s="24">
        <v>1902.967417039373</v>
      </c>
      <c r="BZ92" s="24">
        <v>0</v>
      </c>
      <c r="CA92" s="24">
        <v>4174.0140179088257</v>
      </c>
      <c r="CB92" s="24">
        <v>0</v>
      </c>
      <c r="CC92" s="29" t="s">
        <v>248</v>
      </c>
      <c r="CD92" s="29" t="s">
        <v>248</v>
      </c>
      <c r="CE92" s="32">
        <f t="shared" si="14"/>
        <v>195696.54089357186</v>
      </c>
      <c r="CF92" s="20"/>
    </row>
    <row r="93">
      <c r="A93" s="26" t="s">
        <v>293</v>
      </c>
      <c r="B93" s="20"/>
      <c r="C93" s="24">
        <v>388634.79446145444</v>
      </c>
      <c r="D93" s="24">
        <v>68367.131669092778</v>
      </c>
      <c r="E93" s="24">
        <v>809166.78799873788</v>
      </c>
      <c r="F93" s="24">
        <v>143802.95960992886</v>
      </c>
      <c r="G93" s="24">
        <v>27686.864366556612</v>
      </c>
      <c r="H93" s="24">
        <v>0</v>
      </c>
      <c r="I93" s="24">
        <v>0</v>
      </c>
      <c r="J93" s="24">
        <v>21241.180881209515</v>
      </c>
      <c r="K93" s="24">
        <v>0</v>
      </c>
      <c r="L93" s="24">
        <v>0</v>
      </c>
      <c r="M93" s="24">
        <v>48310.238615561873</v>
      </c>
      <c r="N93" s="24">
        <v>0</v>
      </c>
      <c r="O93" s="24">
        <v>0</v>
      </c>
      <c r="P93" s="24">
        <v>141672.62018592961</v>
      </c>
      <c r="Q93" s="24">
        <v>51122.9666532266</v>
      </c>
      <c r="R93" s="24">
        <v>0</v>
      </c>
      <c r="S93" s="24">
        <v>4.4404768672066144</v>
      </c>
      <c r="T93" s="24">
        <v>70219.382197865823</v>
      </c>
      <c r="U93" s="24">
        <v>0</v>
      </c>
      <c r="V93" s="24">
        <v>18.713438226085017</v>
      </c>
      <c r="W93" s="24">
        <v>3.4889411257393244</v>
      </c>
      <c r="X93" s="24">
        <v>8157.4091566447505</v>
      </c>
      <c r="Y93" s="24">
        <v>38449.838288527753</v>
      </c>
      <c r="Z93" s="24">
        <v>637.97860125151328</v>
      </c>
      <c r="AA93" s="24">
        <v>0</v>
      </c>
      <c r="AB93" s="24">
        <v>0</v>
      </c>
      <c r="AC93" s="24">
        <v>0</v>
      </c>
      <c r="AD93" s="24">
        <v>0</v>
      </c>
      <c r="AE93" s="24">
        <v>2968.5961396455382</v>
      </c>
      <c r="AF93" s="24">
        <v>5954.9998584238137</v>
      </c>
      <c r="AG93" s="24">
        <v>197189.61197762939</v>
      </c>
      <c r="AH93" s="24">
        <v>0</v>
      </c>
      <c r="AI93" s="24">
        <v>123507.59959909736</v>
      </c>
      <c r="AJ93" s="24">
        <v>28730.378888924348</v>
      </c>
      <c r="AK93" s="24">
        <v>0</v>
      </c>
      <c r="AL93" s="24">
        <v>0</v>
      </c>
      <c r="AM93" s="24">
        <v>0</v>
      </c>
      <c r="AN93" s="24">
        <v>0</v>
      </c>
      <c r="AO93" s="24">
        <v>35506.754681714716</v>
      </c>
      <c r="AP93" s="24">
        <v>40600.61531079319</v>
      </c>
      <c r="AQ93" s="24">
        <v>0</v>
      </c>
      <c r="AR93" s="24">
        <v>219603.60845400972</v>
      </c>
      <c r="AS93" s="24">
        <v>0</v>
      </c>
      <c r="AT93" s="24">
        <v>0</v>
      </c>
      <c r="AU93" s="24">
        <v>0</v>
      </c>
      <c r="AV93" s="24">
        <v>3252.0395475545351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2474810.9999999991</v>
      </c>
      <c r="CF93" s="32">
        <f>BA59</f>
        <v>0</v>
      </c>
    </row>
    <row r="94">
      <c r="A94" s="26" t="s">
        <v>294</v>
      </c>
      <c r="B94" s="20"/>
      <c r="C94" s="315">
        <v>147.27084470845469</v>
      </c>
      <c r="D94" s="315">
        <v>25.907318064903848</v>
      </c>
      <c r="E94" s="315">
        <v>306.62894335988318</v>
      </c>
      <c r="F94" s="315">
        <v>54.493276554604741</v>
      </c>
      <c r="G94" s="315">
        <v>10.491772637706058</v>
      </c>
      <c r="H94" s="315">
        <v>0</v>
      </c>
      <c r="I94" s="315">
        <v>0</v>
      </c>
      <c r="J94" s="315">
        <v>8.0492192041519939</v>
      </c>
      <c r="K94" s="315">
        <v>0</v>
      </c>
      <c r="L94" s="315">
        <v>0</v>
      </c>
      <c r="M94" s="315">
        <v>18.306877691792597</v>
      </c>
      <c r="N94" s="315">
        <v>0</v>
      </c>
      <c r="O94" s="315">
        <v>0</v>
      </c>
      <c r="P94" s="316">
        <v>53.685997095947805</v>
      </c>
      <c r="Q94" s="316">
        <v>19.372744258413469</v>
      </c>
      <c r="R94" s="316">
        <v>0</v>
      </c>
      <c r="S94" s="317">
        <v>0.0016826923076923078</v>
      </c>
      <c r="T94" s="317">
        <v>26.609217390109904</v>
      </c>
      <c r="U94" s="318">
        <v>0</v>
      </c>
      <c r="V94" s="316">
        <v>0.0070913461538461538</v>
      </c>
      <c r="W94" s="316">
        <v>0.0013221134958791203</v>
      </c>
      <c r="X94" s="316">
        <v>3.0912016995192308</v>
      </c>
      <c r="Y94" s="316">
        <v>14.570337613495864</v>
      </c>
      <c r="Z94" s="316">
        <v>0.24175819780219762</v>
      </c>
      <c r="AA94" s="316">
        <v>0</v>
      </c>
      <c r="AB94" s="317">
        <v>0</v>
      </c>
      <c r="AC94" s="316">
        <v>0</v>
      </c>
      <c r="AD94" s="316">
        <v>0</v>
      </c>
      <c r="AE94" s="316">
        <v>1.1249318571428557</v>
      </c>
      <c r="AF94" s="316">
        <v>2.2566117905219758</v>
      </c>
      <c r="AG94" s="316">
        <v>74.723831055631734</v>
      </c>
      <c r="AH94" s="316">
        <v>0</v>
      </c>
      <c r="AI94" s="316">
        <v>46.802470545844784</v>
      </c>
      <c r="AJ94" s="316">
        <v>10.887206261675818</v>
      </c>
      <c r="AK94" s="316">
        <v>0</v>
      </c>
      <c r="AL94" s="316">
        <v>0</v>
      </c>
      <c r="AM94" s="316">
        <v>0</v>
      </c>
      <c r="AN94" s="316">
        <v>0</v>
      </c>
      <c r="AO94" s="316">
        <v>13.455073578983511</v>
      </c>
      <c r="AP94" s="316">
        <v>15.385361778502739</v>
      </c>
      <c r="AQ94" s="316">
        <v>0</v>
      </c>
      <c r="AR94" s="316">
        <v>83.217481756524521</v>
      </c>
      <c r="AS94" s="316">
        <v>0</v>
      </c>
      <c r="AT94" s="316">
        <v>0</v>
      </c>
      <c r="AU94" s="316">
        <v>0</v>
      </c>
      <c r="AV94" s="317">
        <v>1.2323410513392885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937.81491430491053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98664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4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4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/>
      <c r="D109" s="42"/>
      <c r="E109" s="43"/>
      <c r="F109" s="16"/>
    </row>
    <row r="110">
      <c r="A110" s="44" t="s">
        <v>323</v>
      </c>
      <c r="B110" s="40" t="s">
        <v>299</v>
      </c>
      <c r="C110" s="329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17023</v>
      </c>
      <c r="D127" s="50">
        <v>104934</v>
      </c>
      <c r="E127" s="20"/>
    </row>
    <row r="128">
      <c r="A128" s="20" t="s">
        <v>338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339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340</v>
      </c>
      <c r="B130" s="46" t="s">
        <v>299</v>
      </c>
      <c r="C130" s="47">
        <v>1846</v>
      </c>
      <c r="D130" s="50">
        <v>2747</v>
      </c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69</v>
      </c>
      <c r="D132" s="20"/>
      <c r="E132" s="20"/>
    </row>
    <row r="133">
      <c r="A133" s="20" t="s">
        <v>343</v>
      </c>
      <c r="B133" s="46" t="s">
        <v>299</v>
      </c>
      <c r="C133" s="47">
        <v>28</v>
      </c>
      <c r="D133" s="20"/>
      <c r="E133" s="20"/>
    </row>
    <row r="134">
      <c r="A134" s="20" t="s">
        <v>344</v>
      </c>
      <c r="B134" s="46" t="s">
        <v>299</v>
      </c>
      <c r="C134" s="47">
        <v>259</v>
      </c>
      <c r="D134" s="20"/>
      <c r="E134" s="20"/>
    </row>
    <row r="135">
      <c r="A135" s="20" t="s">
        <v>345</v>
      </c>
      <c r="B135" s="46" t="s">
        <v>299</v>
      </c>
      <c r="C135" s="47">
        <v>3</v>
      </c>
      <c r="D135" s="20"/>
      <c r="E135" s="20"/>
    </row>
    <row r="136">
      <c r="A136" s="20" t="s">
        <v>346</v>
      </c>
      <c r="B136" s="46" t="s">
        <v>299</v>
      </c>
      <c r="C136" s="47">
        <v>32</v>
      </c>
      <c r="D136" s="20"/>
      <c r="E136" s="20"/>
    </row>
    <row r="137">
      <c r="A137" s="20" t="s">
        <v>347</v>
      </c>
      <c r="B137" s="46" t="s">
        <v>299</v>
      </c>
      <c r="C137" s="47">
        <v>14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0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405</v>
      </c>
    </row>
    <row r="144">
      <c r="A144" s="20" t="s">
        <v>352</v>
      </c>
      <c r="B144" s="46" t="s">
        <v>299</v>
      </c>
      <c r="C144" s="47">
        <v>436</v>
      </c>
      <c r="D144" s="20"/>
      <c r="E144" s="20"/>
    </row>
    <row r="145">
      <c r="A145" s="20" t="s">
        <v>353</v>
      </c>
      <c r="B145" s="46" t="s">
        <v>299</v>
      </c>
      <c r="C145" s="47">
        <v>40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9074</v>
      </c>
      <c r="C154" s="50">
        <v>3218</v>
      </c>
      <c r="D154" s="50">
        <v>4731</v>
      </c>
      <c r="E154" s="32">
        <f>SUM(B154:D154)</f>
        <v>17023</v>
      </c>
    </row>
    <row r="155">
      <c r="A155" s="20" t="s">
        <v>242</v>
      </c>
      <c r="B155" s="50">
        <v>60360</v>
      </c>
      <c r="C155" s="50">
        <v>19865</v>
      </c>
      <c r="D155" s="50">
        <v>24709</v>
      </c>
      <c r="E155" s="32">
        <f>SUM(B155:D155)</f>
        <v>104934</v>
      </c>
    </row>
    <row r="156">
      <c r="A156" s="20" t="s">
        <v>359</v>
      </c>
      <c r="B156" s="50">
        <v>65669</v>
      </c>
      <c r="C156" s="50">
        <v>42102</v>
      </c>
      <c r="D156" s="50">
        <v>62949</v>
      </c>
      <c r="E156" s="32">
        <f>SUM(B156:D156)</f>
        <v>170720</v>
      </c>
    </row>
    <row r="157">
      <c r="A157" s="20" t="s">
        <v>287</v>
      </c>
      <c r="B157" s="50">
        <v>737629704</v>
      </c>
      <c r="C157" s="50">
        <v>233323254</v>
      </c>
      <c r="D157" s="50">
        <v>334592990</v>
      </c>
      <c r="E157" s="32">
        <f>SUM(B157:D157)</f>
        <v>1305545948</v>
      </c>
      <c r="F157" s="18"/>
    </row>
    <row r="158">
      <c r="A158" s="20" t="s">
        <v>288</v>
      </c>
      <c r="B158" s="50">
        <v>642709887</v>
      </c>
      <c r="C158" s="50">
        <v>262157195</v>
      </c>
      <c r="D158" s="50">
        <v>443764723</v>
      </c>
      <c r="E158" s="32">
        <f>SUM(B158:D158)</f>
        <v>1348631805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359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359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>
        <v>103562097</v>
      </c>
      <c r="C173" s="50">
        <v>66365947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22039670.06</v>
      </c>
      <c r="D181" s="20"/>
      <c r="E181" s="20"/>
    </row>
    <row r="182">
      <c r="A182" s="20" t="s">
        <v>369</v>
      </c>
      <c r="B182" s="46" t="s">
        <v>299</v>
      </c>
      <c r="C182" s="47">
        <v>501975.45</v>
      </c>
      <c r="D182" s="20"/>
      <c r="E182" s="20"/>
    </row>
    <row r="183">
      <c r="A183" s="25" t="s">
        <v>370</v>
      </c>
      <c r="B183" s="46" t="s">
        <v>299</v>
      </c>
      <c r="C183" s="47">
        <v>1132179.13</v>
      </c>
      <c r="D183" s="20"/>
      <c r="E183" s="20"/>
    </row>
    <row r="184">
      <c r="A184" s="20" t="s">
        <v>371</v>
      </c>
      <c r="B184" s="46" t="s">
        <v>299</v>
      </c>
      <c r="C184" s="47">
        <v>35598457.22</v>
      </c>
      <c r="D184" s="20"/>
      <c r="E184" s="20"/>
    </row>
    <row r="185">
      <c r="A185" s="20" t="s">
        <v>372</v>
      </c>
      <c r="B185" s="46" t="s">
        <v>299</v>
      </c>
      <c r="C185" s="47">
        <v>257129.84</v>
      </c>
      <c r="D185" s="20"/>
      <c r="E185" s="20"/>
    </row>
    <row r="186">
      <c r="A186" s="20" t="s">
        <v>373</v>
      </c>
      <c r="B186" s="46" t="s">
        <v>299</v>
      </c>
      <c r="C186" s="47">
        <v>20417220.69</v>
      </c>
      <c r="D186" s="20"/>
      <c r="E186" s="20"/>
    </row>
    <row r="187">
      <c r="A187" s="20" t="s">
        <v>374</v>
      </c>
      <c r="B187" s="46" t="s">
        <v>299</v>
      </c>
      <c r="C187" s="47">
        <v>2219020.45</v>
      </c>
      <c r="D187" s="20"/>
      <c r="E187" s="20"/>
    </row>
    <row r="188">
      <c r="A188" s="20" t="s">
        <v>374</v>
      </c>
      <c r="B188" s="46" t="s">
        <v>299</v>
      </c>
      <c r="C188" s="47">
        <v>152286.98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82317939.820000008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11325997.45</v>
      </c>
      <c r="D191" s="20"/>
      <c r="E191" s="20"/>
    </row>
    <row r="192">
      <c r="A192" s="20" t="s">
        <v>377</v>
      </c>
      <c r="B192" s="46" t="s">
        <v>299</v>
      </c>
      <c r="C192" s="47">
        <v>3405757.78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14731755.229999999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5872333.91</v>
      </c>
      <c r="D195" s="20"/>
      <c r="E195" s="20"/>
    </row>
    <row r="196">
      <c r="A196" s="20" t="s">
        <v>380</v>
      </c>
      <c r="B196" s="46" t="s">
        <v>299</v>
      </c>
      <c r="C196" s="47">
        <v>1916556.19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7788890.1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513566.54</v>
      </c>
      <c r="D199" s="20"/>
      <c r="E199" s="20"/>
    </row>
    <row r="200">
      <c r="A200" s="20" t="s">
        <v>383</v>
      </c>
      <c r="B200" s="46" t="s">
        <v>299</v>
      </c>
      <c r="C200" s="47">
        <v>19068717.84</v>
      </c>
      <c r="D200" s="20"/>
      <c r="E200" s="20"/>
    </row>
    <row r="201">
      <c r="A201" s="20" t="s">
        <v>159</v>
      </c>
      <c r="B201" s="46" t="s">
        <v>299</v>
      </c>
      <c r="C201" s="47">
        <v>0</v>
      </c>
      <c r="D201" s="20"/>
      <c r="E201" s="20"/>
    </row>
    <row r="202">
      <c r="A202" s="20" t="s">
        <v>230</v>
      </c>
      <c r="B202" s="20"/>
      <c r="C202" s="27"/>
      <c r="D202" s="32">
        <f>SUM(C199:C201)</f>
        <v>19582284.38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>
        <v>0</v>
      </c>
      <c r="D204" s="20"/>
      <c r="E204" s="20"/>
    </row>
    <row r="205">
      <c r="A205" s="20" t="s">
        <v>386</v>
      </c>
      <c r="B205" s="46" t="s">
        <v>299</v>
      </c>
      <c r="C205" s="47">
        <v>677623.03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677623.03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41377388.13</v>
      </c>
      <c r="C211" s="47">
        <v>0</v>
      </c>
      <c r="D211" s="50">
        <v>11600</v>
      </c>
      <c r="E211" s="32">
        <f ref="E211:E219" t="shared" si="16">SUM(B211:C211)-D211</f>
        <v>41365788.13</v>
      </c>
    </row>
    <row r="212">
      <c r="A212" s="20" t="s">
        <v>394</v>
      </c>
      <c r="B212" s="50">
        <v>6837782.68</v>
      </c>
      <c r="C212" s="47">
        <v>0</v>
      </c>
      <c r="D212" s="50">
        <v>0</v>
      </c>
      <c r="E212" s="32">
        <f t="shared" si="16"/>
        <v>6837782.68</v>
      </c>
    </row>
    <row r="213">
      <c r="A213" s="20" t="s">
        <v>395</v>
      </c>
      <c r="B213" s="50">
        <v>295133761.35999995</v>
      </c>
      <c r="C213" s="47">
        <v>2265308.46</v>
      </c>
      <c r="D213" s="50">
        <v>0</v>
      </c>
      <c r="E213" s="32">
        <f t="shared" si="16"/>
        <v>297399069.81999993</v>
      </c>
    </row>
    <row r="214">
      <c r="A214" s="20" t="s">
        <v>396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>
      <c r="A215" s="20" t="s">
        <v>397</v>
      </c>
      <c r="B215" s="50">
        <v>53155805.33</v>
      </c>
      <c r="C215" s="47">
        <v>2079058.73</v>
      </c>
      <c r="D215" s="50">
        <v>0</v>
      </c>
      <c r="E215" s="32">
        <f t="shared" si="16"/>
        <v>55234864.059999995</v>
      </c>
    </row>
    <row r="216">
      <c r="A216" s="20" t="s">
        <v>398</v>
      </c>
      <c r="B216" s="50">
        <v>222951826.93999919</v>
      </c>
      <c r="C216" s="47">
        <v>6823158.32</v>
      </c>
      <c r="D216" s="50">
        <v>717327.54</v>
      </c>
      <c r="E216" s="32">
        <f t="shared" si="16"/>
        <v>229057657.71999919</v>
      </c>
    </row>
    <row r="217">
      <c r="A217" s="20" t="s">
        <v>399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400</v>
      </c>
      <c r="B218" s="50">
        <v>17702823.340000004</v>
      </c>
      <c r="C218" s="47">
        <v>534139</v>
      </c>
      <c r="D218" s="50">
        <v>0</v>
      </c>
      <c r="E218" s="32">
        <f t="shared" si="16"/>
        <v>18236962.340000004</v>
      </c>
    </row>
    <row r="219">
      <c r="A219" s="20" t="s">
        <v>401</v>
      </c>
      <c r="B219" s="50">
        <v>5585808.59</v>
      </c>
      <c r="C219" s="47">
        <v>20796165.100000005</v>
      </c>
      <c r="D219" s="50">
        <v>0</v>
      </c>
      <c r="E219" s="32">
        <f t="shared" si="16"/>
        <v>26381973.690000005</v>
      </c>
    </row>
    <row r="220">
      <c r="A220" s="20" t="s">
        <v>230</v>
      </c>
      <c r="B220" s="32">
        <f>SUM(B211:B219)</f>
        <v>642745196.36999917</v>
      </c>
      <c r="C220" s="266">
        <f>SUM(C211:C219)</f>
        <v>32497829.610000007</v>
      </c>
      <c r="D220" s="32">
        <f>SUM(D211:D219)</f>
        <v>728927.54</v>
      </c>
      <c r="E220" s="32">
        <f>SUM(E211:E219)</f>
        <v>674514098.43999922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6144452.049999998</v>
      </c>
      <c r="C225" s="47">
        <v>181126.77000000002</v>
      </c>
      <c r="D225" s="50">
        <v>0</v>
      </c>
      <c r="E225" s="32">
        <f ref="E225:E232" t="shared" si="17">SUM(B225:C225)-D225</f>
        <v>6325578.8199999984</v>
      </c>
    </row>
    <row r="226">
      <c r="A226" s="20" t="s">
        <v>395</v>
      </c>
      <c r="B226" s="50">
        <v>179959808.78</v>
      </c>
      <c r="C226" s="47">
        <v>8824671.84</v>
      </c>
      <c r="D226" s="50">
        <v>0</v>
      </c>
      <c r="E226" s="32">
        <f t="shared" si="17"/>
        <v>188784480.62</v>
      </c>
    </row>
    <row r="227">
      <c r="A227" s="20" t="s">
        <v>396</v>
      </c>
      <c r="B227" s="50">
        <v>0</v>
      </c>
      <c r="C227" s="47">
        <v>0</v>
      </c>
      <c r="D227" s="50">
        <v>0</v>
      </c>
      <c r="E227" s="32">
        <f t="shared" si="17"/>
        <v>0</v>
      </c>
    </row>
    <row r="228">
      <c r="A228" s="20" t="s">
        <v>397</v>
      </c>
      <c r="B228" s="50">
        <v>30485622.6</v>
      </c>
      <c r="C228" s="47">
        <v>2129757.5700000003</v>
      </c>
      <c r="D228" s="50">
        <v>0</v>
      </c>
      <c r="E228" s="32">
        <f t="shared" si="17"/>
        <v>32615380.17</v>
      </c>
    </row>
    <row r="229">
      <c r="A229" s="20" t="s">
        <v>398</v>
      </c>
      <c r="B229" s="50">
        <v>176791139.47</v>
      </c>
      <c r="C229" s="47">
        <v>10451964.629999999</v>
      </c>
      <c r="D229" s="50">
        <v>712581.61</v>
      </c>
      <c r="E229" s="32">
        <f t="shared" si="17"/>
        <v>186530522.48999998</v>
      </c>
    </row>
    <row r="230">
      <c r="A230" s="20" t="s">
        <v>399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>
      <c r="A231" s="20" t="s">
        <v>400</v>
      </c>
      <c r="B231" s="50">
        <v>6485475.06</v>
      </c>
      <c r="C231" s="47">
        <v>924674.47</v>
      </c>
      <c r="D231" s="50">
        <v>0</v>
      </c>
      <c r="E231" s="32">
        <f t="shared" si="17"/>
        <v>7410149.5299999993</v>
      </c>
    </row>
    <row r="232">
      <c r="A232" s="20" t="s">
        <v>401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>
      <c r="A233" s="20" t="s">
        <v>230</v>
      </c>
      <c r="B233" s="32">
        <f>SUM(B224:B232)</f>
        <v>399866497.96</v>
      </c>
      <c r="C233" s="266">
        <f>SUM(C224:C232)</f>
        <v>22512195.279999997</v>
      </c>
      <c r="D233" s="32">
        <f>SUM(D224:D232)</f>
        <v>712581.61</v>
      </c>
      <c r="E233" s="32">
        <f>SUM(E224:E232)</f>
        <v>421666111.63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5" t="s">
        <v>404</v>
      </c>
      <c r="C236" s="345"/>
      <c r="D236" s="38"/>
      <c r="E236" s="38"/>
    </row>
    <row r="237">
      <c r="A237" s="56" t="s">
        <v>404</v>
      </c>
      <c r="B237" s="38"/>
      <c r="C237" s="47">
        <v>24852658.81</v>
      </c>
      <c r="D237" s="40">
        <f>C237</f>
        <v>24852658.81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1051419137.24</v>
      </c>
      <c r="D239" s="20"/>
      <c r="E239" s="20"/>
    </row>
    <row r="240">
      <c r="A240" s="20" t="s">
        <v>407</v>
      </c>
      <c r="B240" s="46" t="s">
        <v>299</v>
      </c>
      <c r="C240" s="47">
        <v>386528281.4</v>
      </c>
      <c r="D240" s="20"/>
      <c r="E240" s="20"/>
    </row>
    <row r="241">
      <c r="A241" s="20" t="s">
        <v>408</v>
      </c>
      <c r="B241" s="46" t="s">
        <v>299</v>
      </c>
      <c r="C241" s="47">
        <v>8968198.2</v>
      </c>
      <c r="D241" s="20"/>
      <c r="E241" s="20"/>
    </row>
    <row r="242">
      <c r="A242" s="20" t="s">
        <v>409</v>
      </c>
      <c r="B242" s="46" t="s">
        <v>299</v>
      </c>
      <c r="C242" s="47">
        <v>62364618.2</v>
      </c>
      <c r="D242" s="20"/>
      <c r="E242" s="20"/>
    </row>
    <row r="243">
      <c r="A243" s="20" t="s">
        <v>410</v>
      </c>
      <c r="B243" s="46" t="s">
        <v>299</v>
      </c>
      <c r="C243" s="47">
        <v>320522640.02</v>
      </c>
      <c r="D243" s="20"/>
      <c r="E243" s="20"/>
    </row>
    <row r="244">
      <c r="A244" s="20" t="s">
        <v>411</v>
      </c>
      <c r="B244" s="46" t="s">
        <v>299</v>
      </c>
      <c r="C244" s="47">
        <v>20997390.42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1850800265.48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22875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14388630.84</v>
      </c>
      <c r="D249" s="20"/>
      <c r="E249" s="20"/>
    </row>
    <row r="250">
      <c r="A250" s="26" t="s">
        <v>416</v>
      </c>
      <c r="B250" s="46" t="s">
        <v>299</v>
      </c>
      <c r="C250" s="47">
        <v>22906229.88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37294860.72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>
        <v>847278.78</v>
      </c>
      <c r="D254" s="20"/>
      <c r="E254" s="20"/>
    </row>
    <row r="255">
      <c r="A255" s="20" t="s">
        <v>418</v>
      </c>
      <c r="B255" s="46" t="s">
        <v>299</v>
      </c>
      <c r="C255" s="47">
        <v>0</v>
      </c>
      <c r="D255" s="20"/>
      <c r="E255" s="20"/>
    </row>
    <row r="256">
      <c r="A256" s="20" t="s">
        <v>420</v>
      </c>
      <c r="B256" s="20"/>
      <c r="C256" s="27"/>
      <c r="D256" s="32">
        <f>SUM(C254:C255)</f>
        <v>847278.78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1913795063.79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0</v>
      </c>
      <c r="D266" s="20"/>
      <c r="E266" s="20"/>
    </row>
    <row r="267">
      <c r="A267" s="20" t="s">
        <v>425</v>
      </c>
      <c r="B267" s="46" t="s">
        <v>299</v>
      </c>
      <c r="C267" s="47">
        <v>0</v>
      </c>
      <c r="D267" s="20"/>
      <c r="E267" s="20"/>
    </row>
    <row r="268">
      <c r="A268" s="20" t="s">
        <v>426</v>
      </c>
      <c r="B268" s="46" t="s">
        <v>299</v>
      </c>
      <c r="C268" s="47">
        <v>381231717.05000007</v>
      </c>
      <c r="D268" s="20"/>
      <c r="E268" s="20"/>
    </row>
    <row r="269">
      <c r="A269" s="20" t="s">
        <v>427</v>
      </c>
      <c r="B269" s="46" t="s">
        <v>299</v>
      </c>
      <c r="C269" s="47">
        <v>285850050</v>
      </c>
      <c r="D269" s="20"/>
      <c r="E269" s="20"/>
    </row>
    <row r="270">
      <c r="A270" s="20" t="s">
        <v>428</v>
      </c>
      <c r="B270" s="46" t="s">
        <v>299</v>
      </c>
      <c r="C270" s="47">
        <v>1385315.1900000032</v>
      </c>
      <c r="D270" s="20"/>
      <c r="E270" s="20"/>
    </row>
    <row r="271">
      <c r="A271" s="20" t="s">
        <v>429</v>
      </c>
      <c r="B271" s="46" t="s">
        <v>299</v>
      </c>
      <c r="C271" s="47">
        <v>0</v>
      </c>
      <c r="D271" s="20"/>
      <c r="E271" s="20"/>
    </row>
    <row r="272">
      <c r="A272" s="20" t="s">
        <v>430</v>
      </c>
      <c r="B272" s="46" t="s">
        <v>299</v>
      </c>
      <c r="C272" s="47">
        <v>0</v>
      </c>
      <c r="D272" s="20"/>
      <c r="E272" s="20"/>
    </row>
    <row r="273">
      <c r="A273" s="20" t="s">
        <v>431</v>
      </c>
      <c r="B273" s="46" t="s">
        <v>299</v>
      </c>
      <c r="C273" s="47">
        <v>0</v>
      </c>
      <c r="D273" s="20"/>
      <c r="E273" s="20"/>
    </row>
    <row r="274">
      <c r="A274" s="20" t="s">
        <v>432</v>
      </c>
      <c r="B274" s="46" t="s">
        <v>299</v>
      </c>
      <c r="C274" s="47">
        <v>0</v>
      </c>
      <c r="D274" s="20"/>
      <c r="E274" s="20"/>
    </row>
    <row r="275">
      <c r="A275" s="20" t="s">
        <v>433</v>
      </c>
      <c r="B275" s="46" t="s">
        <v>299</v>
      </c>
      <c r="C275" s="47">
        <v>0</v>
      </c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96766982.240000069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>
        <v>0</v>
      </c>
      <c r="D278" s="20"/>
      <c r="E278" s="20"/>
    </row>
    <row r="279">
      <c r="A279" s="20" t="s">
        <v>425</v>
      </c>
      <c r="B279" s="46" t="s">
        <v>299</v>
      </c>
      <c r="C279" s="47">
        <v>0</v>
      </c>
      <c r="D279" s="20"/>
      <c r="E279" s="20"/>
    </row>
    <row r="280">
      <c r="A280" s="20" t="s">
        <v>436</v>
      </c>
      <c r="B280" s="46" t="s">
        <v>299</v>
      </c>
      <c r="C280" s="47">
        <v>0</v>
      </c>
      <c r="D280" s="20"/>
      <c r="E280" s="20"/>
    </row>
    <row r="281">
      <c r="A281" s="20" t="s">
        <v>437</v>
      </c>
      <c r="B281" s="20"/>
      <c r="C281" s="27"/>
      <c r="D281" s="32">
        <f>SUM(C278:C280)</f>
        <v>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47">
        <v>41365788.13</v>
      </c>
      <c r="D283" s="20"/>
      <c r="E283" s="20"/>
    </row>
    <row r="284">
      <c r="A284" s="20" t="s">
        <v>394</v>
      </c>
      <c r="B284" s="46" t="s">
        <v>299</v>
      </c>
      <c r="C284" s="47">
        <v>6837782.68</v>
      </c>
      <c r="D284" s="20"/>
      <c r="E284" s="20"/>
    </row>
    <row r="285">
      <c r="A285" s="20" t="s">
        <v>395</v>
      </c>
      <c r="B285" s="46" t="s">
        <v>299</v>
      </c>
      <c r="C285" s="47">
        <v>297399069.81999993</v>
      </c>
      <c r="D285" s="20"/>
      <c r="E285" s="20"/>
    </row>
    <row r="286">
      <c r="A286" s="20" t="s">
        <v>439</v>
      </c>
      <c r="B286" s="46" t="s">
        <v>299</v>
      </c>
      <c r="C286" s="47">
        <v>0</v>
      </c>
      <c r="D286" s="20"/>
      <c r="E286" s="20"/>
    </row>
    <row r="287">
      <c r="A287" s="20" t="s">
        <v>440</v>
      </c>
      <c r="B287" s="46" t="s">
        <v>299</v>
      </c>
      <c r="C287" s="47">
        <v>55234864.059999995</v>
      </c>
      <c r="D287" s="20"/>
      <c r="E287" s="20"/>
    </row>
    <row r="288">
      <c r="A288" s="20" t="s">
        <v>441</v>
      </c>
      <c r="B288" s="46" t="s">
        <v>299</v>
      </c>
      <c r="C288" s="47">
        <v>229057657.71999919</v>
      </c>
      <c r="D288" s="20"/>
      <c r="E288" s="20"/>
    </row>
    <row r="289">
      <c r="A289" s="20" t="s">
        <v>400</v>
      </c>
      <c r="B289" s="46" t="s">
        <v>299</v>
      </c>
      <c r="C289" s="47">
        <v>18236962.340000004</v>
      </c>
      <c r="D289" s="20"/>
      <c r="E289" s="20"/>
    </row>
    <row r="290">
      <c r="A290" s="20" t="s">
        <v>401</v>
      </c>
      <c r="B290" s="46" t="s">
        <v>299</v>
      </c>
      <c r="C290" s="47">
        <v>26381973.690000005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674514098.43999922</v>
      </c>
      <c r="E291" s="20"/>
    </row>
    <row r="292">
      <c r="A292" s="20" t="s">
        <v>443</v>
      </c>
      <c r="B292" s="46" t="s">
        <v>299</v>
      </c>
      <c r="C292" s="47">
        <v>421666111.62999994</v>
      </c>
      <c r="D292" s="20"/>
      <c r="E292" s="20"/>
    </row>
    <row r="293">
      <c r="A293" s="20" t="s">
        <v>444</v>
      </c>
      <c r="B293" s="20"/>
      <c r="C293" s="27"/>
      <c r="D293" s="32">
        <f>D291-C292</f>
        <v>252847986.80999929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47">
        <v>0</v>
      </c>
      <c r="D295" s="20"/>
      <c r="E295" s="20"/>
    </row>
    <row r="296">
      <c r="A296" s="20" t="s">
        <v>447</v>
      </c>
      <c r="B296" s="46" t="s">
        <v>299</v>
      </c>
      <c r="C296" s="47">
        <v>0</v>
      </c>
      <c r="D296" s="20"/>
      <c r="E296" s="20"/>
    </row>
    <row r="297">
      <c r="A297" s="20" t="s">
        <v>448</v>
      </c>
      <c r="B297" s="46" t="s">
        <v>299</v>
      </c>
      <c r="C297" s="47">
        <v>0</v>
      </c>
      <c r="D297" s="20"/>
      <c r="E297" s="20"/>
    </row>
    <row r="298">
      <c r="A298" s="20" t="s">
        <v>436</v>
      </c>
      <c r="B298" s="46" t="s">
        <v>299</v>
      </c>
      <c r="C298" s="47">
        <v>51319599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51319599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>
        <v>0</v>
      </c>
      <c r="D302" s="20"/>
      <c r="E302" s="20"/>
    </row>
    <row r="303">
      <c r="A303" s="20" t="s">
        <v>452</v>
      </c>
      <c r="B303" s="46" t="s">
        <v>299</v>
      </c>
      <c r="C303" s="47">
        <v>0</v>
      </c>
      <c r="D303" s="20"/>
      <c r="E303" s="20"/>
    </row>
    <row r="304">
      <c r="A304" s="20" t="s">
        <v>453</v>
      </c>
      <c r="B304" s="46" t="s">
        <v>299</v>
      </c>
      <c r="C304" s="47">
        <v>0</v>
      </c>
      <c r="D304" s="20"/>
      <c r="E304" s="20"/>
    </row>
    <row r="305">
      <c r="A305" s="20" t="s">
        <v>454</v>
      </c>
      <c r="B305" s="46" t="s">
        <v>299</v>
      </c>
      <c r="C305" s="47">
        <v>0</v>
      </c>
      <c r="D305" s="20"/>
      <c r="E305" s="20"/>
    </row>
    <row r="306">
      <c r="A306" s="20" t="s">
        <v>455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400934568.04999936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0</v>
      </c>
      <c r="D315" s="20"/>
      <c r="E315" s="20"/>
    </row>
    <row r="316">
      <c r="A316" s="20" t="s">
        <v>461</v>
      </c>
      <c r="B316" s="46" t="s">
        <v>299</v>
      </c>
      <c r="C316" s="47">
        <v>0</v>
      </c>
      <c r="D316" s="20"/>
      <c r="E316" s="20"/>
    </row>
    <row r="317">
      <c r="A317" s="20" t="s">
        <v>462</v>
      </c>
      <c r="B317" s="46" t="s">
        <v>299</v>
      </c>
      <c r="C317" s="47">
        <v>0</v>
      </c>
      <c r="D317" s="20"/>
      <c r="E317" s="20"/>
    </row>
    <row r="318">
      <c r="A318" s="20" t="s">
        <v>463</v>
      </c>
      <c r="B318" s="46" t="s">
        <v>299</v>
      </c>
      <c r="C318" s="47">
        <v>20328327.26</v>
      </c>
      <c r="D318" s="20"/>
      <c r="E318" s="20"/>
    </row>
    <row r="319">
      <c r="A319" s="20" t="s">
        <v>464</v>
      </c>
      <c r="B319" s="46" t="s">
        <v>299</v>
      </c>
      <c r="C319" s="47">
        <v>0</v>
      </c>
      <c r="D319" s="20"/>
      <c r="E319" s="20"/>
    </row>
    <row r="320">
      <c r="A320" s="20" t="s">
        <v>465</v>
      </c>
      <c r="B320" s="46" t="s">
        <v>299</v>
      </c>
      <c r="C320" s="47">
        <v>0</v>
      </c>
      <c r="D320" s="20"/>
      <c r="E320" s="20"/>
    </row>
    <row r="321">
      <c r="A321" s="20" t="s">
        <v>466</v>
      </c>
      <c r="B321" s="46" t="s">
        <v>299</v>
      </c>
      <c r="C321" s="47">
        <v>0</v>
      </c>
      <c r="D321" s="20"/>
      <c r="E321" s="20"/>
    </row>
    <row r="322">
      <c r="A322" s="20" t="s">
        <v>467</v>
      </c>
      <c r="B322" s="46" t="s">
        <v>299</v>
      </c>
      <c r="C322" s="47">
        <v>0</v>
      </c>
      <c r="D322" s="20"/>
      <c r="E322" s="20"/>
    </row>
    <row r="323">
      <c r="A323" s="20" t="s">
        <v>468</v>
      </c>
      <c r="B323" s="46" t="s">
        <v>299</v>
      </c>
      <c r="C323" s="47">
        <v>0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20328327.26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>
        <v>0</v>
      </c>
      <c r="D326" s="20"/>
      <c r="E326" s="20"/>
    </row>
    <row r="327">
      <c r="A327" s="20" t="s">
        <v>472</v>
      </c>
      <c r="B327" s="46" t="s">
        <v>299</v>
      </c>
      <c r="C327" s="47">
        <v>0</v>
      </c>
      <c r="D327" s="20"/>
      <c r="E327" s="20"/>
    </row>
    <row r="328">
      <c r="A328" s="20" t="s">
        <v>473</v>
      </c>
      <c r="B328" s="46" t="s">
        <v>299</v>
      </c>
      <c r="C328" s="47">
        <v>0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0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>
        <v>0</v>
      </c>
      <c r="D331" s="20"/>
      <c r="E331" s="20"/>
    </row>
    <row r="332">
      <c r="A332" s="20" t="s">
        <v>477</v>
      </c>
      <c r="B332" s="46" t="s">
        <v>299</v>
      </c>
      <c r="C332" s="47">
        <v>0</v>
      </c>
      <c r="D332" s="20"/>
      <c r="E332" s="20"/>
    </row>
    <row r="333">
      <c r="A333" s="20" t="s">
        <v>478</v>
      </c>
      <c r="B333" s="46" t="s">
        <v>299</v>
      </c>
      <c r="C333" s="47">
        <v>0</v>
      </c>
      <c r="D333" s="20"/>
      <c r="E333" s="20"/>
    </row>
    <row r="334">
      <c r="A334" s="26" t="s">
        <v>479</v>
      </c>
      <c r="B334" s="46" t="s">
        <v>299</v>
      </c>
      <c r="C334" s="47">
        <v>0</v>
      </c>
      <c r="D334" s="20"/>
      <c r="E334" s="20"/>
    </row>
    <row r="335">
      <c r="A335" s="20" t="s">
        <v>480</v>
      </c>
      <c r="B335" s="46" t="s">
        <v>299</v>
      </c>
      <c r="C335" s="47">
        <v>0</v>
      </c>
      <c r="D335" s="20"/>
      <c r="E335" s="20"/>
    </row>
    <row r="336">
      <c r="A336" s="26" t="s">
        <v>481</v>
      </c>
      <c r="B336" s="46" t="s">
        <v>299</v>
      </c>
      <c r="C336" s="47">
        <v>0</v>
      </c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>
        <v>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0</v>
      </c>
      <c r="E339" s="20"/>
    </row>
    <row r="340">
      <c r="A340" s="20" t="s">
        <v>484</v>
      </c>
      <c r="B340" s="20"/>
      <c r="C340" s="27"/>
      <c r="D340" s="32">
        <f>C323</f>
        <v>0</v>
      </c>
      <c r="E340" s="20"/>
    </row>
    <row r="341">
      <c r="A341" s="20" t="s">
        <v>485</v>
      </c>
      <c r="B341" s="20"/>
      <c r="C341" s="27"/>
      <c r="D341" s="32">
        <f>D339-D340</f>
        <v>0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380606240.78999937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>
        <v>0</v>
      </c>
      <c r="D345" s="20"/>
      <c r="E345" s="20"/>
    </row>
    <row r="346">
      <c r="A346" s="20" t="s">
        <v>488</v>
      </c>
      <c r="B346" s="46" t="s">
        <v>299</v>
      </c>
      <c r="C346" s="234">
        <v>0</v>
      </c>
      <c r="D346" s="20"/>
      <c r="E346" s="20"/>
    </row>
    <row r="347">
      <c r="A347" s="20" t="s">
        <v>489</v>
      </c>
      <c r="B347" s="46" t="s">
        <v>299</v>
      </c>
      <c r="C347" s="234">
        <v>0</v>
      </c>
      <c r="D347" s="20"/>
      <c r="E347" s="20"/>
    </row>
    <row r="348">
      <c r="A348" s="20" t="s">
        <v>490</v>
      </c>
      <c r="B348" s="46" t="s">
        <v>299</v>
      </c>
      <c r="C348" s="234">
        <v>0</v>
      </c>
      <c r="D348" s="20"/>
      <c r="E348" s="20"/>
    </row>
    <row r="349">
      <c r="A349" s="20" t="s">
        <v>491</v>
      </c>
      <c r="B349" s="46" t="s">
        <v>299</v>
      </c>
      <c r="C349" s="234">
        <v>0</v>
      </c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400934568.04999936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400934568.04999936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1305545948.2299998</v>
      </c>
      <c r="D358" s="20"/>
      <c r="E358" s="20"/>
    </row>
    <row r="359">
      <c r="A359" s="20" t="s">
        <v>497</v>
      </c>
      <c r="B359" s="46" t="s">
        <v>299</v>
      </c>
      <c r="C359" s="234">
        <v>1348631805.2300003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2654177753.46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24852658.81</v>
      </c>
      <c r="D362" s="20"/>
      <c r="E362" s="45"/>
    </row>
    <row r="363">
      <c r="A363" s="20" t="s">
        <v>500</v>
      </c>
      <c r="B363" s="46" t="s">
        <v>299</v>
      </c>
      <c r="C363" s="47">
        <v>1850800265.48</v>
      </c>
      <c r="D363" s="20"/>
      <c r="E363" s="20"/>
    </row>
    <row r="364">
      <c r="A364" s="20" t="s">
        <v>501</v>
      </c>
      <c r="B364" s="46" t="s">
        <v>299</v>
      </c>
      <c r="C364" s="47">
        <v>37294860.72</v>
      </c>
      <c r="D364" s="20"/>
      <c r="E364" s="20"/>
    </row>
    <row r="365">
      <c r="A365" s="20" t="s">
        <v>502</v>
      </c>
      <c r="B365" s="46" t="s">
        <v>299</v>
      </c>
      <c r="C365" s="47">
        <v>847278.78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1913795063.79</v>
      </c>
      <c r="E366" s="20"/>
    </row>
    <row r="367">
      <c r="A367" s="20" t="s">
        <v>503</v>
      </c>
      <c r="B367" s="20"/>
      <c r="C367" s="27"/>
      <c r="D367" s="32">
        <f>D360-D366</f>
        <v>740382689.67000008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12792602.839999998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12792602.839999998</v>
      </c>
      <c r="E381" s="32"/>
      <c r="F381" s="60"/>
    </row>
    <row r="382">
      <c r="A382" s="56" t="s">
        <v>518</v>
      </c>
      <c r="B382" s="46" t="s">
        <v>299</v>
      </c>
      <c r="C382" s="47">
        <v>0</v>
      </c>
      <c r="D382" s="32"/>
      <c r="E382" s="20"/>
    </row>
    <row r="383">
      <c r="A383" s="20" t="s">
        <v>519</v>
      </c>
      <c r="B383" s="20"/>
      <c r="C383" s="27"/>
      <c r="D383" s="32">
        <f>D381+C382</f>
        <v>12792602.839999998</v>
      </c>
      <c r="E383" s="20"/>
    </row>
    <row r="384">
      <c r="A384" s="20" t="s">
        <v>520</v>
      </c>
      <c r="B384" s="20"/>
      <c r="C384" s="27"/>
      <c r="D384" s="32">
        <f>D367+D383</f>
        <v>753175292.51000011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382590786.54999995</v>
      </c>
      <c r="D389" s="20"/>
      <c r="E389" s="20"/>
    </row>
    <row r="390">
      <c r="A390" s="20" t="s">
        <v>11</v>
      </c>
      <c r="B390" s="46" t="s">
        <v>299</v>
      </c>
      <c r="C390" s="47">
        <v>82317939.820000008</v>
      </c>
      <c r="D390" s="20"/>
      <c r="E390" s="20"/>
    </row>
    <row r="391">
      <c r="A391" s="20" t="s">
        <v>264</v>
      </c>
      <c r="B391" s="46" t="s">
        <v>299</v>
      </c>
      <c r="C391" s="47">
        <v>20192403.229999997</v>
      </c>
      <c r="D391" s="20"/>
      <c r="E391" s="20"/>
    </row>
    <row r="392">
      <c r="A392" s="20" t="s">
        <v>523</v>
      </c>
      <c r="B392" s="46" t="s">
        <v>299</v>
      </c>
      <c r="C392" s="47">
        <v>127389609.75</v>
      </c>
      <c r="D392" s="20"/>
      <c r="E392" s="20"/>
    </row>
    <row r="393">
      <c r="A393" s="20" t="s">
        <v>524</v>
      </c>
      <c r="B393" s="46" t="s">
        <v>299</v>
      </c>
      <c r="C393" s="47">
        <v>3817338.31</v>
      </c>
      <c r="D393" s="20"/>
      <c r="E393" s="20"/>
    </row>
    <row r="394">
      <c r="A394" s="20" t="s">
        <v>525</v>
      </c>
      <c r="B394" s="46" t="s">
        <v>299</v>
      </c>
      <c r="C394" s="47">
        <v>132591892.31999996</v>
      </c>
      <c r="D394" s="20"/>
      <c r="E394" s="20"/>
    </row>
    <row r="395">
      <c r="A395" s="20" t="s">
        <v>16</v>
      </c>
      <c r="B395" s="46" t="s">
        <v>299</v>
      </c>
      <c r="C395" s="47">
        <v>48990556.127587631</v>
      </c>
      <c r="D395" s="20"/>
      <c r="E395" s="20"/>
    </row>
    <row r="396">
      <c r="A396" s="20" t="s">
        <v>526</v>
      </c>
      <c r="B396" s="46" t="s">
        <v>299</v>
      </c>
      <c r="C396" s="47">
        <v>14731755.229999999</v>
      </c>
      <c r="D396" s="20"/>
      <c r="E396" s="20"/>
    </row>
    <row r="397">
      <c r="A397" s="20" t="s">
        <v>527</v>
      </c>
      <c r="B397" s="46" t="s">
        <v>299</v>
      </c>
      <c r="C397" s="47">
        <v>7788890.1</v>
      </c>
      <c r="D397" s="20"/>
      <c r="E397" s="20"/>
    </row>
    <row r="398">
      <c r="A398" s="20" t="s">
        <v>528</v>
      </c>
      <c r="B398" s="46" t="s">
        <v>299</v>
      </c>
      <c r="C398" s="47">
        <v>19582284.38</v>
      </c>
      <c r="D398" s="20"/>
      <c r="E398" s="20"/>
    </row>
    <row r="399">
      <c r="A399" s="20" t="s">
        <v>529</v>
      </c>
      <c r="B399" s="46" t="s">
        <v>299</v>
      </c>
      <c r="C399" s="47">
        <v>677623.03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2153017.59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2153017.59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842824096.4375875</v>
      </c>
      <c r="E416" s="32"/>
    </row>
    <row r="417">
      <c r="A417" s="32" t="s">
        <v>534</v>
      </c>
      <c r="B417" s="20"/>
      <c r="C417" s="27"/>
      <c r="D417" s="32">
        <f>D384-D416</f>
        <v>-89648803.92758739</v>
      </c>
      <c r="E417" s="32"/>
    </row>
    <row r="418">
      <c r="A418" s="32" t="s">
        <v>535</v>
      </c>
      <c r="B418" s="20"/>
      <c r="C418" s="236">
        <v>-236460.19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-236460.19</v>
      </c>
      <c r="E420" s="32"/>
    </row>
    <row r="421">
      <c r="A421" s="32" t="s">
        <v>538</v>
      </c>
      <c r="B421" s="20"/>
      <c r="C421" s="27"/>
      <c r="D421" s="32">
        <f>D417+D420</f>
        <v>-89885264.117587388</v>
      </c>
      <c r="E421" s="32"/>
      <c r="F421" s="63"/>
    </row>
    <row r="422">
      <c r="A422" s="32" t="s">
        <v>539</v>
      </c>
      <c r="B422" s="46" t="s">
        <v>299</v>
      </c>
      <c r="C422" s="47">
        <v>0</v>
      </c>
      <c r="D422" s="32"/>
      <c r="E422" s="20"/>
    </row>
    <row r="423">
      <c r="A423" s="20" t="s">
        <v>540</v>
      </c>
      <c r="B423" s="46" t="s">
        <v>299</v>
      </c>
      <c r="C423" s="47">
        <v>0</v>
      </c>
      <c r="D423" s="32"/>
      <c r="E423" s="20"/>
    </row>
    <row r="424">
      <c r="A424" s="20" t="s">
        <v>541</v>
      </c>
      <c r="B424" s="20"/>
      <c r="C424" s="27"/>
      <c r="D424" s="32">
        <f>D421+C422-C423</f>
        <v>-89885264.117587388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523716.64632352925</v>
      </c>
      <c r="E612" s="258">
        <f>SUM(C624:D647)+SUM(C668:D713)</f>
        <v>703724075.72306693</v>
      </c>
      <c r="F612" s="258">
        <f>CE64-(AX64+BD64+BE64+BG64+BJ64+BN64+BP64+BQ64+CB64+CC64+CD64)</f>
        <v>126739348.37</v>
      </c>
      <c r="G612" s="256">
        <f>CE91-(AX91+AY91+BD91+BE91+BG91+BJ91+BN91+BP91+BQ91+CB91+CC91+CD91)</f>
        <v>328157</v>
      </c>
      <c r="H612" s="261">
        <f>CE60-(AX60+AY60+AZ60+BD60+BE60+BG60+BJ60+BN60+BO60+BP60+BQ60+BR60+CB60+CC60+CD60)</f>
        <v>2893.6385700469796</v>
      </c>
      <c r="I612" s="256">
        <f>CE92-(AX92+AY92+AZ92+BD92+BE92+BF92+BG92+BJ92+BN92+BO92+BP92+BQ92+BR92+CB92+CC92+CD92)</f>
        <v>195696.54089357186</v>
      </c>
      <c r="J612" s="256">
        <f>CE93-(AX93+AY93+AZ93+BA93+BD93+BE93+BF93+BG93+BJ93+BN93+BO93+BP93+BQ93+BR93+CB93+CC93+CD93)</f>
        <v>2474810.9999999991</v>
      </c>
      <c r="K612" s="256">
        <f>CE89-(AW89+AX89+AY89+AZ89+BA89+BB89+BC89+BD89+BE89+BF89+BG89+BH89+BI89+BJ89+BK89+BL89+BM89+BN89+BO89+BP89+BQ89+BR89+BS89+BT89+BU89+BV89+BW89+BX89+CB89+CC89+CD89)</f>
        <v>2654177753.46</v>
      </c>
      <c r="L612" s="262">
        <f>CE94-(AW94+AX94+AY94+AZ94+BA94+BB94+BC94+BD94+BE94+BF94+BG94+BH94+BI94+BJ94+BK94+BL94+BM94+BN94+BO94+BP94+BQ94+BR94+BS94+BT94+BU94+BV94+BW94+BX94+BY94+BZ94+CA94+CB94+CC94+CD94)</f>
        <v>937.81491430491053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29786659.779999997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28025652.029999997</v>
      </c>
      <c r="D615" s="256">
        <f>SUM(C614:C615)</f>
        <v>57812311.809999995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706600.09999999986</v>
      </c>
      <c r="D618" s="256">
        <f>(D615/D612)*BG90</f>
        <v>307967.44620466389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98025869.889999986</v>
      </c>
      <c r="D619" s="256">
        <f>(D615/D612)*BN90</f>
        <v>1132228.6802280224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26115323.65</v>
      </c>
      <c r="D620" s="256">
        <f>(D615/D612)*CC90</f>
        <v>26485.520500344108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-7058.36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126307416.92693302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145755</v>
      </c>
      <c r="D624" s="256">
        <f>(D615/D612)*BD90</f>
        <v>850719.15739068436</v>
      </c>
      <c r="E624" s="258">
        <f>(E623/E612)*SUM(C624:D624)</f>
        <v>178851.45783187519</v>
      </c>
      <c r="F624" s="258">
        <f>SUM(C624:E624)</f>
        <v>1175325.6152225595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7778803.28</v>
      </c>
      <c r="D625" s="256">
        <f>(D615/D612)*AY90</f>
        <v>2176155.36587998</v>
      </c>
      <c r="E625" s="258">
        <f>(E623/E612)*SUM(C625:D625)</f>
        <v>1786758.6964160535</v>
      </c>
      <c r="F625" s="258">
        <f>(F624/F612)*AY64</f>
        <v>1998.8720100754047</v>
      </c>
      <c r="G625" s="256">
        <f>SUM(C625:F625)</f>
        <v>11743716.214306109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54412</v>
      </c>
      <c r="D626" s="256">
        <f>(D615/D612)*BR90</f>
        <v>317583.39123356808</v>
      </c>
      <c r="E626" s="258">
        <f>(E623/E612)*SUM(C626:D626)</f>
        <v>66767.329122793759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734206.96</v>
      </c>
      <c r="D627" s="256">
        <f>(D615/D612)*BO90</f>
        <v>0</v>
      </c>
      <c r="E627" s="258">
        <f>(E623/E612)*SUM(C627:D627)</f>
        <v>131778.61580491086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1304748.2961612728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11533402.6</v>
      </c>
      <c r="D629" s="256">
        <f>(D615/D612)*BF90</f>
        <v>2387887.1937084715</v>
      </c>
      <c r="E629" s="258">
        <f>(E623/E612)*SUM(C629:D629)</f>
        <v>2498652.8311226242</v>
      </c>
      <c r="F629" s="258">
        <f>(F624/F612)*BF64</f>
        <v>7194.95429090762</v>
      </c>
      <c r="G629" s="256">
        <f>(G625/G612)*BF91</f>
        <v>0</v>
      </c>
      <c r="H629" s="258">
        <f>(H628/H612)*BF60</f>
        <v>42423.087037205711</v>
      </c>
      <c r="I629" s="256">
        <f>SUM(C629:H629)</f>
        <v>16469560.666159209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0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11177222.489999998</v>
      </c>
      <c r="D632" s="256">
        <f>(D615/D612)*BB90</f>
        <v>0</v>
      </c>
      <c r="E632" s="258">
        <f>(E623/E612)*SUM(C632:D632)</f>
        <v>2006135.8561293383</v>
      </c>
      <c r="F632" s="258">
        <f>(F624/F612)*BB64</f>
        <v>344.95270102351668</v>
      </c>
      <c r="G632" s="256">
        <f>(G625/G612)*BB91</f>
        <v>0</v>
      </c>
      <c r="H632" s="258">
        <f>(H628/H612)*BB60</f>
        <v>28881.748172991698</v>
      </c>
      <c r="I632" s="256">
        <f>(I629/I612)*BB92</f>
        <v>0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57525</v>
      </c>
      <c r="D636" s="256">
        <f>(D615/D612)*BH90</f>
        <v>335753.34361283132</v>
      </c>
      <c r="E636" s="258">
        <f>(E623/E612)*SUM(C636:D636)</f>
        <v>70587.284745090146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109254.12281586294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88974</v>
      </c>
      <c r="D637" s="256">
        <f>(D615/D612)*BL90</f>
        <v>519310.70640025765</v>
      </c>
      <c r="E637" s="258">
        <f>(E623/E612)*SUM(C637:D637)</f>
        <v>109177.54937207699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168983.68035932796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334124.58999999997</v>
      </c>
      <c r="D639" s="256">
        <f>(D615/D612)*BS90</f>
        <v>186461.68506627454</v>
      </c>
      <c r="E639" s="258">
        <f>(E623/E612)*SUM(C639:D639)</f>
        <v>93437.058585318009</v>
      </c>
      <c r="F639" s="258">
        <f>(F624/F612)*BS64</f>
        <v>94.609283491972263</v>
      </c>
      <c r="G639" s="256">
        <f>(G625/G612)*BS91</f>
        <v>0</v>
      </c>
      <c r="H639" s="258">
        <f>(H628/H612)*BS60</f>
        <v>2036.4939448046944</v>
      </c>
      <c r="I639" s="256">
        <f>(I629/I612)*BS92</f>
        <v>60674.623881556421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1184936.9799999998</v>
      </c>
      <c r="D640" s="256">
        <f>(D615/D612)*BT90</f>
        <v>152139.68267404765</v>
      </c>
      <c r="E640" s="258">
        <f>(E623/E612)*SUM(C640:D640)</f>
        <v>239984.25707137902</v>
      </c>
      <c r="F640" s="258">
        <f>(F624/F612)*BT64</f>
        <v>18.587841425682928</v>
      </c>
      <c r="G640" s="256">
        <f>(G625/G612)*BT91</f>
        <v>0</v>
      </c>
      <c r="H640" s="258">
        <f>(H628/H612)*BT60</f>
        <v>4250.4416655571977</v>
      </c>
      <c r="I640" s="256">
        <f>(I629/I612)*BT92</f>
        <v>49506.245856494243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31444</v>
      </c>
      <c r="D641" s="256">
        <f>(D615/D612)*BU90</f>
        <v>183529.76565440797</v>
      </c>
      <c r="E641" s="258">
        <f>(E623/E612)*SUM(C641:D641)</f>
        <v>38584.41395367209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59720.577437629836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323661.24</v>
      </c>
      <c r="D642" s="256">
        <f>(D615/D612)*BV90</f>
        <v>862456.77000603708</v>
      </c>
      <c r="E642" s="258">
        <f>(E623/E612)*SUM(C642:D642)</f>
        <v>212889.55029774027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280643.39392631152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1356604.5</v>
      </c>
      <c r="D643" s="256">
        <f>(D615/D612)*BW90</f>
        <v>188933.28429939546</v>
      </c>
      <c r="E643" s="258">
        <f>(E623/E612)*SUM(C643:D643)</f>
        <v>277399.75372769992</v>
      </c>
      <c r="F643" s="258">
        <f>(F624/F612)*BW64</f>
        <v>2709.9557312614652</v>
      </c>
      <c r="G643" s="256">
        <f>(G625/G612)*BW91</f>
        <v>0</v>
      </c>
      <c r="H643" s="258">
        <f>(H628/H612)*BW60</f>
        <v>3081.8421841800614</v>
      </c>
      <c r="I643" s="256">
        <f>(I629/I612)*BW92</f>
        <v>61478.882160152658</v>
      </c>
      <c r="J643" s="256">
        <f>(J630/J612)*BW93</f>
        <v>0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6297339.84</v>
      </c>
      <c r="D644" s="256">
        <f>(D615/D612)*BX90</f>
        <v>126468.82954040443</v>
      </c>
      <c r="E644" s="258">
        <f>(E623/E612)*SUM(C644:D644)</f>
        <v>1152972.7458149137</v>
      </c>
      <c r="F644" s="258">
        <f>(F624/F612)*BX64</f>
        <v>24924.115507596165</v>
      </c>
      <c r="G644" s="256">
        <f>(G625/G612)*BX91</f>
        <v>0</v>
      </c>
      <c r="H644" s="258">
        <f>(H628/H612)*BX60</f>
        <v>8154.3420800708473</v>
      </c>
      <c r="I644" s="256">
        <f>(I629/I612)*BX92</f>
        <v>41152.951408635607</v>
      </c>
      <c r="J644" s="256">
        <f>(J630/J612)*BX93</f>
        <v>0</v>
      </c>
      <c r="K644" s="258">
        <f>SUM(C631:J644)</f>
        <v>28513966.743909255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5820006.35</v>
      </c>
      <c r="D645" s="256">
        <f>(D615/D612)*BY90</f>
        <v>492167.27024875674</v>
      </c>
      <c r="E645" s="258">
        <f>(E623/E612)*SUM(C645:D645)</f>
        <v>1132936.0081204544</v>
      </c>
      <c r="F645" s="258">
        <f>(F624/F612)*BY64</f>
        <v>350.46954498309481</v>
      </c>
      <c r="G645" s="256">
        <f>(G625/G612)*BY91</f>
        <v>0</v>
      </c>
      <c r="H645" s="258">
        <f>(H628/H612)*BY60</f>
        <v>12443.838085022449</v>
      </c>
      <c r="I645" s="256">
        <f>(I629/I612)*BY92</f>
        <v>160151.20746410557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6125606.58</v>
      </c>
      <c r="D646" s="256">
        <f>(D615/D612)*BZ90</f>
        <v>0</v>
      </c>
      <c r="E646" s="258">
        <f>(E623/E612)*SUM(C646:D646)</f>
        <v>1099450.1551413431</v>
      </c>
      <c r="F646" s="258">
        <f>(F624/F612)*BZ64</f>
        <v>75.334085410912067</v>
      </c>
      <c r="G646" s="256">
        <f>(G625/G612)*BZ91</f>
        <v>0</v>
      </c>
      <c r="H646" s="258">
        <f>(H628/H612)*BZ60</f>
        <v>14711.239115539089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184957</v>
      </c>
      <c r="D647" s="256">
        <f>(D615/D612)*CA90</f>
        <v>1079531.4027868758</v>
      </c>
      <c r="E647" s="258">
        <f>(E623/E612)*SUM(C647:D647)</f>
        <v>226955.80469656279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351279.46960868553</v>
      </c>
      <c r="J647" s="256">
        <f>(J630/J612)*CA93</f>
        <v>0</v>
      </c>
      <c r="K647" s="258">
        <v>0</v>
      </c>
      <c r="L647" s="258">
        <f>SUM(C645:K647)</f>
        <v>16700622.12889774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235882029.5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45898810.22</v>
      </c>
      <c r="D668" s="256">
        <f>(D615/D612)*C90</f>
        <v>4752866.5592410946</v>
      </c>
      <c r="E668" s="258">
        <f>(E623/E612)*SUM(C668:D668)</f>
        <v>9091180.3044827264</v>
      </c>
      <c r="F668" s="258">
        <f>(F624/F612)*C64</f>
        <v>30587.642787013705</v>
      </c>
      <c r="G668" s="256">
        <f>(G625/G612)*C91</f>
        <v>0</v>
      </c>
      <c r="H668" s="258">
        <f>(H628/H612)*C60</f>
        <v>89171.630930506421</v>
      </c>
      <c r="I668" s="256">
        <f>(I629/I612)*C92</f>
        <v>1546582.5632685965</v>
      </c>
      <c r="J668" s="256">
        <f>(J630/J612)*C93</f>
        <v>0</v>
      </c>
      <c r="K668" s="256">
        <f>(K644/K612)*C89</f>
        <v>1514396.9654808189</v>
      </c>
      <c r="L668" s="256">
        <f>(L647/L612)*C94</f>
        <v>2622601.4222672321</v>
      </c>
      <c r="M668" s="231">
        <f ref="M668:M713" t="shared" si="18">ROUND(SUM(D668:L668),0)</f>
        <v>19647387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9725079.1699999981</v>
      </c>
      <c r="D669" s="256">
        <f>(D615/D612)*D90</f>
        <v>0</v>
      </c>
      <c r="E669" s="258">
        <f>(E623/E612)*SUM(C669:D669)</f>
        <v>1745498.9416278091</v>
      </c>
      <c r="F669" s="258">
        <f>(F624/F612)*D64</f>
        <v>2848.2306167647153</v>
      </c>
      <c r="G669" s="256">
        <f>(G625/G612)*D91</f>
        <v>0</v>
      </c>
      <c r="H669" s="258">
        <f>(H628/H612)*D60</f>
        <v>21367.084549581457</v>
      </c>
      <c r="I669" s="256">
        <f>(I629/I612)*D92</f>
        <v>0</v>
      </c>
      <c r="J669" s="256">
        <f>(J630/J612)*D93</f>
        <v>0</v>
      </c>
      <c r="K669" s="256">
        <f>(K644/K612)*D89</f>
        <v>435278.23082120373</v>
      </c>
      <c r="L669" s="256">
        <f>(L647/L612)*D94</f>
        <v>461357.91058069316</v>
      </c>
      <c r="M669" s="231">
        <f t="shared" si="18"/>
        <v>2666350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79399968.84</v>
      </c>
      <c r="D670" s="256">
        <f>(D615/D612)*E90</f>
        <v>14844075.484551383</v>
      </c>
      <c r="E670" s="258">
        <f>(E623/E612)*SUM(C670:D670)</f>
        <v>16915325.494797878</v>
      </c>
      <c r="F670" s="258">
        <f>(F624/F612)*E64</f>
        <v>34308.149215824371</v>
      </c>
      <c r="G670" s="256">
        <f>(G625/G612)*E91</f>
        <v>8109021.4270366011</v>
      </c>
      <c r="H670" s="258">
        <f>(H628/H612)*E60</f>
        <v>225133.2788933524</v>
      </c>
      <c r="I670" s="256">
        <f>(I629/I612)*E92</f>
        <v>4830261.490849792</v>
      </c>
      <c r="J670" s="256">
        <f>(J630/J612)*E93</f>
        <v>0</v>
      </c>
      <c r="K670" s="256">
        <f>(K644/K612)*E89</f>
        <v>2887663.1265197303</v>
      </c>
      <c r="L670" s="256">
        <f>(L647/L612)*E94</f>
        <v>5460452.844932734</v>
      </c>
      <c r="M670" s="231">
        <f t="shared" si="18"/>
        <v>53306241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21635286.459448002</v>
      </c>
      <c r="D671" s="256">
        <f>(D615/D612)*F90</f>
        <v>4284983.2537255716</v>
      </c>
      <c r="E671" s="258">
        <f>(E623/E612)*SUM(C671:D671)</f>
        <v>4652281.2370124739</v>
      </c>
      <c r="F671" s="258">
        <f>(F624/F612)*F64</f>
        <v>13352.892439879119</v>
      </c>
      <c r="G671" s="256">
        <f>(G625/G612)*F91</f>
        <v>0</v>
      </c>
      <c r="H671" s="258">
        <f>(H628/H612)*F60</f>
        <v>43570.79400653988</v>
      </c>
      <c r="I671" s="256">
        <f>(I629/I612)*F92</f>
        <v>1394333.3568296251</v>
      </c>
      <c r="J671" s="256">
        <f>(J630/J612)*F93</f>
        <v>0</v>
      </c>
      <c r="K671" s="256">
        <f>(K644/K612)*F89</f>
        <v>539594.48120160075</v>
      </c>
      <c r="L671" s="256">
        <f>(L647/L612)*F94</f>
        <v>970417.090219239</v>
      </c>
      <c r="M671" s="231">
        <f t="shared" si="18"/>
        <v>11898533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3261747.6799999997</v>
      </c>
      <c r="D672" s="256">
        <f>(D615/D612)*G90</f>
        <v>1670509.6558650746</v>
      </c>
      <c r="E672" s="258">
        <f>(E623/E612)*SUM(C672:D672)</f>
        <v>885262.71191152546</v>
      </c>
      <c r="F672" s="258">
        <f>(F624/F612)*G64</f>
        <v>838.11144129839522</v>
      </c>
      <c r="G672" s="256">
        <f>(G625/G612)*G91</f>
        <v>277419.91818946711</v>
      </c>
      <c r="H672" s="258">
        <f>(H628/H612)*G60</f>
        <v>8644.1256821748375</v>
      </c>
      <c r="I672" s="256">
        <f>(I629/I612)*G92</f>
        <v>543583.76641343709</v>
      </c>
      <c r="J672" s="256">
        <f>(J630/J612)*G93</f>
        <v>0</v>
      </c>
      <c r="K672" s="256">
        <f>(K644/K612)*G89</f>
        <v>93555.020938679532</v>
      </c>
      <c r="L672" s="256">
        <f>(L647/L612)*G94</f>
        <v>186837.64526661049</v>
      </c>
      <c r="M672" s="231">
        <f t="shared" si="18"/>
        <v>3666651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3195755.5005520009</v>
      </c>
      <c r="D675" s="256">
        <f>(D615/D612)*J90</f>
        <v>632936.23867150384</v>
      </c>
      <c r="E675" s="258">
        <f>(E623/E612)*SUM(C675:D675)</f>
        <v>687190.02301281667</v>
      </c>
      <c r="F675" s="258">
        <f>(F624/F612)*J64</f>
        <v>1972.3599873894677</v>
      </c>
      <c r="G675" s="256">
        <f>(G625/G612)*J91</f>
        <v>0</v>
      </c>
      <c r="H675" s="258">
        <f>(H628/H612)*J60</f>
        <v>6435.8558345480133</v>
      </c>
      <c r="I675" s="256">
        <f>(I629/I612)*J92</f>
        <v>205957.42341785011</v>
      </c>
      <c r="J675" s="256">
        <f>(J630/J612)*J93</f>
        <v>0</v>
      </c>
      <c r="K675" s="256">
        <f>(K644/K612)*J89</f>
        <v>79703.672363877</v>
      </c>
      <c r="L675" s="256">
        <f>(L647/L612)*J94</f>
        <v>143340.6169071687</v>
      </c>
      <c r="M675" s="231">
        <f t="shared" si="18"/>
        <v>1757536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6414132.01</v>
      </c>
      <c r="D678" s="256">
        <f>(D615/D612)*M90</f>
        <v>0</v>
      </c>
      <c r="E678" s="258">
        <f>(E623/E612)*SUM(C678:D678)</f>
        <v>1151235.9374361837</v>
      </c>
      <c r="F678" s="258">
        <f>(F624/F612)*M64</f>
        <v>2035.4904443916705</v>
      </c>
      <c r="G678" s="256">
        <f>(G625/G612)*M91</f>
        <v>0</v>
      </c>
      <c r="H678" s="258">
        <f>(H628/H612)*M60</f>
        <v>22049.23910468764</v>
      </c>
      <c r="I678" s="256">
        <f>(I629/I612)*M92</f>
        <v>0</v>
      </c>
      <c r="J678" s="256">
        <f>(J630/J612)*M93</f>
        <v>0</v>
      </c>
      <c r="K678" s="256">
        <f>(K644/K612)*M89</f>
        <v>59775.735864763177</v>
      </c>
      <c r="L678" s="256">
        <f>(L647/L612)*M94</f>
        <v>326009.15386079281</v>
      </c>
      <c r="M678" s="231">
        <f t="shared" si="18"/>
        <v>1561106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12545595.5</v>
      </c>
      <c r="D679" s="256">
        <f>(D615/D612)*N90</f>
        <v>0</v>
      </c>
      <c r="E679" s="258">
        <f>(E623/E612)*SUM(C679:D679)</f>
        <v>2251737.3159174607</v>
      </c>
      <c r="F679" s="258">
        <f>(F624/F612)*N64</f>
        <v>0</v>
      </c>
      <c r="G679" s="256">
        <f>(G625/G612)*N91</f>
        <v>0</v>
      </c>
      <c r="H679" s="258">
        <f>(H628/H612)*N60</f>
        <v>5636.40277548803</v>
      </c>
      <c r="I679" s="256">
        <f>(I629/I612)*N92</f>
        <v>0</v>
      </c>
      <c r="J679" s="256">
        <f>(J630/J612)*N93</f>
        <v>0</v>
      </c>
      <c r="K679" s="256">
        <f>(K644/K612)*N89</f>
        <v>76724.174206221942</v>
      </c>
      <c r="L679" s="256">
        <f>(L647/L612)*N94</f>
        <v>0</v>
      </c>
      <c r="M679" s="231">
        <f t="shared" si="18"/>
        <v>2334098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52366121.74</v>
      </c>
      <c r="D681" s="256">
        <f>(D615/D612)*P90</f>
        <v>4633318.2627476938</v>
      </c>
      <c r="E681" s="258">
        <f>(E623/E612)*SUM(C681:D681)</f>
        <v>10230504.087317772</v>
      </c>
      <c r="F681" s="258">
        <f>(F624/F612)*P64</f>
        <v>271848.392720118</v>
      </c>
      <c r="G681" s="256">
        <f>(G625/G612)*P91</f>
        <v>0</v>
      </c>
      <c r="H681" s="258">
        <f>(H628/H612)*P60</f>
        <v>51352.505233473305</v>
      </c>
      <c r="I681" s="256">
        <f>(I629/I612)*P92</f>
        <v>1507681.5530002418</v>
      </c>
      <c r="J681" s="256">
        <f>(J630/J612)*P93</f>
        <v>0</v>
      </c>
      <c r="K681" s="256">
        <f>(K644/K612)*P89</f>
        <v>3156473.2364107068</v>
      </c>
      <c r="L681" s="256">
        <f>(L647/L612)*P94</f>
        <v>956041.04545198</v>
      </c>
      <c r="M681" s="231">
        <f t="shared" si="18"/>
        <v>20807219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4618360.08</v>
      </c>
      <c r="D682" s="256">
        <f>(D615/D612)*Q90</f>
        <v>938030.966834052</v>
      </c>
      <c r="E682" s="258">
        <f>(E623/E612)*SUM(C682:D682)</f>
        <v>997284.908634741</v>
      </c>
      <c r="F682" s="258">
        <f>(F624/F612)*Q64</f>
        <v>627.16982595339368</v>
      </c>
      <c r="G682" s="256">
        <f>(G625/G612)*Q91</f>
        <v>0</v>
      </c>
      <c r="H682" s="258">
        <f>(H628/H612)*Q60</f>
        <v>12310.0723235708</v>
      </c>
      <c r="I682" s="256">
        <f>(I629/I612)*Q92</f>
        <v>305235.23415375932</v>
      </c>
      <c r="J682" s="256">
        <f>(J630/J612)*Q93</f>
        <v>0</v>
      </c>
      <c r="K682" s="256">
        <f>(K644/K612)*Q89</f>
        <v>169644.05415742777</v>
      </c>
      <c r="L682" s="256">
        <f>(L647/L612)*Q94</f>
        <v>344990.12174415629</v>
      </c>
      <c r="M682" s="231">
        <f t="shared" si="18"/>
        <v>2768123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3604272.24</v>
      </c>
      <c r="D683" s="256">
        <f>(D615/D612)*R90</f>
        <v>111321.31516930778</v>
      </c>
      <c r="E683" s="258">
        <f>(E623/E612)*SUM(C683:D683)</f>
        <v>666890.67561258085</v>
      </c>
      <c r="F683" s="258">
        <f>(F624/F612)*R64</f>
        <v>7744.2383172394484</v>
      </c>
      <c r="G683" s="256">
        <f>(G625/G612)*R91</f>
        <v>0</v>
      </c>
      <c r="H683" s="258">
        <f>(H628/H612)*R60</f>
        <v>3091.3046714229063</v>
      </c>
      <c r="I683" s="256">
        <f>(I629/I612)*R92</f>
        <v>36223.950917837225</v>
      </c>
      <c r="J683" s="256">
        <f>(J630/J612)*R93</f>
        <v>0</v>
      </c>
      <c r="K683" s="256">
        <f>(K644/K612)*R89</f>
        <v>805650.1102286739</v>
      </c>
      <c r="L683" s="256">
        <f>(L647/L612)*R94</f>
        <v>0</v>
      </c>
      <c r="M683" s="231">
        <f t="shared" si="18"/>
        <v>1630922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4852927.459999999</v>
      </c>
      <c r="D684" s="256">
        <f>(D615/D612)*S90</f>
        <v>2191319.4385308875</v>
      </c>
      <c r="E684" s="258">
        <f>(E623/E612)*SUM(C684:D684)</f>
        <v>1264331.661574601</v>
      </c>
      <c r="F684" s="258">
        <f>(F624/F612)*S64</f>
        <v>6567.0193958221616</v>
      </c>
      <c r="G684" s="256">
        <f>(G625/G612)*S91</f>
        <v>0</v>
      </c>
      <c r="H684" s="258">
        <f>(H628/H612)*S60</f>
        <v>15890.974822948683</v>
      </c>
      <c r="I684" s="256">
        <f>(I629/I612)*S92</f>
        <v>713055.24612173066</v>
      </c>
      <c r="J684" s="256">
        <f>(J630/J612)*S93</f>
        <v>0</v>
      </c>
      <c r="K684" s="256">
        <f>(K644/K612)*S89</f>
        <v>0</v>
      </c>
      <c r="L684" s="256">
        <f>(L647/L612)*S94</f>
        <v>29.965409977298986</v>
      </c>
      <c r="M684" s="231">
        <f t="shared" si="18"/>
        <v>4191194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6057340.91</v>
      </c>
      <c r="D685" s="256">
        <f>(D615/D612)*T90</f>
        <v>12022.415028101848</v>
      </c>
      <c r="E685" s="258">
        <f>(E623/E612)*SUM(C685:D685)</f>
        <v>1089355.3743882985</v>
      </c>
      <c r="F685" s="258">
        <f>(F624/F612)*T64</f>
        <v>7667.72806554951</v>
      </c>
      <c r="G685" s="256">
        <f>(G625/G612)*T91</f>
        <v>0</v>
      </c>
      <c r="H685" s="258">
        <f>(H628/H612)*T60</f>
        <v>14289.027282294228</v>
      </c>
      <c r="I685" s="256">
        <f>(I629/I612)*T92</f>
        <v>3912.0933060257348</v>
      </c>
      <c r="J685" s="256">
        <f>(J630/J612)*T93</f>
        <v>0</v>
      </c>
      <c r="K685" s="256">
        <f>(K644/K612)*T89</f>
        <v>225303.65054733693</v>
      </c>
      <c r="L685" s="256">
        <f>(L647/L612)*T94</f>
        <v>473857.34434314608</v>
      </c>
      <c r="M685" s="231">
        <f t="shared" si="18"/>
        <v>1826408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22090281.640000004</v>
      </c>
      <c r="D686" s="256">
        <f>(D615/D612)*U90</f>
        <v>1784294.8430702584</v>
      </c>
      <c r="E686" s="258">
        <f>(E623/E612)*SUM(C686:D686)</f>
        <v>4285111.4376081042</v>
      </c>
      <c r="F686" s="258">
        <f>(F624/F612)*U64</f>
        <v>17707.38586541955</v>
      </c>
      <c r="G686" s="256">
        <f>(G625/G612)*U91</f>
        <v>0</v>
      </c>
      <c r="H686" s="258">
        <f>(H628/H612)*U60</f>
        <v>41945.970531157291</v>
      </c>
      <c r="I686" s="256">
        <f>(I629/I612)*U92</f>
        <v>580609.46118023677</v>
      </c>
      <c r="J686" s="256">
        <f>(J630/J612)*U93</f>
        <v>0</v>
      </c>
      <c r="K686" s="256">
        <f>(K644/K612)*U89</f>
        <v>2084543.6881470988</v>
      </c>
      <c r="L686" s="256">
        <f>(L647/L612)*U94</f>
        <v>0</v>
      </c>
      <c r="M686" s="231">
        <f t="shared" si="18"/>
        <v>8794213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1437098.23</v>
      </c>
      <c r="D687" s="256">
        <f>(D615/D612)*V90</f>
        <v>67116.2275005594</v>
      </c>
      <c r="E687" s="258">
        <f>(E623/E612)*SUM(C687:D687)</f>
        <v>269982.86570745474</v>
      </c>
      <c r="F687" s="258">
        <f>(F624/F612)*V64</f>
        <v>325.03846156196482</v>
      </c>
      <c r="G687" s="256">
        <f>(G625/G612)*V91</f>
        <v>0</v>
      </c>
      <c r="H687" s="258">
        <f>(H628/H612)*V60</f>
        <v>7880.3505574102946</v>
      </c>
      <c r="I687" s="256">
        <f>(I629/I612)*V92</f>
        <v>21839.61739109032</v>
      </c>
      <c r="J687" s="256">
        <f>(J630/J612)*V93</f>
        <v>0</v>
      </c>
      <c r="K687" s="256">
        <f>(K644/K612)*V89</f>
        <v>217548.86518847189</v>
      </c>
      <c r="L687" s="256">
        <f>(L647/L612)*V94</f>
        <v>126.28279919004571</v>
      </c>
      <c r="M687" s="231">
        <f t="shared" si="18"/>
        <v>584819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1700280.25</v>
      </c>
      <c r="D688" s="256">
        <f>(D615/D612)*W90</f>
        <v>220747.25924291718</v>
      </c>
      <c r="E688" s="258">
        <f>(E623/E612)*SUM(C688:D688)</f>
        <v>344794.26085961814</v>
      </c>
      <c r="F688" s="258">
        <f>(F624/F612)*W64</f>
        <v>1065.8017646112492</v>
      </c>
      <c r="G688" s="256">
        <f>(G625/G612)*W91</f>
        <v>0</v>
      </c>
      <c r="H688" s="258">
        <f>(H628/H612)*W60</f>
        <v>3084.0759151702318</v>
      </c>
      <c r="I688" s="256">
        <f>(I629/I612)*W92</f>
        <v>71831.148166916188</v>
      </c>
      <c r="J688" s="256">
        <f>(J630/J612)*W93</f>
        <v>0</v>
      </c>
      <c r="K688" s="256">
        <f>(K644/K612)*W89</f>
        <v>347266.49147818529</v>
      </c>
      <c r="L688" s="256">
        <f>(L647/L612)*W94</f>
        <v>23.544217061805337</v>
      </c>
      <c r="M688" s="231">
        <f t="shared" si="18"/>
        <v>988813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3375397.98</v>
      </c>
      <c r="D689" s="256">
        <f>(D615/D612)*X90</f>
        <v>285183.25318473711</v>
      </c>
      <c r="E689" s="258">
        <f>(E623/E612)*SUM(C689:D689)</f>
        <v>657016.82799427328</v>
      </c>
      <c r="F689" s="258">
        <f>(F624/F612)*X64</f>
        <v>6012.8228837772594</v>
      </c>
      <c r="G689" s="256">
        <f>(G625/G612)*X91</f>
        <v>0</v>
      </c>
      <c r="H689" s="258">
        <f>(H628/H612)*X60</f>
        <v>7349.8587284276</v>
      </c>
      <c r="I689" s="256">
        <f>(I629/I612)*X92</f>
        <v>92798.617679296513</v>
      </c>
      <c r="J689" s="256">
        <f>(J630/J612)*X93</f>
        <v>0</v>
      </c>
      <c r="K689" s="256">
        <f>(K644/K612)*X89</f>
        <v>1694905.0244152804</v>
      </c>
      <c r="L689" s="256">
        <f>(L647/L612)*X94</f>
        <v>55048.166456321036</v>
      </c>
      <c r="M689" s="231">
        <f t="shared" si="18"/>
        <v>2798315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50106826.520000011</v>
      </c>
      <c r="D690" s="256">
        <f>(D615/D612)*Y90</f>
        <v>1330292.2000151996</v>
      </c>
      <c r="E690" s="258">
        <f>(E623/E612)*SUM(C690:D690)</f>
        <v>9232154.79449619</v>
      </c>
      <c r="F690" s="258">
        <f>(F624/F612)*Y64</f>
        <v>273760.66613782459</v>
      </c>
      <c r="G690" s="256">
        <f>(G625/G612)*Y91</f>
        <v>0</v>
      </c>
      <c r="H690" s="258">
        <f>(H628/H612)*Y60</f>
        <v>57620.5157620589</v>
      </c>
      <c r="I690" s="256">
        <f>(I629/I612)*Y92</f>
        <v>432877.02167767996</v>
      </c>
      <c r="J690" s="256">
        <f>(J630/J612)*Y93</f>
        <v>0</v>
      </c>
      <c r="K690" s="256">
        <f>(K644/K612)*Y89</f>
        <v>4358137.9470608989</v>
      </c>
      <c r="L690" s="256">
        <f>(L647/L612)*Y94</f>
        <v>259468.7918285178</v>
      </c>
      <c r="M690" s="231">
        <f t="shared" si="18"/>
        <v>15944312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1422731.59</v>
      </c>
      <c r="D691" s="256">
        <f>(D615/D612)*Z90</f>
        <v>963691.88499980851</v>
      </c>
      <c r="E691" s="258">
        <f>(E623/E612)*SUM(C691:D691)</f>
        <v>428325.5258977933</v>
      </c>
      <c r="F691" s="258">
        <f>(F624/F612)*Z64</f>
        <v>282.636568285553</v>
      </c>
      <c r="G691" s="256">
        <f>(G625/G612)*Z91</f>
        <v>0</v>
      </c>
      <c r="H691" s="258">
        <f>(H628/H612)*Z60</f>
        <v>3712.4865033534816</v>
      </c>
      <c r="I691" s="256">
        <f>(I629/I612)*Z92</f>
        <v>313585.29576351721</v>
      </c>
      <c r="J691" s="256">
        <f>(J630/J612)*Z93</f>
        <v>0</v>
      </c>
      <c r="K691" s="256">
        <f>(K644/K612)*Z89</f>
        <v>166497.71534973645</v>
      </c>
      <c r="L691" s="256">
        <f>(L647/L612)*Z94</f>
        <v>4305.2336302951</v>
      </c>
      <c r="M691" s="231">
        <f t="shared" si="18"/>
        <v>1880401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1637505.8399999999</v>
      </c>
      <c r="D692" s="256">
        <f>(D615/D612)*AA90</f>
        <v>310516.31741023611</v>
      </c>
      <c r="E692" s="258">
        <f>(E623/E612)*SUM(C692:D692)</f>
        <v>349639.37615194643</v>
      </c>
      <c r="F692" s="258">
        <f>(F624/F612)*AA64</f>
        <v>4822.2398274967227</v>
      </c>
      <c r="G692" s="256">
        <f>(G625/G612)*AA91</f>
        <v>0</v>
      </c>
      <c r="H692" s="258">
        <f>(H628/H612)*AA60</f>
        <v>1759.4141060988052</v>
      </c>
      <c r="I692" s="256">
        <f>(I629/I612)*AA92</f>
        <v>101041.99563173291</v>
      </c>
      <c r="J692" s="256">
        <f>(J630/J612)*AA93</f>
        <v>0</v>
      </c>
      <c r="K692" s="256">
        <f>(K644/K612)*AA89</f>
        <v>114493.85778985824</v>
      </c>
      <c r="L692" s="256">
        <f>(L647/L612)*AA94</f>
        <v>0</v>
      </c>
      <c r="M692" s="231">
        <f t="shared" si="18"/>
        <v>882273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39050347.320000008</v>
      </c>
      <c r="D693" s="256">
        <f>(D615/D612)*AB90</f>
        <v>1478941.39730509</v>
      </c>
      <c r="E693" s="258">
        <f>(E623/E612)*SUM(C693:D693)</f>
        <v>7274370.6580009218</v>
      </c>
      <c r="F693" s="258">
        <f>(F624/F612)*AB64</f>
        <v>285770.61213037523</v>
      </c>
      <c r="G693" s="256">
        <f>(G625/G612)*AB91</f>
        <v>0</v>
      </c>
      <c r="H693" s="258">
        <f>(H628/H612)*AB60</f>
        <v>38253.505180783352</v>
      </c>
      <c r="I693" s="256">
        <f>(I629/I612)*AB92</f>
        <v>481247.46374814422</v>
      </c>
      <c r="J693" s="256">
        <f>(J630/J612)*AB93</f>
        <v>0</v>
      </c>
      <c r="K693" s="256">
        <f>(K644/K612)*AB89</f>
        <v>1724921.9104267624</v>
      </c>
      <c r="L693" s="256">
        <f>(L647/L612)*AB94</f>
        <v>0</v>
      </c>
      <c r="M693" s="231">
        <f t="shared" si="18"/>
        <v>11283506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12693296.280000001</v>
      </c>
      <c r="D694" s="256">
        <f>(D615/D612)*AC90</f>
        <v>186251.94685533526</v>
      </c>
      <c r="E694" s="258">
        <f>(E623/E612)*SUM(C694:D694)</f>
        <v>2311676.5843892167</v>
      </c>
      <c r="F694" s="258">
        <f>(F624/F612)*AC64</f>
        <v>13343.515090946205</v>
      </c>
      <c r="G694" s="256">
        <f>(G625/G612)*AC91</f>
        <v>0</v>
      </c>
      <c r="H694" s="258">
        <f>(H628/H612)*AC60</f>
        <v>31945.341697352927</v>
      </c>
      <c r="I694" s="256">
        <f>(I629/I612)*AC92</f>
        <v>60606.375077209261</v>
      </c>
      <c r="J694" s="256">
        <f>(J630/J612)*AC93</f>
        <v>0</v>
      </c>
      <c r="K694" s="256">
        <f>(K644/K612)*AC89</f>
        <v>785750.38584569271</v>
      </c>
      <c r="L694" s="256">
        <f>(L647/L612)*AC94</f>
        <v>0</v>
      </c>
      <c r="M694" s="231">
        <f t="shared" si="18"/>
        <v>3389574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1667643.08</v>
      </c>
      <c r="D695" s="256">
        <f>(D615/D612)*AD90</f>
        <v>34809.919703990789</v>
      </c>
      <c r="E695" s="258">
        <f>(E623/E612)*SUM(C695:D695)</f>
        <v>305563.56994206406</v>
      </c>
      <c r="F695" s="258">
        <f>(F624/F612)*AD64</f>
        <v>476.82697180008859</v>
      </c>
      <c r="G695" s="256">
        <f>(G625/G612)*AD91</f>
        <v>0</v>
      </c>
      <c r="H695" s="258">
        <f>(H628/H612)*AD60</f>
        <v>0</v>
      </c>
      <c r="I695" s="256">
        <f>(I629/I612)*AD92</f>
        <v>11327.146296227666</v>
      </c>
      <c r="J695" s="256">
        <f>(J630/J612)*AD93</f>
        <v>0</v>
      </c>
      <c r="K695" s="256">
        <f>(K644/K612)*AD89</f>
        <v>100349.18417079248</v>
      </c>
      <c r="L695" s="256">
        <f>(L647/L612)*AD94</f>
        <v>0</v>
      </c>
      <c r="M695" s="231">
        <f t="shared" si="18"/>
        <v>452527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10081091.86</v>
      </c>
      <c r="D696" s="256">
        <f>(D615/D612)*AE90</f>
        <v>112630.52315969697</v>
      </c>
      <c r="E696" s="258">
        <f>(E623/E612)*SUM(C696:D696)</f>
        <v>1829613.0365644069</v>
      </c>
      <c r="F696" s="258">
        <f>(F624/F612)*AE64</f>
        <v>934.15413976907314</v>
      </c>
      <c r="G696" s="256">
        <f>(G625/G612)*AE91</f>
        <v>0</v>
      </c>
      <c r="H696" s="258">
        <f>(H628/H612)*AE60</f>
        <v>33835.848673242108</v>
      </c>
      <c r="I696" s="256">
        <f>(I629/I612)*AE92</f>
        <v>36649.967138656844</v>
      </c>
      <c r="J696" s="256">
        <f>(J630/J612)*AE93</f>
        <v>0</v>
      </c>
      <c r="K696" s="256">
        <f>(K644/K612)*AE89</f>
        <v>411879.94542606681</v>
      </c>
      <c r="L696" s="256">
        <f>(L647/L612)*AE94</f>
        <v>20032.803467224232</v>
      </c>
      <c r="M696" s="231">
        <f t="shared" si="18"/>
        <v>2445576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2302046.4899999998</v>
      </c>
      <c r="D697" s="256">
        <f>(D615/D612)*AF90</f>
        <v>488830.22492418124</v>
      </c>
      <c r="E697" s="258">
        <f>(E623/E612)*SUM(C697:D697)</f>
        <v>500918.52898652083</v>
      </c>
      <c r="F697" s="258">
        <f>(F624/F612)*AF64</f>
        <v>99.003469643941472</v>
      </c>
      <c r="G697" s="256">
        <f>(G625/G612)*AF91</f>
        <v>59764.094862797996</v>
      </c>
      <c r="H697" s="258">
        <f>(H628/H612)*AF60</f>
        <v>4737.6491786484339</v>
      </c>
      <c r="I697" s="256">
        <f>(I629/I612)*AF92</f>
        <v>159065.333066519</v>
      </c>
      <c r="J697" s="256">
        <f>(J630/J612)*AF93</f>
        <v>0</v>
      </c>
      <c r="K697" s="256">
        <f>(K644/K612)*AF89</f>
        <v>58691.703585203613</v>
      </c>
      <c r="L697" s="256">
        <f>(L647/L612)*AF94</f>
        <v>40185.776777772371</v>
      </c>
      <c r="M697" s="231">
        <f t="shared" si="18"/>
        <v>1312292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43463346.6</v>
      </c>
      <c r="D698" s="256">
        <f>(D615/D612)*AG90</f>
        <v>2137121.9809388653</v>
      </c>
      <c r="E698" s="258">
        <f>(E623/E612)*SUM(C698:D698)</f>
        <v>8184567.7813398167</v>
      </c>
      <c r="F698" s="258">
        <f>(F624/F612)*AG64</f>
        <v>25315.514118224706</v>
      </c>
      <c r="G698" s="256">
        <f>(G625/G612)*AG91</f>
        <v>1976008.5400863797</v>
      </c>
      <c r="H698" s="258">
        <f>(H628/H612)*AG60</f>
        <v>87234.9008246936</v>
      </c>
      <c r="I698" s="256">
        <f>(I629/I612)*AG92</f>
        <v>695419.39587419177</v>
      </c>
      <c r="J698" s="256">
        <f>(J630/J612)*AG93</f>
        <v>0</v>
      </c>
      <c r="K698" s="256">
        <f>(K644/K612)*AG89</f>
        <v>3159594.5334890056</v>
      </c>
      <c r="L698" s="256">
        <f>(L647/L612)*AG94</f>
        <v>1330683.1096929645</v>
      </c>
      <c r="M698" s="231">
        <f t="shared" si="18"/>
        <v>17595946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13523764.29</v>
      </c>
      <c r="D700" s="256">
        <f>(D615/D612)*AI90</f>
        <v>2436947.1690178034</v>
      </c>
      <c r="E700" s="258">
        <f>(E623/E612)*SUM(C700:D700)</f>
        <v>2864696.9831652716</v>
      </c>
      <c r="F700" s="258">
        <f>(F624/F612)*AI64</f>
        <v>13159.232564531034</v>
      </c>
      <c r="G700" s="256">
        <f>(G625/G612)*AI91</f>
        <v>1288971.9573462624</v>
      </c>
      <c r="H700" s="258">
        <f>(H628/H612)*AI60</f>
        <v>31722.95930480993</v>
      </c>
      <c r="I700" s="256">
        <f>(I629/I612)*AI92</f>
        <v>792982.49850538676</v>
      </c>
      <c r="J700" s="256">
        <f>(J630/J612)*AI93</f>
        <v>0</v>
      </c>
      <c r="K700" s="256">
        <f>(K644/K612)*AI89</f>
        <v>320911.04004746838</v>
      </c>
      <c r="L700" s="256">
        <f>(L647/L612)*AI94</f>
        <v>833459.1008976954</v>
      </c>
      <c r="M700" s="231">
        <f t="shared" si="18"/>
        <v>8582851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67039972.81</v>
      </c>
      <c r="D701" s="256">
        <f>(D615/D612)*AJ90</f>
        <v>0</v>
      </c>
      <c r="E701" s="258">
        <f>(E623/E612)*SUM(C701:D701)</f>
        <v>12032622.001432212</v>
      </c>
      <c r="F701" s="258">
        <f>(F624/F612)*AJ64</f>
        <v>65756.986460839544</v>
      </c>
      <c r="G701" s="256">
        <f>(G625/G612)*AJ91</f>
        <v>0</v>
      </c>
      <c r="H701" s="258">
        <f>(H628/H612)*AJ60</f>
        <v>144381.89613879059</v>
      </c>
      <c r="I701" s="256">
        <f>(I629/I612)*AJ92</f>
        <v>0</v>
      </c>
      <c r="J701" s="256">
        <f>(J630/J612)*AJ93</f>
        <v>0</v>
      </c>
      <c r="K701" s="256">
        <f>(K644/K612)*AJ89</f>
        <v>1030316.1932556268</v>
      </c>
      <c r="L701" s="256">
        <f>(L647/L612)*AJ94</f>
        <v>193879.5332023279</v>
      </c>
      <c r="M701" s="231">
        <f t="shared" si="18"/>
        <v>13466957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2638283.8600000003</v>
      </c>
      <c r="D706" s="256">
        <f>(D615/D612)*AO90</f>
        <v>514520.94799359766</v>
      </c>
      <c r="E706" s="258">
        <f>(E623/E612)*SUM(C706:D706)</f>
        <v>565878.93623408861</v>
      </c>
      <c r="F706" s="258">
        <f>(F624/F612)*AO64</f>
        <v>508.43322957698166</v>
      </c>
      <c r="G706" s="256">
        <f>(G625/G612)*AO91</f>
        <v>0</v>
      </c>
      <c r="H706" s="258">
        <f>(H628/H612)*AO60</f>
        <v>6876.5349753106</v>
      </c>
      <c r="I706" s="256">
        <f>(I629/I612)*AO92</f>
        <v>167425.09319057892</v>
      </c>
      <c r="J706" s="256">
        <f>(J630/J612)*AO93</f>
        <v>0</v>
      </c>
      <c r="K706" s="256">
        <f>(K644/K612)*AO89</f>
        <v>42717.464438243827</v>
      </c>
      <c r="L706" s="256">
        <f>(L647/L612)*AO94</f>
        <v>239608.15309241315</v>
      </c>
      <c r="M706" s="231">
        <f t="shared" si="18"/>
        <v>1537536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34256513.98</v>
      </c>
      <c r="D707" s="256">
        <f>(D615/D612)*AP90</f>
        <v>0</v>
      </c>
      <c r="E707" s="258">
        <f>(E623/E612)*SUM(C707:D707)</f>
        <v>6148506.1304594241</v>
      </c>
      <c r="F707" s="258">
        <f>(F624/F612)*AP64</f>
        <v>29142.381385131514</v>
      </c>
      <c r="G707" s="256">
        <f>(G625/G612)*AP91</f>
        <v>0</v>
      </c>
      <c r="H707" s="258">
        <f>(H628/H612)*AP60</f>
        <v>75550.375255288265</v>
      </c>
      <c r="I707" s="256">
        <f>(I629/I612)*AP92</f>
        <v>0</v>
      </c>
      <c r="J707" s="256">
        <f>(J630/J612)*AP93</f>
        <v>0</v>
      </c>
      <c r="K707" s="256">
        <f>(K644/K612)*AP89</f>
        <v>1050858.7824499677</v>
      </c>
      <c r="L707" s="256">
        <f>(L647/L612)*AP94</f>
        <v>273982.75444318651</v>
      </c>
      <c r="M707" s="231">
        <f t="shared" si="18"/>
        <v>7578040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31376546.059999995</v>
      </c>
      <c r="D709" s="256">
        <f>(D615/D612)*AR90</f>
        <v>0</v>
      </c>
      <c r="E709" s="258">
        <f>(E623/E612)*SUM(C709:D709)</f>
        <v>5631597.1296782978</v>
      </c>
      <c r="F709" s="258">
        <f>(F624/F612)*AR64</f>
        <v>18251.898920643824</v>
      </c>
      <c r="G709" s="256">
        <f>(G625/G612)*AR91</f>
        <v>0</v>
      </c>
      <c r="H709" s="258">
        <f>(H628/H612)*AR60</f>
        <v>89418.303955711308</v>
      </c>
      <c r="I709" s="256">
        <f>(I629/I612)*AR92</f>
        <v>0</v>
      </c>
      <c r="J709" s="256">
        <f>(J630/J612)*AR93</f>
        <v>0</v>
      </c>
      <c r="K709" s="256">
        <f>(K644/K612)*AR89</f>
        <v>756700.83980556112</v>
      </c>
      <c r="L709" s="256">
        <f>(L647/L612)*AR94</f>
        <v>1481938.1693926642</v>
      </c>
      <c r="M709" s="231">
        <f t="shared" si="18"/>
        <v>7977906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711090.66</v>
      </c>
      <c r="D713" s="256">
        <f>(D615/D612)*AV90</f>
        <v>63252.628877994306</v>
      </c>
      <c r="E713" s="258">
        <f>(E623/E612)*SUM(C713:D713)</f>
        <v>138982.45634468558</v>
      </c>
      <c r="F713" s="258">
        <f>(F624/F612)*AV64</f>
        <v>481.18897868068484</v>
      </c>
      <c r="G713" s="256">
        <f>(G625/G612)*AV91</f>
        <v>32530.276784600825</v>
      </c>
      <c r="H713" s="258">
        <f>(H628/H612)*AV60</f>
        <v>2512.9804770046617</v>
      </c>
      <c r="I713" s="256">
        <f>(I629/I612)*AV92</f>
        <v>20582.402574169002</v>
      </c>
      <c r="J713" s="256">
        <f>(J630/J612)*AV93</f>
        <v>0</v>
      </c>
      <c r="K713" s="256">
        <f>(K644/K612)*AV89</f>
        <v>44118.712798290544</v>
      </c>
      <c r="L713" s="256">
        <f>(L647/L612)*AV94</f>
        <v>21945.548016369674</v>
      </c>
      <c r="M713" s="231">
        <f t="shared" si="18"/>
        <v>324406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830031492.65</v>
      </c>
      <c r="D715" s="231">
        <f>SUM(D616:D647)+SUM(D668:D713)</f>
        <v>57812311.80999998</v>
      </c>
      <c r="E715" s="231">
        <f>SUM(E624:E647)+SUM(E668:E713)</f>
        <v>126307416.92693296</v>
      </c>
      <c r="F715" s="231">
        <f>SUM(F625:F648)+SUM(F668:F713)</f>
        <v>1175325.6152225595</v>
      </c>
      <c r="G715" s="231">
        <f>SUM(G626:G647)+SUM(G668:G713)</f>
        <v>11743716.214306109</v>
      </c>
      <c r="H715" s="231">
        <f>SUM(H629:H647)+SUM(H668:H713)</f>
        <v>1304748.296161273</v>
      </c>
      <c r="I715" s="231">
        <f>SUM(I630:I647)+SUM(I668:I713)</f>
        <v>16469560.666159207</v>
      </c>
      <c r="J715" s="231">
        <f>SUM(J631:J647)+SUM(J668:J713)</f>
        <v>0</v>
      </c>
      <c r="K715" s="231">
        <f>SUM(K668:K713)</f>
        <v>28513966.743909251</v>
      </c>
      <c r="L715" s="231">
        <f>SUM(L668:L713)</f>
        <v>16700622.128897732</v>
      </c>
      <c r="M715" s="231">
        <f>SUM(M668:M713)</f>
        <v>235882031</v>
      </c>
      <c r="N715" s="250" t="s">
        <v>696</v>
      </c>
    </row>
    <row r="716" ht="12.6" customHeight="1" s="231" customFormat="1">
      <c r="C716" s="253">
        <f>CE85</f>
        <v>830031492.6500001</v>
      </c>
      <c r="D716" s="231">
        <f>D615</f>
        <v>57812311.809999995</v>
      </c>
      <c r="E716" s="231">
        <f>E623</f>
        <v>126307416.92693302</v>
      </c>
      <c r="F716" s="231">
        <f>F624</f>
        <v>1175325.6152225595</v>
      </c>
      <c r="G716" s="231">
        <f>G625</f>
        <v>11743716.214306109</v>
      </c>
      <c r="H716" s="231">
        <f>H628</f>
        <v>1304748.2961612728</v>
      </c>
      <c r="I716" s="231">
        <f>I629</f>
        <v>16469560.666159209</v>
      </c>
      <c r="J716" s="231">
        <f>J630</f>
        <v>0</v>
      </c>
      <c r="K716" s="231">
        <f>K644</f>
        <v>28513966.743909255</v>
      </c>
      <c r="L716" s="231">
        <f>L647</f>
        <v>16700622.12889774</v>
      </c>
      <c r="M716" s="231">
        <f>C648</f>
        <v>235882029.5</v>
      </c>
      <c r="N716" s="250" t="s">
        <v>697</v>
      </c>
    </row>
  </sheetData>
  <mergeCells>
    <mergeCell ref="B236:C236"/>
  </mergeCells>
  <hyperlinks>
    <hyperlink ref="C30" r:id="rId4"/>
    <hyperlink ref="F42" r:id="rId5"/>
    <hyperlink ref="A43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PeaceHealth Southwest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0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381231717.05000007</v>
      </c>
    </row>
    <row r="9" ht="20.1" customHeight="1">
      <c r="A9" s="188">
        <v>5</v>
      </c>
      <c r="B9" s="190" t="s">
        <v>907</v>
      </c>
      <c r="C9" s="190">
        <f>data!C269</f>
        <v>285850050</v>
      </c>
    </row>
    <row r="10" ht="20.1" customHeight="1">
      <c r="A10" s="188">
        <v>6</v>
      </c>
      <c r="B10" s="190" t="s">
        <v>908</v>
      </c>
      <c r="C10" s="190">
        <f>data!C270</f>
        <v>1385315.1900000032</v>
      </c>
    </row>
    <row r="11" ht="20.1" customHeight="1">
      <c r="A11" s="188">
        <v>7</v>
      </c>
      <c r="B11" s="190" t="s">
        <v>909</v>
      </c>
      <c r="C11" s="190">
        <f>data!C271</f>
        <v>0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0</v>
      </c>
    </row>
    <row r="14" ht="20.1" customHeight="1">
      <c r="A14" s="188">
        <v>10</v>
      </c>
      <c r="B14" s="190" t="s">
        <v>432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96766982.240000069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41365788.13</v>
      </c>
    </row>
    <row r="26" ht="20.1" customHeight="1">
      <c r="A26" s="188">
        <v>22</v>
      </c>
      <c r="B26" s="190" t="s">
        <v>394</v>
      </c>
      <c r="C26" s="190">
        <f>data!C284</f>
        <v>6837782.68</v>
      </c>
    </row>
    <row r="27" ht="20.1" customHeight="1">
      <c r="A27" s="188">
        <v>23</v>
      </c>
      <c r="B27" s="190" t="s">
        <v>395</v>
      </c>
      <c r="C27" s="190">
        <f>data!C285</f>
        <v>297399069.81999993</v>
      </c>
    </row>
    <row r="28" ht="20.1" customHeight="1">
      <c r="A28" s="188">
        <v>24</v>
      </c>
      <c r="B28" s="190" t="s">
        <v>915</v>
      </c>
      <c r="C28" s="190">
        <f>data!C286</f>
        <v>0</v>
      </c>
    </row>
    <row r="29" ht="20.1" customHeight="1">
      <c r="A29" s="188">
        <v>25</v>
      </c>
      <c r="B29" s="190" t="s">
        <v>397</v>
      </c>
      <c r="C29" s="190">
        <f>data!C287</f>
        <v>55234864.059999995</v>
      </c>
    </row>
    <row r="30" ht="20.1" customHeight="1">
      <c r="A30" s="188">
        <v>26</v>
      </c>
      <c r="B30" s="190" t="s">
        <v>441</v>
      </c>
      <c r="C30" s="190">
        <f>data!C288</f>
        <v>229057657.71999919</v>
      </c>
    </row>
    <row r="31" ht="20.1" customHeight="1">
      <c r="A31" s="188">
        <v>27</v>
      </c>
      <c r="B31" s="190" t="s">
        <v>400</v>
      </c>
      <c r="C31" s="190">
        <f>data!C289</f>
        <v>18236962.340000004</v>
      </c>
    </row>
    <row r="32" ht="20.1" customHeight="1">
      <c r="A32" s="188">
        <v>28</v>
      </c>
      <c r="B32" s="190" t="s">
        <v>401</v>
      </c>
      <c r="C32" s="190">
        <f>data!C290</f>
        <v>26381973.690000005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421666111.62999994</v>
      </c>
    </row>
    <row r="35" ht="20.1" customHeight="1">
      <c r="A35" s="188">
        <v>31</v>
      </c>
      <c r="B35" s="190" t="s">
        <v>917</v>
      </c>
      <c r="C35" s="190">
        <f>data!D293</f>
        <v>252847986.80999929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0</v>
      </c>
    </row>
    <row r="41" ht="20.1" customHeight="1">
      <c r="A41" s="188">
        <v>37</v>
      </c>
      <c r="B41" s="190" t="s">
        <v>436</v>
      </c>
      <c r="C41" s="190">
        <f>data!C298</f>
        <v>51319599</v>
      </c>
    </row>
    <row r="42" ht="20.1" customHeight="1">
      <c r="A42" s="188">
        <v>38</v>
      </c>
      <c r="B42" s="190" t="s">
        <v>921</v>
      </c>
      <c r="C42" s="190">
        <f>data!D299</f>
        <v>51319599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0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400934568.04999936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PeaceHealth Southwest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0</v>
      </c>
    </row>
    <row r="60" ht="20.1" customHeight="1">
      <c r="A60" s="188">
        <v>4</v>
      </c>
      <c r="B60" s="190" t="s">
        <v>930</v>
      </c>
      <c r="C60" s="190">
        <f>data!C316</f>
        <v>0</v>
      </c>
    </row>
    <row r="61" ht="20.1" customHeight="1">
      <c r="A61" s="188">
        <v>5</v>
      </c>
      <c r="B61" s="190" t="s">
        <v>462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20328327.26</v>
      </c>
    </row>
    <row r="63" ht="20.1" customHeight="1">
      <c r="A63" s="188">
        <v>7</v>
      </c>
      <c r="B63" s="190" t="s">
        <v>932</v>
      </c>
      <c r="C63" s="190">
        <f>data!C319</f>
        <v>0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20328327.26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0</v>
      </c>
    </row>
    <row r="74" ht="20.1" customHeight="1">
      <c r="A74" s="188">
        <v>18</v>
      </c>
      <c r="B74" s="190" t="s">
        <v>937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0</v>
      </c>
    </row>
    <row r="85" ht="20.1" customHeight="1">
      <c r="A85" s="188">
        <v>29</v>
      </c>
      <c r="B85" s="190" t="s">
        <v>614</v>
      </c>
      <c r="C85" s="190">
        <f>data!D339</f>
        <v>0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0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380606240.78999937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380606240.78999937</v>
      </c>
    </row>
    <row r="103" ht="20.1" customHeight="1">
      <c r="A103" s="188">
        <v>47</v>
      </c>
      <c r="B103" s="190" t="s">
        <v>950</v>
      </c>
      <c r="C103" s="190">
        <f>data!D352</f>
        <v>400934568.04999936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PeaceHealth Southwest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1305545948.2299998</v>
      </c>
    </row>
    <row r="112" ht="20.1" customHeight="1">
      <c r="A112" s="188">
        <v>3</v>
      </c>
      <c r="B112" s="190" t="s">
        <v>497</v>
      </c>
      <c r="C112" s="190">
        <f>data!C359</f>
        <v>1348631805.2300003</v>
      </c>
    </row>
    <row r="113" ht="20.1" customHeight="1">
      <c r="A113" s="188">
        <v>4</v>
      </c>
      <c r="B113" s="190" t="s">
        <v>954</v>
      </c>
      <c r="C113" s="190">
        <f>data!D360</f>
        <v>2654177753.46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24852658.81</v>
      </c>
    </row>
    <row r="117" ht="20.1" customHeight="1">
      <c r="A117" s="188">
        <v>8</v>
      </c>
      <c r="B117" s="190" t="s">
        <v>500</v>
      </c>
      <c r="C117" s="203">
        <f>data!C363</f>
        <v>1850800265.48</v>
      </c>
    </row>
    <row r="118" ht="20.1" customHeight="1">
      <c r="A118" s="188">
        <v>9</v>
      </c>
      <c r="B118" s="190" t="s">
        <v>957</v>
      </c>
      <c r="C118" s="203">
        <f>data!C364</f>
        <v>37294860.72</v>
      </c>
    </row>
    <row r="119" ht="20.1" customHeight="1">
      <c r="A119" s="188">
        <v>10</v>
      </c>
      <c r="B119" s="190" t="s">
        <v>958</v>
      </c>
      <c r="C119" s="203">
        <f>data!C365</f>
        <v>847278.78</v>
      </c>
    </row>
    <row r="120" ht="20.1" customHeight="1">
      <c r="A120" s="188">
        <v>11</v>
      </c>
      <c r="B120" s="190" t="s">
        <v>902</v>
      </c>
      <c r="C120" s="203">
        <f>data!D366</f>
        <v>1913795063.79</v>
      </c>
    </row>
    <row r="121" ht="20.1" customHeight="1">
      <c r="A121" s="188">
        <v>12</v>
      </c>
      <c r="B121" s="190" t="s">
        <v>959</v>
      </c>
      <c r="C121" s="203">
        <f>data!D367</f>
        <v>740382689.67000008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12792602.839999998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12792602.839999998</v>
      </c>
    </row>
    <row r="138" ht="20.1" customHeight="1">
      <c r="A138" s="188">
        <v>18</v>
      </c>
      <c r="B138" s="190" t="s">
        <v>972</v>
      </c>
      <c r="C138" s="203">
        <f>data!D384</f>
        <v>753175292.51000011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382590786.54999995</v>
      </c>
    </row>
    <row r="142" ht="20.1" customHeight="1">
      <c r="A142" s="188">
        <v>22</v>
      </c>
      <c r="B142" s="190" t="s">
        <v>11</v>
      </c>
      <c r="C142" s="203">
        <f>data!C390</f>
        <v>82317939.820000008</v>
      </c>
    </row>
    <row r="143" ht="20.1" customHeight="1">
      <c r="A143" s="188">
        <v>23</v>
      </c>
      <c r="B143" s="190" t="s">
        <v>264</v>
      </c>
      <c r="C143" s="203">
        <f>data!C391</f>
        <v>20192403.229999997</v>
      </c>
    </row>
    <row r="144" ht="20.1" customHeight="1">
      <c r="A144" s="188">
        <v>24</v>
      </c>
      <c r="B144" s="190" t="s">
        <v>265</v>
      </c>
      <c r="C144" s="203">
        <f>data!C392</f>
        <v>127389609.75</v>
      </c>
    </row>
    <row r="145" ht="20.1" customHeight="1">
      <c r="A145" s="188">
        <v>25</v>
      </c>
      <c r="B145" s="190" t="s">
        <v>974</v>
      </c>
      <c r="C145" s="203">
        <f>data!C393</f>
        <v>3817338.31</v>
      </c>
    </row>
    <row r="146" ht="20.1" customHeight="1">
      <c r="A146" s="188">
        <v>26</v>
      </c>
      <c r="B146" s="190" t="s">
        <v>975</v>
      </c>
      <c r="C146" s="203">
        <f>data!C394</f>
        <v>132591892.31999996</v>
      </c>
    </row>
    <row r="147" ht="20.1" customHeight="1">
      <c r="A147" s="188">
        <v>27</v>
      </c>
      <c r="B147" s="190" t="s">
        <v>16</v>
      </c>
      <c r="C147" s="203">
        <f>data!C395</f>
        <v>48990556.127587631</v>
      </c>
    </row>
    <row r="148" ht="20.1" customHeight="1">
      <c r="A148" s="188">
        <v>28</v>
      </c>
      <c r="B148" s="190" t="s">
        <v>976</v>
      </c>
      <c r="C148" s="203">
        <f>data!C396</f>
        <v>14731755.229999999</v>
      </c>
    </row>
    <row r="149" ht="20.1" customHeight="1">
      <c r="A149" s="188">
        <v>29</v>
      </c>
      <c r="B149" s="190" t="s">
        <v>527</v>
      </c>
      <c r="C149" s="203">
        <f>data!C397</f>
        <v>7788890.1</v>
      </c>
    </row>
    <row r="150" ht="20.1" customHeight="1">
      <c r="A150" s="188">
        <v>30</v>
      </c>
      <c r="B150" s="190" t="s">
        <v>977</v>
      </c>
      <c r="C150" s="203">
        <f>data!C398</f>
        <v>19582284.38</v>
      </c>
    </row>
    <row r="151" ht="20.1" customHeight="1">
      <c r="A151" s="188">
        <v>31</v>
      </c>
      <c r="B151" s="190" t="s">
        <v>529</v>
      </c>
      <c r="C151" s="203">
        <f>data!C399</f>
        <v>677623.03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2153017.59</v>
      </c>
    </row>
    <row r="167" ht="20.1" customHeight="1">
      <c r="A167" s="188">
        <v>34</v>
      </c>
      <c r="B167" s="190" t="s">
        <v>994</v>
      </c>
      <c r="C167" s="203">
        <f>data!D416</f>
        <v>842824096.4375875</v>
      </c>
    </row>
    <row r="168" ht="20.1" customHeight="1">
      <c r="A168" s="188">
        <v>35</v>
      </c>
      <c r="B168" s="190" t="s">
        <v>995</v>
      </c>
      <c r="C168" s="203">
        <f>data!D417</f>
        <v>-89648803.92758739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-236460.19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-89885264.117587388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-89885264.117587388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PeaceHealth Southwest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19575</v>
      </c>
      <c r="D9" s="287">
        <f>data!D59</f>
        <v>7846</v>
      </c>
      <c r="E9" s="287">
        <f>data!E59</f>
        <v>69032</v>
      </c>
      <c r="F9" s="287">
        <f>data!F59</f>
        <v>4632</v>
      </c>
      <c r="G9" s="287">
        <f>data!G59</f>
        <v>3849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197.76264232240385</v>
      </c>
      <c r="D10" s="294">
        <f>data!D60</f>
        <v>47.387392774553589</v>
      </c>
      <c r="E10" s="294">
        <f>data!E60</f>
        <v>499.2950296418133</v>
      </c>
      <c r="F10" s="294">
        <f>data!F60</f>
        <v>96.630231620790511</v>
      </c>
      <c r="G10" s="294">
        <f>data!G60</f>
        <v>19.170728600961557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33655663.21</v>
      </c>
      <c r="D11" s="287">
        <f>data!D61</f>
        <v>8004045.26</v>
      </c>
      <c r="E11" s="287">
        <f>data!E61</f>
        <v>59228348</v>
      </c>
      <c r="F11" s="287">
        <f>data!F61</f>
        <v>14576573.068003</v>
      </c>
      <c r="G11" s="287">
        <f>data!G61</f>
        <v>2381850.32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5560662</v>
      </c>
      <c r="D12" s="287">
        <f>data!D62</f>
        <v>1268229</v>
      </c>
      <c r="E12" s="287">
        <f>data!E62</f>
        <v>12792076</v>
      </c>
      <c r="F12" s="287">
        <f>data!F62</f>
        <v>3056171</v>
      </c>
      <c r="G12" s="287">
        <f>data!G62</f>
        <v>492569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1827758.8199999998</v>
      </c>
      <c r="D13" s="287">
        <f>data!D63</f>
        <v>0</v>
      </c>
      <c r="E13" s="287">
        <f>data!E63</f>
        <v>0</v>
      </c>
      <c r="F13" s="287">
        <f>data!F63</f>
        <v>827129.35937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3298369.2900000005</v>
      </c>
      <c r="D14" s="287">
        <f>data!D64</f>
        <v>307134.37</v>
      </c>
      <c r="E14" s="287">
        <f>data!E64</f>
        <v>3699564.12</v>
      </c>
      <c r="F14" s="287">
        <f>data!F64</f>
        <v>1439887.691348</v>
      </c>
      <c r="G14" s="287">
        <f>data!G64</f>
        <v>90376.4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0</v>
      </c>
      <c r="D15" s="287">
        <f>data!D65</f>
        <v>0</v>
      </c>
      <c r="E15" s="287">
        <f>data!E65</f>
        <v>1176.05</v>
      </c>
      <c r="F15" s="287">
        <f>data!F65</f>
        <v>3777.2771860000003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75012.849999999977</v>
      </c>
      <c r="D16" s="287">
        <f>data!D66</f>
        <v>1016.6700000000128</v>
      </c>
      <c r="E16" s="287">
        <f>data!E66</f>
        <v>32080.010000000009</v>
      </c>
      <c r="F16" s="287">
        <f>data!F66</f>
        <v>442092.55774699996</v>
      </c>
      <c r="G16" s="287">
        <f>data!G66</f>
        <v>28.150000000001455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1203135</v>
      </c>
      <c r="D17" s="287">
        <f>data!D67</f>
        <v>0</v>
      </c>
      <c r="E17" s="287">
        <f>data!E67</f>
        <v>2825431</v>
      </c>
      <c r="F17" s="287">
        <f>data!F67</f>
        <v>856254</v>
      </c>
      <c r="G17" s="287">
        <f>data!G67</f>
        <v>287483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439856.04</v>
      </c>
      <c r="D18" s="287">
        <f>data!D68</f>
        <v>142205.36</v>
      </c>
      <c r="E18" s="287">
        <f>data!E68</f>
        <v>834785.95</v>
      </c>
      <c r="F18" s="287">
        <f>data!F68</f>
        <v>403782.603298</v>
      </c>
      <c r="G18" s="287">
        <f>data!G68</f>
        <v>9777.22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21813.51</v>
      </c>
      <c r="D19" s="287">
        <f>data!D69</f>
        <v>2448.51</v>
      </c>
      <c r="E19" s="287">
        <f>data!E69</f>
        <v>43597.71</v>
      </c>
      <c r="F19" s="287">
        <f>data!F69</f>
        <v>31807.233436999995</v>
      </c>
      <c r="G19" s="287">
        <f>data!G69</f>
        <v>-336.41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-183460.49999999997</v>
      </c>
      <c r="D20" s="287">
        <f>-data!D84</f>
        <v>0</v>
      </c>
      <c r="E20" s="287">
        <f>-data!E84</f>
        <v>-57090</v>
      </c>
      <c r="F20" s="287">
        <f>-data!F84</f>
        <v>-2188.330941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45898810.22</v>
      </c>
      <c r="D21" s="287">
        <f>data!D85</f>
        <v>9725079.1699999981</v>
      </c>
      <c r="E21" s="287">
        <f>data!E85</f>
        <v>79399968.84</v>
      </c>
      <c r="F21" s="287">
        <f>data!F85</f>
        <v>21635286.459448002</v>
      </c>
      <c r="G21" s="287">
        <f>data!G85</f>
        <v>3261747.6799999997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19647387</v>
      </c>
      <c r="D23" s="295">
        <f>+data!M669</f>
        <v>2666350</v>
      </c>
      <c r="E23" s="295">
        <f>+data!M670</f>
        <v>53306241</v>
      </c>
      <c r="F23" s="295">
        <f>+data!M671</f>
        <v>11898533</v>
      </c>
      <c r="G23" s="295">
        <f>+data!M672</f>
        <v>3666651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137940607</v>
      </c>
      <c r="D24" s="287">
        <f>data!D87</f>
        <v>39207006</v>
      </c>
      <c r="E24" s="287">
        <f>data!E87</f>
        <v>227724335</v>
      </c>
      <c r="F24" s="287">
        <f>data!F87</f>
        <v>39225475.198093</v>
      </c>
      <c r="G24" s="287">
        <f>data!G87</f>
        <v>8708422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3024653</v>
      </c>
      <c r="D25" s="287">
        <f>data!D88</f>
        <v>1310183.6</v>
      </c>
      <c r="E25" s="287">
        <f>data!E88</f>
        <v>41069246.01</v>
      </c>
      <c r="F25" s="287">
        <f>data!F88</f>
        <v>11001828.521442998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140965260</v>
      </c>
      <c r="D26" s="287">
        <f>data!D89</f>
        <v>40517189.6</v>
      </c>
      <c r="E26" s="287">
        <f>data!E89</f>
        <v>268793581.01</v>
      </c>
      <c r="F26" s="287">
        <f>data!F89</f>
        <v>50227303.719535992</v>
      </c>
      <c r="G26" s="287">
        <f>data!G89</f>
        <v>8708422</v>
      </c>
      <c r="H26" s="287">
        <f>data!H89</f>
        <v>0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43055.8</v>
      </c>
      <c r="D28" s="287">
        <f>data!D90</f>
        <v>0</v>
      </c>
      <c r="E28" s="287">
        <f>data!E90</f>
        <v>134471.173823529</v>
      </c>
      <c r="F28" s="287">
        <f>data!F90</f>
        <v>38817.2863</v>
      </c>
      <c r="G28" s="287">
        <f>data!G90</f>
        <v>15133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0</v>
      </c>
      <c r="D29" s="287">
        <f>data!D91</f>
        <v>0</v>
      </c>
      <c r="E29" s="287">
        <f>data!E91</f>
        <v>226592</v>
      </c>
      <c r="F29" s="287">
        <f>data!F91</f>
        <v>0</v>
      </c>
      <c r="G29" s="287">
        <f>data!G91</f>
        <v>7752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18376.984302918885</v>
      </c>
      <c r="D30" s="287">
        <f>data!D92</f>
        <v>0</v>
      </c>
      <c r="E30" s="287">
        <f>data!E92</f>
        <v>57394.698288037129</v>
      </c>
      <c r="F30" s="287">
        <f>data!F92</f>
        <v>16567.910967094056</v>
      </c>
      <c r="G30" s="287">
        <f>data!G92</f>
        <v>6459.0346354282447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388634.79446145444</v>
      </c>
      <c r="D31" s="287">
        <f>data!D93</f>
        <v>68367.131669092778</v>
      </c>
      <c r="E31" s="287">
        <f>data!E93</f>
        <v>809166.78799873788</v>
      </c>
      <c r="F31" s="287">
        <f>data!F93</f>
        <v>143802.95960992886</v>
      </c>
      <c r="G31" s="287">
        <f>data!G93</f>
        <v>27686.864366556612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147.27084470845469</v>
      </c>
      <c r="D32" s="294">
        <f>data!D94</f>
        <v>25.907318064903848</v>
      </c>
      <c r="E32" s="294">
        <f>data!E94</f>
        <v>306.62894335988318</v>
      </c>
      <c r="F32" s="294">
        <f>data!F94</f>
        <v>54.493276554604741</v>
      </c>
      <c r="G32" s="294">
        <f>data!G94</f>
        <v>10.491772637706058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PeaceHealth Southwest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2747</v>
      </c>
      <c r="D41" s="287">
        <f>data!K59</f>
        <v>0</v>
      </c>
      <c r="E41" s="287">
        <f>data!L59</f>
        <v>0</v>
      </c>
      <c r="F41" s="287">
        <f>data!M59</f>
        <v>5830</v>
      </c>
      <c r="G41" s="287">
        <f>data!N59</f>
        <v>56576</v>
      </c>
      <c r="H41" s="287">
        <f>data!O59</f>
        <v>1846</v>
      </c>
      <c r="I41" s="287">
        <f>data!P59</f>
        <v>1213166</v>
      </c>
    </row>
    <row r="42" ht="20.1" customHeight="1">
      <c r="A42" s="279">
        <v>5</v>
      </c>
      <c r="B42" s="287" t="s">
        <v>262</v>
      </c>
      <c r="C42" s="294">
        <f>data!J60</f>
        <v>14.273282232980309</v>
      </c>
      <c r="D42" s="294">
        <f>data!K60</f>
        <v>0</v>
      </c>
      <c r="E42" s="294">
        <f>data!L60</f>
        <v>0</v>
      </c>
      <c r="F42" s="294">
        <f>data!M60</f>
        <v>48.900258311298082</v>
      </c>
      <c r="G42" s="294">
        <f>data!N60</f>
        <v>12.500274969093393</v>
      </c>
      <c r="H42" s="294">
        <f>data!O60</f>
        <v>0</v>
      </c>
      <c r="I42" s="294">
        <f>data!P60</f>
        <v>113.88831872730083</v>
      </c>
    </row>
    <row r="43" ht="20.1" customHeight="1">
      <c r="A43" s="279">
        <v>6</v>
      </c>
      <c r="B43" s="287" t="s">
        <v>263</v>
      </c>
      <c r="C43" s="287">
        <f>data!J61</f>
        <v>2153110.2419970008</v>
      </c>
      <c r="D43" s="287">
        <f>data!K61</f>
        <v>0</v>
      </c>
      <c r="E43" s="287">
        <f>data!L61</f>
        <v>0</v>
      </c>
      <c r="F43" s="287">
        <f>data!M61</f>
        <v>4958457.39</v>
      </c>
      <c r="G43" s="287">
        <f>data!N61</f>
        <v>5145457.34</v>
      </c>
      <c r="H43" s="287">
        <f>data!O61</f>
        <v>0</v>
      </c>
      <c r="I43" s="287">
        <f>data!P61</f>
        <v>13749028.06</v>
      </c>
    </row>
    <row r="44" ht="20.1" customHeight="1">
      <c r="A44" s="279">
        <v>7</v>
      </c>
      <c r="B44" s="287" t="s">
        <v>11</v>
      </c>
      <c r="C44" s="287">
        <f>data!J62</f>
        <v>451428</v>
      </c>
      <c r="D44" s="287">
        <f>data!K62</f>
        <v>0</v>
      </c>
      <c r="E44" s="287">
        <f>data!L62</f>
        <v>0</v>
      </c>
      <c r="F44" s="287">
        <f>data!M62</f>
        <v>1289862</v>
      </c>
      <c r="G44" s="287">
        <f>data!N62</f>
        <v>851042</v>
      </c>
      <c r="H44" s="287">
        <f>data!O62</f>
        <v>0</v>
      </c>
      <c r="I44" s="287">
        <f>data!P62</f>
        <v>2885191</v>
      </c>
    </row>
    <row r="45" ht="20.1" customHeight="1">
      <c r="A45" s="279">
        <v>8</v>
      </c>
      <c r="B45" s="287" t="s">
        <v>264</v>
      </c>
      <c r="C45" s="287">
        <f>data!J63</f>
        <v>122175.54063000003</v>
      </c>
      <c r="D45" s="287">
        <f>data!K63</f>
        <v>0</v>
      </c>
      <c r="E45" s="287">
        <f>data!L63</f>
        <v>0</v>
      </c>
      <c r="F45" s="287">
        <f>data!M63</f>
        <v>60340</v>
      </c>
      <c r="G45" s="287">
        <f>data!N63</f>
        <v>6541190.36</v>
      </c>
      <c r="H45" s="287">
        <f>data!O63</f>
        <v>0</v>
      </c>
      <c r="I45" s="287">
        <f>data!P63</f>
        <v>477050</v>
      </c>
    </row>
    <row r="46" ht="20.1" customHeight="1">
      <c r="A46" s="279">
        <v>9</v>
      </c>
      <c r="B46" s="287" t="s">
        <v>265</v>
      </c>
      <c r="C46" s="287">
        <f>data!J64</f>
        <v>212686.26865200006</v>
      </c>
      <c r="D46" s="287">
        <f>data!K64</f>
        <v>0</v>
      </c>
      <c r="E46" s="287">
        <f>data!L64</f>
        <v>0</v>
      </c>
      <c r="F46" s="287">
        <f>data!M64</f>
        <v>219493.84</v>
      </c>
      <c r="G46" s="287">
        <f>data!N64</f>
        <v>0</v>
      </c>
      <c r="H46" s="287">
        <f>data!O64</f>
        <v>0</v>
      </c>
      <c r="I46" s="287">
        <f>data!P64</f>
        <v>29314334.43</v>
      </c>
    </row>
    <row r="47" ht="20.1" customHeight="1">
      <c r="A47" s="279">
        <v>10</v>
      </c>
      <c r="B47" s="287" t="s">
        <v>524</v>
      </c>
      <c r="C47" s="287">
        <f>data!J65</f>
        <v>557.94281400000023</v>
      </c>
      <c r="D47" s="287">
        <f>data!K65</f>
        <v>0</v>
      </c>
      <c r="E47" s="287">
        <f>data!L65</f>
        <v>0</v>
      </c>
      <c r="F47" s="287">
        <f>data!M65</f>
        <v>7541.6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525</v>
      </c>
      <c r="C48" s="287">
        <f>data!J66</f>
        <v>65301.632253000018</v>
      </c>
      <c r="D48" s="287">
        <f>data!K66</f>
        <v>0</v>
      </c>
      <c r="E48" s="287">
        <f>data!L66</f>
        <v>0</v>
      </c>
      <c r="F48" s="287">
        <f>data!M66</f>
        <v>41909.61</v>
      </c>
      <c r="G48" s="287">
        <f>data!N66</f>
        <v>1747.92</v>
      </c>
      <c r="H48" s="287">
        <f>data!O66</f>
        <v>0</v>
      </c>
      <c r="I48" s="287">
        <f>data!P66</f>
        <v>2398824.79</v>
      </c>
    </row>
    <row r="49" ht="20.1" customHeight="1">
      <c r="A49" s="279">
        <v>12</v>
      </c>
      <c r="B49" s="287" t="s">
        <v>16</v>
      </c>
      <c r="C49" s="287">
        <f>data!J67</f>
        <v>126478</v>
      </c>
      <c r="D49" s="287">
        <f>data!K67</f>
        <v>0</v>
      </c>
      <c r="E49" s="287">
        <f>data!L67</f>
        <v>0</v>
      </c>
      <c r="F49" s="287">
        <f>data!M67</f>
        <v>48203</v>
      </c>
      <c r="G49" s="287">
        <f>data!N67</f>
        <v>0</v>
      </c>
      <c r="H49" s="287">
        <f>data!O67</f>
        <v>0</v>
      </c>
      <c r="I49" s="287">
        <f>data!P67</f>
        <v>3476612</v>
      </c>
    </row>
    <row r="50" ht="20.1" customHeight="1">
      <c r="A50" s="279">
        <v>13</v>
      </c>
      <c r="B50" s="287" t="s">
        <v>1009</v>
      </c>
      <c r="C50" s="287">
        <f>data!J68</f>
        <v>59642.856702000019</v>
      </c>
      <c r="D50" s="287">
        <f>data!K68</f>
        <v>0</v>
      </c>
      <c r="E50" s="287">
        <f>data!L68</f>
        <v>0</v>
      </c>
      <c r="F50" s="287">
        <f>data!M68</f>
        <v>9774.5</v>
      </c>
      <c r="G50" s="287">
        <f>data!N68</f>
        <v>0</v>
      </c>
      <c r="H50" s="287">
        <f>data!O68</f>
        <v>0</v>
      </c>
      <c r="I50" s="287">
        <f>data!P68</f>
        <v>25053.709999999992</v>
      </c>
    </row>
    <row r="51" ht="20.1" customHeight="1">
      <c r="A51" s="279">
        <v>14</v>
      </c>
      <c r="B51" s="287" t="s">
        <v>1010</v>
      </c>
      <c r="C51" s="287">
        <f>data!J69</f>
        <v>4698.2565630000008</v>
      </c>
      <c r="D51" s="287">
        <f>data!K69</f>
        <v>0</v>
      </c>
      <c r="E51" s="287">
        <f>data!L69</f>
        <v>0</v>
      </c>
      <c r="F51" s="287">
        <f>data!M69</f>
        <v>20013.46</v>
      </c>
      <c r="G51" s="287">
        <f>data!N69</f>
        <v>6157.8799999999992</v>
      </c>
      <c r="H51" s="287">
        <f>data!O69</f>
        <v>0</v>
      </c>
      <c r="I51" s="287">
        <f>data!P69</f>
        <v>126658.77</v>
      </c>
    </row>
    <row r="52" ht="20.1" customHeight="1">
      <c r="A52" s="279">
        <v>15</v>
      </c>
      <c r="B52" s="287" t="s">
        <v>284</v>
      </c>
      <c r="C52" s="287">
        <f>-data!J84</f>
        <v>-323.23905900000011</v>
      </c>
      <c r="D52" s="287">
        <f>-data!K84</f>
        <v>0</v>
      </c>
      <c r="E52" s="287">
        <f>-data!L84</f>
        <v>0</v>
      </c>
      <c r="F52" s="287">
        <f>-data!M84</f>
        <v>-241463.39</v>
      </c>
      <c r="G52" s="287">
        <f>-data!N84</f>
        <v>0</v>
      </c>
      <c r="H52" s="287">
        <f>-data!O84</f>
        <v>0</v>
      </c>
      <c r="I52" s="287">
        <f>-data!P84</f>
        <v>-86631.02</v>
      </c>
    </row>
    <row r="53" ht="20.1" customHeight="1">
      <c r="A53" s="279">
        <v>16</v>
      </c>
      <c r="B53" s="295" t="s">
        <v>1011</v>
      </c>
      <c r="C53" s="287">
        <f>data!J85</f>
        <v>3195755.5005520009</v>
      </c>
      <c r="D53" s="287">
        <f>data!K85</f>
        <v>0</v>
      </c>
      <c r="E53" s="287">
        <f>data!L85</f>
        <v>0</v>
      </c>
      <c r="F53" s="287">
        <f>data!M85</f>
        <v>6414132.01</v>
      </c>
      <c r="G53" s="287">
        <f>data!N85</f>
        <v>12545595.5</v>
      </c>
      <c r="H53" s="287">
        <f>data!O85</f>
        <v>0</v>
      </c>
      <c r="I53" s="287">
        <f>data!P85</f>
        <v>52366121.74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1757536</v>
      </c>
      <c r="D55" s="295">
        <f>+data!M676</f>
        <v>0</v>
      </c>
      <c r="E55" s="295">
        <f>+data!M677</f>
        <v>0</v>
      </c>
      <c r="F55" s="295">
        <f>+data!M678</f>
        <v>1561106</v>
      </c>
      <c r="G55" s="295">
        <f>+data!M679</f>
        <v>2334098</v>
      </c>
      <c r="H55" s="295">
        <f>+data!M680</f>
        <v>0</v>
      </c>
      <c r="I55" s="295">
        <f>+data!M681</f>
        <v>20807219</v>
      </c>
    </row>
    <row r="56" ht="20.1" customHeight="1">
      <c r="A56" s="279">
        <v>19</v>
      </c>
      <c r="B56" s="295" t="s">
        <v>1013</v>
      </c>
      <c r="C56" s="287">
        <f>data!J87</f>
        <v>5794007.4119070014</v>
      </c>
      <c r="D56" s="287">
        <f>data!K87</f>
        <v>0</v>
      </c>
      <c r="E56" s="287">
        <f>data!L87</f>
        <v>0</v>
      </c>
      <c r="F56" s="287">
        <f>data!M87</f>
        <v>220</v>
      </c>
      <c r="G56" s="287">
        <f>data!N87</f>
        <v>0</v>
      </c>
      <c r="H56" s="287">
        <f>data!O87</f>
        <v>0</v>
      </c>
      <c r="I56" s="287">
        <f>data!P87</f>
        <v>153058447.87</v>
      </c>
    </row>
    <row r="57" ht="20.1" customHeight="1">
      <c r="A57" s="279">
        <v>20</v>
      </c>
      <c r="B57" s="295" t="s">
        <v>1014</v>
      </c>
      <c r="C57" s="287">
        <f>data!J88</f>
        <v>1625083.5885570003</v>
      </c>
      <c r="D57" s="287">
        <f>data!K88</f>
        <v>0</v>
      </c>
      <c r="E57" s="287">
        <f>data!L88</f>
        <v>0</v>
      </c>
      <c r="F57" s="287">
        <f>data!M88</f>
        <v>5563910.37</v>
      </c>
      <c r="G57" s="287">
        <f>data!N88</f>
        <v>7141749.1</v>
      </c>
      <c r="H57" s="287">
        <f>data!O88</f>
        <v>0</v>
      </c>
      <c r="I57" s="287">
        <f>data!P88</f>
        <v>140756899.49</v>
      </c>
    </row>
    <row r="58" ht="20.1" customHeight="1">
      <c r="A58" s="279">
        <v>21</v>
      </c>
      <c r="B58" s="295" t="s">
        <v>1015</v>
      </c>
      <c r="C58" s="287">
        <f>data!J89</f>
        <v>7419091.0004640017</v>
      </c>
      <c r="D58" s="287">
        <f>data!K89</f>
        <v>0</v>
      </c>
      <c r="E58" s="287">
        <f>data!L89</f>
        <v>0</v>
      </c>
      <c r="F58" s="287">
        <f>data!M89</f>
        <v>5564130.37</v>
      </c>
      <c r="G58" s="287">
        <f>data!N89</f>
        <v>7141749.1</v>
      </c>
      <c r="H58" s="287">
        <f>data!O89</f>
        <v>0</v>
      </c>
      <c r="I58" s="287">
        <f>data!P89</f>
        <v>293815347.36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5733.7137000000021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41972.822499999995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2447.2513961494383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17914.750166799837</v>
      </c>
    </row>
    <row r="63" ht="20.1" customHeight="1">
      <c r="A63" s="279">
        <v>25</v>
      </c>
      <c r="B63" s="287" t="s">
        <v>1020</v>
      </c>
      <c r="C63" s="287">
        <f>data!J93</f>
        <v>21241.180881209515</v>
      </c>
      <c r="D63" s="287">
        <f>data!K93</f>
        <v>0</v>
      </c>
      <c r="E63" s="287">
        <f>data!L93</f>
        <v>0</v>
      </c>
      <c r="F63" s="287">
        <f>data!M93</f>
        <v>48310.238615561873</v>
      </c>
      <c r="G63" s="287">
        <f>data!N93</f>
        <v>0</v>
      </c>
      <c r="H63" s="287">
        <f>data!O93</f>
        <v>0</v>
      </c>
      <c r="I63" s="287">
        <f>data!P93</f>
        <v>141672.62018592961</v>
      </c>
    </row>
    <row r="64" ht="20.1" customHeight="1">
      <c r="A64" s="279">
        <v>26</v>
      </c>
      <c r="B64" s="287" t="s">
        <v>294</v>
      </c>
      <c r="C64" s="294">
        <f>data!J94</f>
        <v>8.0492192041519939</v>
      </c>
      <c r="D64" s="294">
        <f>data!K94</f>
        <v>0</v>
      </c>
      <c r="E64" s="294">
        <f>data!L94</f>
        <v>0</v>
      </c>
      <c r="F64" s="294">
        <f>data!M94</f>
        <v>18.306877691792597</v>
      </c>
      <c r="G64" s="294">
        <f>data!N94</f>
        <v>0</v>
      </c>
      <c r="H64" s="294">
        <f>data!O94</f>
        <v>0</v>
      </c>
      <c r="I64" s="294">
        <f>data!P94</f>
        <v>53.685997095947805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PeaceHealth Southwest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747589</v>
      </c>
      <c r="D73" s="295">
        <f>data!R59</f>
        <v>2353447</v>
      </c>
      <c r="E73" s="299"/>
      <c r="F73" s="299"/>
      <c r="G73" s="287">
        <f>data!U59</f>
        <v>1140738</v>
      </c>
      <c r="H73" s="287">
        <f>data!V59</f>
        <v>55462</v>
      </c>
      <c r="I73" s="287">
        <f>data!W59</f>
        <v>9063</v>
      </c>
    </row>
    <row r="74" ht="20.1" customHeight="1">
      <c r="A74" s="279">
        <v>5</v>
      </c>
      <c r="B74" s="287" t="s">
        <v>262</v>
      </c>
      <c r="C74" s="294">
        <f>data!Q60</f>
        <v>27.300974586710176</v>
      </c>
      <c r="D74" s="294">
        <f>data!R60</f>
        <v>6.8558192069024706</v>
      </c>
      <c r="E74" s="294">
        <f>data!S60</f>
        <v>35.242611773179974</v>
      </c>
      <c r="F74" s="294">
        <f>data!T60</f>
        <v>31.689852053571443</v>
      </c>
      <c r="G74" s="294">
        <f>data!U60</f>
        <v>93.026738217719853</v>
      </c>
      <c r="H74" s="294">
        <f>data!V60</f>
        <v>17.476846979223879</v>
      </c>
      <c r="I74" s="294">
        <f>data!W60</f>
        <v>6.839787449690947</v>
      </c>
    </row>
    <row r="75" ht="20.1" customHeight="1">
      <c r="A75" s="279">
        <v>6</v>
      </c>
      <c r="B75" s="287" t="s">
        <v>263</v>
      </c>
      <c r="C75" s="287">
        <f>data!Q61</f>
        <v>3509107.4999999995</v>
      </c>
      <c r="D75" s="287">
        <f>data!R61</f>
        <v>421403.72</v>
      </c>
      <c r="E75" s="287">
        <f>data!S61</f>
        <v>2923041.55</v>
      </c>
      <c r="F75" s="287">
        <f>data!T61</f>
        <v>4025738.74</v>
      </c>
      <c r="G75" s="287">
        <f>data!U61</f>
        <v>7785748.84</v>
      </c>
      <c r="H75" s="287">
        <f>data!V61</f>
        <v>1017904.08</v>
      </c>
      <c r="I75" s="287">
        <f>data!W61</f>
        <v>802561.5</v>
      </c>
    </row>
    <row r="76" ht="20.1" customHeight="1">
      <c r="A76" s="279">
        <v>7</v>
      </c>
      <c r="B76" s="287" t="s">
        <v>11</v>
      </c>
      <c r="C76" s="287">
        <f>data!Q62</f>
        <v>795869</v>
      </c>
      <c r="D76" s="287">
        <f>data!R62</f>
        <v>169062</v>
      </c>
      <c r="E76" s="287">
        <f>data!S62</f>
        <v>627012</v>
      </c>
      <c r="F76" s="287">
        <f>data!T62</f>
        <v>936430</v>
      </c>
      <c r="G76" s="287">
        <f>data!U62</f>
        <v>2209485</v>
      </c>
      <c r="H76" s="287">
        <f>data!V62</f>
        <v>307562</v>
      </c>
      <c r="I76" s="287">
        <f>data!W62</f>
        <v>214732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1917318.02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58680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67629.85</v>
      </c>
      <c r="D78" s="287">
        <f>data!R64</f>
        <v>835087.49</v>
      </c>
      <c r="E78" s="287">
        <f>data!S64</f>
        <v>708143.98</v>
      </c>
      <c r="F78" s="287">
        <f>data!T64</f>
        <v>826837.13</v>
      </c>
      <c r="G78" s="287">
        <f>data!U64</f>
        <v>1909447.49</v>
      </c>
      <c r="H78" s="287">
        <f>data!V64</f>
        <v>35050</v>
      </c>
      <c r="I78" s="287">
        <f>data!W64</f>
        <v>114929.02</v>
      </c>
    </row>
    <row r="79" ht="20.1" customHeight="1">
      <c r="A79" s="279">
        <v>10</v>
      </c>
      <c r="B79" s="287" t="s">
        <v>524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525</v>
      </c>
      <c r="C80" s="287">
        <f>data!Q66</f>
        <v>0</v>
      </c>
      <c r="D80" s="287">
        <f>data!R66</f>
        <v>13736.94</v>
      </c>
      <c r="E80" s="287">
        <f>data!S66</f>
        <v>-11820.42</v>
      </c>
      <c r="F80" s="287">
        <f>data!T66</f>
        <v>20172.809999999998</v>
      </c>
      <c r="G80" s="287">
        <f>data!U66</f>
        <v>9787064.040000001</v>
      </c>
      <c r="H80" s="287">
        <f>data!V66</f>
        <v>40.91</v>
      </c>
      <c r="I80" s="287">
        <f>data!W66</f>
        <v>7502.91</v>
      </c>
    </row>
    <row r="81" ht="20.1" customHeight="1">
      <c r="A81" s="279">
        <v>12</v>
      </c>
      <c r="B81" s="287" t="s">
        <v>16</v>
      </c>
      <c r="C81" s="287">
        <f>data!Q67</f>
        <v>244468</v>
      </c>
      <c r="D81" s="287">
        <f>data!R67</f>
        <v>240993</v>
      </c>
      <c r="E81" s="287">
        <f>data!S67</f>
        <v>573419</v>
      </c>
      <c r="F81" s="287">
        <f>data!T67</f>
        <v>33468</v>
      </c>
      <c r="G81" s="287">
        <f>data!U67</f>
        <v>341658</v>
      </c>
      <c r="H81" s="287">
        <f>data!V67</f>
        <v>16966</v>
      </c>
      <c r="I81" s="287">
        <f>data!W67</f>
        <v>563342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226980.96</v>
      </c>
      <c r="G82" s="287">
        <f>data!U68</f>
        <v>13941.94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1285.73</v>
      </c>
      <c r="D83" s="287">
        <f>data!R69</f>
        <v>6671.07</v>
      </c>
      <c r="E83" s="287">
        <f>data!S69</f>
        <v>33131.35</v>
      </c>
      <c r="F83" s="287">
        <f>data!T69</f>
        <v>36287.04</v>
      </c>
      <c r="G83" s="287">
        <f>data!U69</f>
        <v>44306.73</v>
      </c>
      <c r="H83" s="287">
        <f>data!V69</f>
        <v>895.24</v>
      </c>
      <c r="I83" s="287">
        <f>data!W69</f>
        <v>829.3599999999999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48573.77</v>
      </c>
      <c r="G84" s="287">
        <f>data!U84</f>
        <v>1370.4</v>
      </c>
      <c r="H84" s="287">
        <f>data!V84</f>
        <v>0</v>
      </c>
      <c r="I84" s="287">
        <f>data!W84</f>
        <v>3616.54</v>
      </c>
    </row>
    <row r="85" ht="20.1" customHeight="1">
      <c r="A85" s="279">
        <v>16</v>
      </c>
      <c r="B85" s="295" t="s">
        <v>1011</v>
      </c>
      <c r="C85" s="287">
        <f>data!Q85</f>
        <v>4618360.08</v>
      </c>
      <c r="D85" s="287">
        <f>data!R85</f>
        <v>3604272.24</v>
      </c>
      <c r="E85" s="287">
        <f>data!S85</f>
        <v>4852927.459999999</v>
      </c>
      <c r="F85" s="287">
        <f>data!T85</f>
        <v>6057340.91</v>
      </c>
      <c r="G85" s="287">
        <f>data!U85</f>
        <v>22090281.640000004</v>
      </c>
      <c r="H85" s="287">
        <f>data!V85</f>
        <v>1437098.23</v>
      </c>
      <c r="I85" s="287">
        <f>data!W85</f>
        <v>1700280.25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2768123</v>
      </c>
      <c r="D87" s="295">
        <f>+data!M683</f>
        <v>1630922</v>
      </c>
      <c r="E87" s="295">
        <f>+data!M684</f>
        <v>4191194</v>
      </c>
      <c r="F87" s="295">
        <f>+data!M685</f>
        <v>1826408</v>
      </c>
      <c r="G87" s="295">
        <f>+data!M686</f>
        <v>8794213</v>
      </c>
      <c r="H87" s="295">
        <f>+data!M687</f>
        <v>584819</v>
      </c>
      <c r="I87" s="295">
        <f>+data!M688</f>
        <v>988813</v>
      </c>
    </row>
    <row r="88" ht="20.1" customHeight="1">
      <c r="A88" s="279">
        <v>19</v>
      </c>
      <c r="B88" s="295" t="s">
        <v>1013</v>
      </c>
      <c r="C88" s="287">
        <f>data!Q87</f>
        <v>5012682</v>
      </c>
      <c r="D88" s="287">
        <f>data!R87</f>
        <v>37308696.4</v>
      </c>
      <c r="E88" s="287">
        <f>data!S87</f>
        <v>0</v>
      </c>
      <c r="F88" s="287">
        <f>data!T87</f>
        <v>4480968</v>
      </c>
      <c r="G88" s="287">
        <f>data!U87</f>
        <v>108283806.72</v>
      </c>
      <c r="H88" s="287">
        <f>data!V87</f>
        <v>7650572</v>
      </c>
      <c r="I88" s="287">
        <f>data!W87</f>
        <v>8666821.4</v>
      </c>
    </row>
    <row r="89" ht="20.1" customHeight="1">
      <c r="A89" s="279">
        <v>20</v>
      </c>
      <c r="B89" s="295" t="s">
        <v>1014</v>
      </c>
      <c r="C89" s="287">
        <f>data!Q88</f>
        <v>10778368</v>
      </c>
      <c r="D89" s="287">
        <f>data!R88</f>
        <v>37683977.15</v>
      </c>
      <c r="E89" s="287">
        <f>data!S88</f>
        <v>0</v>
      </c>
      <c r="F89" s="287">
        <f>data!T88</f>
        <v>16491068</v>
      </c>
      <c r="G89" s="287">
        <f>data!U88</f>
        <v>85752664.35</v>
      </c>
      <c r="H89" s="287">
        <f>data!V88</f>
        <v>12599622</v>
      </c>
      <c r="I89" s="287">
        <f>data!W88</f>
        <v>23657933.85</v>
      </c>
    </row>
    <row r="90" ht="20.1" customHeight="1">
      <c r="A90" s="279">
        <v>21</v>
      </c>
      <c r="B90" s="295" t="s">
        <v>1015</v>
      </c>
      <c r="C90" s="287">
        <f>data!Q89</f>
        <v>15791050</v>
      </c>
      <c r="D90" s="287">
        <f>data!R89</f>
        <v>74992673.55</v>
      </c>
      <c r="E90" s="287">
        <f>data!S89</f>
        <v>0</v>
      </c>
      <c r="F90" s="287">
        <f>data!T89</f>
        <v>20972036</v>
      </c>
      <c r="G90" s="287">
        <f>data!U89</f>
        <v>194036471.07</v>
      </c>
      <c r="H90" s="287">
        <f>data!V89</f>
        <v>20250194</v>
      </c>
      <c r="I90" s="287">
        <f>data!W89</f>
        <v>32324755.25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8497.54</v>
      </c>
      <c r="D92" s="287">
        <f>data!R90</f>
        <v>1008.45</v>
      </c>
      <c r="E92" s="287">
        <f>data!S90</f>
        <v>19850.97</v>
      </c>
      <c r="F92" s="287">
        <f>data!T90</f>
        <v>108.91</v>
      </c>
      <c r="G92" s="287">
        <f>data!U90</f>
        <v>16163.77</v>
      </c>
      <c r="H92" s="287">
        <f>data!V90</f>
        <v>608</v>
      </c>
      <c r="I92" s="287">
        <f>data!W90</f>
        <v>1999.73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3626.9018156305383</v>
      </c>
      <c r="D94" s="287">
        <f>data!R92</f>
        <v>430.4244682546497</v>
      </c>
      <c r="E94" s="287">
        <f>data!S92</f>
        <v>8472.7484819168076</v>
      </c>
      <c r="F94" s="287">
        <f>data!T92</f>
        <v>46.484732845073033</v>
      </c>
      <c r="G94" s="287">
        <f>data!U92</f>
        <v>6898.98567825917</v>
      </c>
      <c r="H94" s="287">
        <f>data!V92</f>
        <v>259.5052572748545</v>
      </c>
      <c r="I94" s="287">
        <f>data!W92</f>
        <v>853.52047389842892</v>
      </c>
    </row>
    <row r="95" ht="20.1" customHeight="1">
      <c r="A95" s="279">
        <v>25</v>
      </c>
      <c r="B95" s="287" t="s">
        <v>1020</v>
      </c>
      <c r="C95" s="287">
        <f>data!Q93</f>
        <v>51122.9666532266</v>
      </c>
      <c r="D95" s="287">
        <f>data!R93</f>
        <v>0</v>
      </c>
      <c r="E95" s="287">
        <f>data!S93</f>
        <v>4.4404768672066144</v>
      </c>
      <c r="F95" s="287">
        <f>data!T93</f>
        <v>70219.382197865823</v>
      </c>
      <c r="G95" s="287">
        <f>data!U93</f>
        <v>0</v>
      </c>
      <c r="H95" s="287">
        <f>data!V93</f>
        <v>18.713438226085017</v>
      </c>
      <c r="I95" s="287">
        <f>data!W93</f>
        <v>3.4889411257393244</v>
      </c>
    </row>
    <row r="96" ht="20.1" customHeight="1">
      <c r="A96" s="279">
        <v>26</v>
      </c>
      <c r="B96" s="287" t="s">
        <v>294</v>
      </c>
      <c r="C96" s="294">
        <f>data!Q94</f>
        <v>19.372744258413469</v>
      </c>
      <c r="D96" s="294">
        <f>data!R94</f>
        <v>0</v>
      </c>
      <c r="E96" s="294">
        <f>data!S94</f>
        <v>0.0016826923076923078</v>
      </c>
      <c r="F96" s="294">
        <f>data!T94</f>
        <v>26.609217390109904</v>
      </c>
      <c r="G96" s="294">
        <f>data!U94</f>
        <v>0</v>
      </c>
      <c r="H96" s="294">
        <f>data!V94</f>
        <v>0.0070913461538461538</v>
      </c>
      <c r="I96" s="294">
        <f>data!W94</f>
        <v>0.0013221134958791203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PeaceHealth Southwest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55612</v>
      </c>
      <c r="D105" s="287">
        <f>data!Y59</f>
        <v>133667</v>
      </c>
      <c r="E105" s="287">
        <f>data!Z59</f>
        <v>6820</v>
      </c>
      <c r="F105" s="287">
        <f>data!AA59</f>
        <v>2344</v>
      </c>
      <c r="G105" s="299"/>
      <c r="H105" s="287">
        <f>data!AC59</f>
        <v>118046</v>
      </c>
      <c r="I105" s="287">
        <f>data!AD59</f>
        <v>3055</v>
      </c>
    </row>
    <row r="106" ht="20.1" customHeight="1">
      <c r="A106" s="279">
        <v>5</v>
      </c>
      <c r="B106" s="287" t="s">
        <v>262</v>
      </c>
      <c r="C106" s="294">
        <f>data!X60</f>
        <v>16.300335293440959</v>
      </c>
      <c r="D106" s="294">
        <f>data!Y60</f>
        <v>127.78935778313876</v>
      </c>
      <c r="E106" s="294">
        <f>data!Z60</f>
        <v>8.2334609429945154</v>
      </c>
      <c r="F106" s="294">
        <f>data!AA60</f>
        <v>3.9019851821771971</v>
      </c>
      <c r="G106" s="294">
        <f>data!AB60</f>
        <v>84.837679693681437</v>
      </c>
      <c r="H106" s="294">
        <f>data!AC60</f>
        <v>70.847590405563324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2142776.87</v>
      </c>
      <c r="D107" s="287">
        <f>data!Y61</f>
        <v>13749652.39</v>
      </c>
      <c r="E107" s="287">
        <f>data!Z61</f>
        <v>945007.48</v>
      </c>
      <c r="F107" s="287">
        <f>data!AA61</f>
        <v>484026.98</v>
      </c>
      <c r="G107" s="287">
        <f>data!AB61</f>
        <v>9450946.78</v>
      </c>
      <c r="H107" s="287">
        <f>data!AC61</f>
        <v>9072064.21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410179</v>
      </c>
      <c r="D108" s="287">
        <f>data!Y62</f>
        <v>3272332</v>
      </c>
      <c r="E108" s="287">
        <f>data!Z62</f>
        <v>241184</v>
      </c>
      <c r="F108" s="287">
        <f>data!AA62</f>
        <v>118000</v>
      </c>
      <c r="G108" s="287">
        <f>data!AB62</f>
        <v>1716637</v>
      </c>
      <c r="H108" s="287">
        <f>data!AC62</f>
        <v>1769386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240021.23</v>
      </c>
      <c r="E109" s="287">
        <f>data!Z63</f>
        <v>-1600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648383.09</v>
      </c>
      <c r="D110" s="287">
        <f>data!Y64</f>
        <v>29520541.36</v>
      </c>
      <c r="E110" s="287">
        <f>data!Z64</f>
        <v>30477.66</v>
      </c>
      <c r="F110" s="287">
        <f>data!AA64</f>
        <v>519998.48</v>
      </c>
      <c r="G110" s="287">
        <f>data!AB64</f>
        <v>30815614.58</v>
      </c>
      <c r="H110" s="287">
        <f>data!AC64</f>
        <v>1438876.5</v>
      </c>
      <c r="I110" s="287">
        <f>data!AD64</f>
        <v>51417.87</v>
      </c>
    </row>
    <row r="111" ht="20.1" customHeight="1">
      <c r="A111" s="279">
        <v>10</v>
      </c>
      <c r="B111" s="287" t="s">
        <v>524</v>
      </c>
      <c r="C111" s="287">
        <f>data!X65</f>
        <v>0</v>
      </c>
      <c r="D111" s="287">
        <f>data!Y65</f>
        <v>600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109270.83</v>
      </c>
      <c r="D112" s="287">
        <f>data!Y66</f>
        <v>33476.530000000028</v>
      </c>
      <c r="E112" s="287">
        <f>data!Z66</f>
        <v>2941.09</v>
      </c>
      <c r="F112" s="287">
        <f>data!AA66</f>
        <v>390829.45</v>
      </c>
      <c r="G112" s="287">
        <f>data!AB66</f>
        <v>2331878.1399999997</v>
      </c>
      <c r="H112" s="287">
        <f>data!AC66</f>
        <v>13150.600000000006</v>
      </c>
      <c r="I112" s="287">
        <f>data!AD66</f>
        <v>1610240.42</v>
      </c>
    </row>
    <row r="113" ht="20.1" customHeight="1">
      <c r="A113" s="279">
        <v>12</v>
      </c>
      <c r="B113" s="287" t="s">
        <v>16</v>
      </c>
      <c r="C113" s="287">
        <f>data!X67</f>
        <v>56002</v>
      </c>
      <c r="D113" s="287">
        <f>data!Y67</f>
        <v>1873620</v>
      </c>
      <c r="E113" s="287">
        <f>data!Z67</f>
        <v>196284</v>
      </c>
      <c r="F113" s="287">
        <f>data!AA67</f>
        <v>123434</v>
      </c>
      <c r="G113" s="287">
        <f>data!AB67</f>
        <v>382162</v>
      </c>
      <c r="H113" s="287">
        <f>data!AC67</f>
        <v>293793</v>
      </c>
      <c r="I113" s="287">
        <f>data!AD67</f>
        <v>5964</v>
      </c>
    </row>
    <row r="114" ht="20.1" customHeight="1">
      <c r="A114" s="279">
        <v>13</v>
      </c>
      <c r="B114" s="287" t="s">
        <v>1009</v>
      </c>
      <c r="C114" s="287">
        <f>data!X68</f>
        <v>125.01</v>
      </c>
      <c r="D114" s="287">
        <f>data!Y68</f>
        <v>1299479.75</v>
      </c>
      <c r="E114" s="287">
        <f>data!Z68</f>
        <v>0</v>
      </c>
      <c r="F114" s="287">
        <f>data!AA68</f>
        <v>0</v>
      </c>
      <c r="G114" s="287">
        <f>data!AB68</f>
        <v>735038.49</v>
      </c>
      <c r="H114" s="287">
        <f>data!AC68</f>
        <v>92785.22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8661.18</v>
      </c>
      <c r="D115" s="287">
        <f>data!Y69</f>
        <v>136682.17</v>
      </c>
      <c r="E115" s="287">
        <f>data!Z69</f>
        <v>8437.3599999999988</v>
      </c>
      <c r="F115" s="287">
        <f>data!AA69</f>
        <v>1216.93</v>
      </c>
      <c r="G115" s="287">
        <f>data!AB69</f>
        <v>28559.49</v>
      </c>
      <c r="H115" s="287">
        <f>data!AC69</f>
        <v>13240.75</v>
      </c>
      <c r="I115" s="287">
        <f>data!AD69</f>
        <v>20.79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-19578.91</v>
      </c>
      <c r="E116" s="287">
        <f>-data!Z84</f>
        <v>0</v>
      </c>
      <c r="F116" s="287">
        <f>-data!AA84</f>
        <v>0</v>
      </c>
      <c r="G116" s="287">
        <f>-data!AB84</f>
        <v>-6410489.16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3375397.98</v>
      </c>
      <c r="D117" s="287">
        <f>data!Y85</f>
        <v>50106826.520000011</v>
      </c>
      <c r="E117" s="287">
        <f>data!Z85</f>
        <v>1422731.59</v>
      </c>
      <c r="F117" s="287">
        <f>data!AA85</f>
        <v>1637505.8399999999</v>
      </c>
      <c r="G117" s="287">
        <f>data!AB85</f>
        <v>39050347.320000008</v>
      </c>
      <c r="H117" s="287">
        <f>data!AC85</f>
        <v>12693296.280000001</v>
      </c>
      <c r="I117" s="287">
        <f>data!AD85</f>
        <v>1667643.08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2798315</v>
      </c>
      <c r="D119" s="295">
        <f>+data!M690</f>
        <v>15944312</v>
      </c>
      <c r="E119" s="295">
        <f>+data!M691</f>
        <v>1880401</v>
      </c>
      <c r="F119" s="295">
        <f>+data!M692</f>
        <v>882273</v>
      </c>
      <c r="G119" s="295">
        <f>+data!M693</f>
        <v>11283506</v>
      </c>
      <c r="H119" s="295">
        <f>+data!M694</f>
        <v>3389574</v>
      </c>
      <c r="I119" s="295">
        <f>+data!M695</f>
        <v>452527</v>
      </c>
    </row>
    <row r="120" ht="20.1" customHeight="1">
      <c r="A120" s="279">
        <v>19</v>
      </c>
      <c r="B120" s="295" t="s">
        <v>1013</v>
      </c>
      <c r="C120" s="287">
        <f>data!X87</f>
        <v>50415992.15</v>
      </c>
      <c r="D120" s="287">
        <f>data!Y87</f>
        <v>210688090.73</v>
      </c>
      <c r="E120" s="287">
        <f>data!Z87</f>
        <v>546331</v>
      </c>
      <c r="F120" s="287">
        <f>data!AA87</f>
        <v>1642527.2</v>
      </c>
      <c r="G120" s="287">
        <f>data!AB87</f>
        <v>74263575.73</v>
      </c>
      <c r="H120" s="287">
        <f>data!AC87</f>
        <v>67758776</v>
      </c>
      <c r="I120" s="287">
        <f>data!AD87</f>
        <v>7470029</v>
      </c>
    </row>
    <row r="121" ht="20.1" customHeight="1">
      <c r="A121" s="279">
        <v>20</v>
      </c>
      <c r="B121" s="295" t="s">
        <v>1014</v>
      </c>
      <c r="C121" s="287">
        <f>data!X88</f>
        <v>107351576.65</v>
      </c>
      <c r="D121" s="287">
        <f>data!Y88</f>
        <v>194982326.49</v>
      </c>
      <c r="E121" s="287">
        <f>data!Z88</f>
        <v>14951847</v>
      </c>
      <c r="F121" s="287">
        <f>data!AA88</f>
        <v>9014953.5</v>
      </c>
      <c r="G121" s="287">
        <f>data!AB88</f>
        <v>86298067.7</v>
      </c>
      <c r="H121" s="287">
        <f>data!AC88</f>
        <v>5381563</v>
      </c>
      <c r="I121" s="287">
        <f>data!AD88</f>
        <v>1870817</v>
      </c>
    </row>
    <row r="122" ht="20.1" customHeight="1">
      <c r="A122" s="279">
        <v>21</v>
      </c>
      <c r="B122" s="295" t="s">
        <v>1015</v>
      </c>
      <c r="C122" s="287">
        <f>data!X89</f>
        <v>157767568.8</v>
      </c>
      <c r="D122" s="287">
        <f>data!Y89</f>
        <v>405670417.22</v>
      </c>
      <c r="E122" s="287">
        <f>data!Z89</f>
        <v>15498178</v>
      </c>
      <c r="F122" s="287">
        <f>data!AA89</f>
        <v>10657480.7</v>
      </c>
      <c r="G122" s="287">
        <f>data!AB89</f>
        <v>160561643.43</v>
      </c>
      <c r="H122" s="287">
        <f>data!AC89</f>
        <v>73140339</v>
      </c>
      <c r="I122" s="287">
        <f>data!AD89</f>
        <v>9340846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2583.45</v>
      </c>
      <c r="D124" s="287">
        <f>data!Y90</f>
        <v>12051</v>
      </c>
      <c r="E124" s="287">
        <f>data!Z90</f>
        <v>8730</v>
      </c>
      <c r="F124" s="287">
        <f>data!AA90</f>
        <v>2812.94</v>
      </c>
      <c r="G124" s="287">
        <f>data!AB90</f>
        <v>13397.6</v>
      </c>
      <c r="H124" s="287">
        <f>data!AC90</f>
        <v>1687.24</v>
      </c>
      <c r="I124" s="287">
        <f>data!AD90</f>
        <v>315.34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1102.6625935965835</v>
      </c>
      <c r="D126" s="287">
        <f>data!Y92</f>
        <v>5143.5819990448545</v>
      </c>
      <c r="E126" s="287">
        <f>data!Z92</f>
        <v>3726.1198947524335</v>
      </c>
      <c r="F126" s="287">
        <f>data!AA92</f>
        <v>1200.6130236821205</v>
      </c>
      <c r="G126" s="287">
        <f>data!AB92</f>
        <v>5718.3349257657746</v>
      </c>
      <c r="H126" s="287">
        <f>data!AC92</f>
        <v>720.14416165201567</v>
      </c>
      <c r="I126" s="287">
        <f>data!AD92</f>
        <v>134.59274313988917</v>
      </c>
    </row>
    <row r="127" ht="20.1" customHeight="1">
      <c r="A127" s="279">
        <v>25</v>
      </c>
      <c r="B127" s="287" t="s">
        <v>1020</v>
      </c>
      <c r="C127" s="287">
        <f>data!X93</f>
        <v>8157.4091566447505</v>
      </c>
      <c r="D127" s="287">
        <f>data!Y93</f>
        <v>38449.838288527753</v>
      </c>
      <c r="E127" s="287">
        <f>data!Z93</f>
        <v>637.97860125151328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3.0912016995192308</v>
      </c>
      <c r="D128" s="294">
        <f>data!Y94</f>
        <v>14.570337613495864</v>
      </c>
      <c r="E128" s="294">
        <f>data!Z94</f>
        <v>0.24175819780219762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PeaceHealth Southwest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193084</v>
      </c>
      <c r="D137" s="287">
        <f>data!AF59</f>
        <v>10364</v>
      </c>
      <c r="E137" s="287">
        <f>data!AG59</f>
        <v>76244</v>
      </c>
      <c r="F137" s="287">
        <f>data!AH59</f>
        <v>0</v>
      </c>
      <c r="G137" s="287">
        <f>data!AI59</f>
        <v>33267</v>
      </c>
      <c r="H137" s="287">
        <f>data!AJ59</f>
        <v>176601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75.040310118990433</v>
      </c>
      <c r="D138" s="294">
        <f>data!AF60</f>
        <v>10.50704142325548</v>
      </c>
      <c r="E138" s="294">
        <f>data!AG60</f>
        <v>193.46741009221861</v>
      </c>
      <c r="F138" s="294">
        <f>data!AH60</f>
        <v>0</v>
      </c>
      <c r="G138" s="294">
        <f>data!AI60</f>
        <v>70.354396223777471</v>
      </c>
      <c r="H138" s="294">
        <f>data!AJ60</f>
        <v>320.20660591234906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7467255.77</v>
      </c>
      <c r="D139" s="287">
        <f>data!AF61</f>
        <v>1820149.59</v>
      </c>
      <c r="E139" s="287">
        <f>data!AG61</f>
        <v>31245997.57</v>
      </c>
      <c r="F139" s="287">
        <f>data!AH61</f>
        <v>0</v>
      </c>
      <c r="G139" s="287">
        <f>data!AI61</f>
        <v>8471960.41</v>
      </c>
      <c r="H139" s="287">
        <f>data!AJ61</f>
        <v>45397858.79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1921681</v>
      </c>
      <c r="D140" s="287">
        <f>data!AF62</f>
        <v>406535</v>
      </c>
      <c r="E140" s="287">
        <f>data!AG62</f>
        <v>5762361</v>
      </c>
      <c r="F140" s="287">
        <f>data!AH62</f>
        <v>0</v>
      </c>
      <c r="G140" s="287">
        <f>data!AI62</f>
        <v>1934596</v>
      </c>
      <c r="H140" s="287">
        <f>data!AJ62</f>
        <v>8476919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3225724.86</v>
      </c>
      <c r="F141" s="287">
        <f>data!AH63</f>
        <v>0</v>
      </c>
      <c r="G141" s="287">
        <f>data!AI63</f>
        <v>0</v>
      </c>
      <c r="H141" s="287">
        <f>data!AJ63</f>
        <v>3324475.75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100733.01</v>
      </c>
      <c r="D142" s="287">
        <f>data!AF64</f>
        <v>10675.88</v>
      </c>
      <c r="E142" s="287">
        <f>data!AG64</f>
        <v>2729857.77</v>
      </c>
      <c r="F142" s="287">
        <f>data!AH64</f>
        <v>0</v>
      </c>
      <c r="G142" s="287">
        <f>data!AI64</f>
        <v>1419004.69</v>
      </c>
      <c r="H142" s="287">
        <f>data!AJ64</f>
        <v>7090798.93</v>
      </c>
      <c r="I142" s="287">
        <f>data!AK64</f>
        <v>0</v>
      </c>
    </row>
    <row r="143" ht="20.1" customHeight="1">
      <c r="A143" s="279">
        <v>10</v>
      </c>
      <c r="B143" s="287" t="s">
        <v>524</v>
      </c>
      <c r="C143" s="287">
        <f>data!AE65</f>
        <v>0</v>
      </c>
      <c r="D143" s="287">
        <f>data!AF65</f>
        <v>0</v>
      </c>
      <c r="E143" s="287">
        <f>data!AG65</f>
        <v>1738.32</v>
      </c>
      <c r="F143" s="287">
        <f>data!AH65</f>
        <v>0</v>
      </c>
      <c r="G143" s="287">
        <f>data!AI65</f>
        <v>0</v>
      </c>
      <c r="H143" s="287">
        <f>data!AJ65</f>
        <v>23723.09</v>
      </c>
      <c r="I143" s="287">
        <f>data!AK65</f>
        <v>0</v>
      </c>
    </row>
    <row r="144" ht="20.1" customHeight="1">
      <c r="A144" s="279">
        <v>11</v>
      </c>
      <c r="B144" s="287" t="s">
        <v>525</v>
      </c>
      <c r="C144" s="287">
        <f>data!AE66</f>
        <v>42988.199999999953</v>
      </c>
      <c r="D144" s="287">
        <f>data!AF66</f>
        <v>1047.47</v>
      </c>
      <c r="E144" s="287">
        <f>data!AG66</f>
        <v>718501.79000000015</v>
      </c>
      <c r="F144" s="287">
        <f>data!AH66</f>
        <v>0</v>
      </c>
      <c r="G144" s="287">
        <f>data!AI66</f>
        <v>646395.49</v>
      </c>
      <c r="H144" s="287">
        <f>data!AJ66</f>
        <v>354405.18000000017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101890</v>
      </c>
      <c r="D145" s="287">
        <f>data!AF67</f>
        <v>84622</v>
      </c>
      <c r="E145" s="287">
        <f>data!AG67</f>
        <v>546869</v>
      </c>
      <c r="F145" s="287">
        <f>data!AH67</f>
        <v>0</v>
      </c>
      <c r="G145" s="287">
        <f>data!AI67</f>
        <v>917578</v>
      </c>
      <c r="H145" s="287">
        <f>data!AJ67</f>
        <v>288754</v>
      </c>
      <c r="I145" s="287">
        <f>data!AK67</f>
        <v>0</v>
      </c>
    </row>
    <row r="146" ht="20.1" customHeight="1">
      <c r="A146" s="279">
        <v>13</v>
      </c>
      <c r="B146" s="287" t="s">
        <v>1009</v>
      </c>
      <c r="C146" s="287">
        <f>data!AE68</f>
        <v>440858.71</v>
      </c>
      <c r="D146" s="287">
        <f>data!AF68</f>
        <v>0</v>
      </c>
      <c r="E146" s="287">
        <f>data!AG68</f>
        <v>399496.82999999996</v>
      </c>
      <c r="F146" s="287">
        <f>data!AH68</f>
        <v>0</v>
      </c>
      <c r="G146" s="287">
        <f>data!AI68</f>
        <v>104608.75000000002</v>
      </c>
      <c r="H146" s="287">
        <f>data!AJ68</f>
        <v>3469062.42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22165.51</v>
      </c>
      <c r="D147" s="287">
        <f>data!AF69</f>
        <v>6941.4</v>
      </c>
      <c r="E147" s="287">
        <f>data!AG69</f>
        <v>114571.53000000001</v>
      </c>
      <c r="F147" s="287">
        <f>data!AH69</f>
        <v>0</v>
      </c>
      <c r="G147" s="287">
        <f>data!AI69</f>
        <v>29620.95</v>
      </c>
      <c r="H147" s="287">
        <f>data!AJ69</f>
        <v>213479.23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-16480.34</v>
      </c>
      <c r="D148" s="287">
        <f>-data!AF84</f>
        <v>-27924.85</v>
      </c>
      <c r="E148" s="287">
        <f>-data!AG84</f>
        <v>-1281772.07</v>
      </c>
      <c r="F148" s="287">
        <f>-data!AH84</f>
        <v>0</v>
      </c>
      <c r="G148" s="287">
        <f>-data!AI84</f>
        <v>0</v>
      </c>
      <c r="H148" s="287">
        <f>-data!AJ84</f>
        <v>-1599503.58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10081091.86</v>
      </c>
      <c r="D149" s="287">
        <f>data!AF85</f>
        <v>2302046.4899999998</v>
      </c>
      <c r="E149" s="287">
        <f>data!AG85</f>
        <v>43463346.6</v>
      </c>
      <c r="F149" s="287">
        <f>data!AH85</f>
        <v>0</v>
      </c>
      <c r="G149" s="287">
        <f>data!AI85</f>
        <v>13523764.29</v>
      </c>
      <c r="H149" s="287">
        <f>data!AJ85</f>
        <v>67039972.81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2445576</v>
      </c>
      <c r="D151" s="295">
        <f>+data!M697</f>
        <v>1312292</v>
      </c>
      <c r="E151" s="295">
        <f>+data!M698</f>
        <v>17595946</v>
      </c>
      <c r="F151" s="295">
        <f>+data!M699</f>
        <v>0</v>
      </c>
      <c r="G151" s="295">
        <f>+data!M700</f>
        <v>8582851</v>
      </c>
      <c r="H151" s="295">
        <f>+data!M701</f>
        <v>13466957</v>
      </c>
      <c r="I151" s="295">
        <f>+data!M702</f>
        <v>0</v>
      </c>
    </row>
    <row r="152" ht="20.1" customHeight="1">
      <c r="A152" s="279">
        <v>19</v>
      </c>
      <c r="B152" s="295" t="s">
        <v>1013</v>
      </c>
      <c r="C152" s="287">
        <f>data!AE87</f>
        <v>22632810</v>
      </c>
      <c r="D152" s="287">
        <f>data!AF87</f>
        <v>135</v>
      </c>
      <c r="E152" s="287">
        <f>data!AG87</f>
        <v>75071872</v>
      </c>
      <c r="F152" s="287">
        <f>data!AH87</f>
        <v>0</v>
      </c>
      <c r="G152" s="287">
        <f>data!AI87</f>
        <v>8660199.84</v>
      </c>
      <c r="H152" s="287">
        <f>data!AJ87</f>
        <v>53416.58</v>
      </c>
      <c r="I152" s="287">
        <f>data!AK87</f>
        <v>0</v>
      </c>
    </row>
    <row r="153" ht="20.1" customHeight="1">
      <c r="A153" s="279">
        <v>20</v>
      </c>
      <c r="B153" s="295" t="s">
        <v>1014</v>
      </c>
      <c r="C153" s="287">
        <f>data!AE88</f>
        <v>15706387</v>
      </c>
      <c r="D153" s="287">
        <f>data!AF88</f>
        <v>5463089.93</v>
      </c>
      <c r="E153" s="287">
        <f>data!AG88</f>
        <v>219034016.39</v>
      </c>
      <c r="F153" s="287">
        <f>data!AH88</f>
        <v>0</v>
      </c>
      <c r="G153" s="287">
        <f>data!AI88</f>
        <v>21211299.659999996</v>
      </c>
      <c r="H153" s="287">
        <f>data!AJ88</f>
        <v>95851946</v>
      </c>
      <c r="I153" s="287">
        <f>data!AK88</f>
        <v>0</v>
      </c>
    </row>
    <row r="154" ht="20.1" customHeight="1">
      <c r="A154" s="279">
        <v>21</v>
      </c>
      <c r="B154" s="295" t="s">
        <v>1015</v>
      </c>
      <c r="C154" s="287">
        <f>data!AE89</f>
        <v>38339197</v>
      </c>
      <c r="D154" s="287">
        <f>data!AF89</f>
        <v>5463224.93</v>
      </c>
      <c r="E154" s="287">
        <f>data!AG89</f>
        <v>294105888.39</v>
      </c>
      <c r="F154" s="287">
        <f>data!AH89</f>
        <v>0</v>
      </c>
      <c r="G154" s="287">
        <f>data!AI89</f>
        <v>29871499.499999996</v>
      </c>
      <c r="H154" s="287">
        <f>data!AJ89</f>
        <v>95905362.58</v>
      </c>
      <c r="I154" s="287">
        <f>data!AK89</f>
        <v>0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1020.31</v>
      </c>
      <c r="D156" s="287">
        <f>data!AF90</f>
        <v>4428.27</v>
      </c>
      <c r="E156" s="287">
        <f>data!AG90</f>
        <v>19360</v>
      </c>
      <c r="F156" s="287">
        <f>data!AH90</f>
        <v>0</v>
      </c>
      <c r="G156" s="287">
        <f>data!AI90</f>
        <v>22076.09</v>
      </c>
      <c r="H156" s="287">
        <f>data!AJ90</f>
        <v>0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1670</v>
      </c>
      <c r="E157" s="287">
        <f>data!AG91</f>
        <v>55216</v>
      </c>
      <c r="F157" s="287">
        <f>data!AH91</f>
        <v>0</v>
      </c>
      <c r="G157" s="287">
        <f>data!AI91</f>
        <v>36018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435.48652804293874</v>
      </c>
      <c r="D158" s="287">
        <f>data!AF92</f>
        <v>1890.0647132113818</v>
      </c>
      <c r="E158" s="287">
        <f>data!AG92</f>
        <v>8263.1937184887884</v>
      </c>
      <c r="F158" s="287">
        <f>data!AH92</f>
        <v>0</v>
      </c>
      <c r="G158" s="287">
        <f>data!AI92</f>
        <v>9422.469432685597</v>
      </c>
      <c r="H158" s="287">
        <f>data!AJ92</f>
        <v>0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2968.5961396455382</v>
      </c>
      <c r="D159" s="287">
        <f>data!AF93</f>
        <v>5954.9998584238137</v>
      </c>
      <c r="E159" s="287">
        <f>data!AG93</f>
        <v>197189.61197762939</v>
      </c>
      <c r="F159" s="287">
        <f>data!AH93</f>
        <v>0</v>
      </c>
      <c r="G159" s="287">
        <f>data!AI93</f>
        <v>123507.59959909736</v>
      </c>
      <c r="H159" s="287">
        <f>data!AJ93</f>
        <v>28730.378888924348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1.1249318571428557</v>
      </c>
      <c r="D160" s="294">
        <f>data!AF94</f>
        <v>2.2566117905219758</v>
      </c>
      <c r="E160" s="294">
        <f>data!AG94</f>
        <v>74.723831055631734</v>
      </c>
      <c r="F160" s="294">
        <f>data!AH94</f>
        <v>0</v>
      </c>
      <c r="G160" s="294">
        <f>data!AI94</f>
        <v>46.802470545844784</v>
      </c>
      <c r="H160" s="294">
        <f>data!AJ94</f>
        <v>10.887206261675818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PeaceHealth Southwest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27768</v>
      </c>
      <c r="G169" s="287">
        <f>data!AP59</f>
        <v>123703</v>
      </c>
      <c r="H169" s="287">
        <f>data!AQ59</f>
        <v>0</v>
      </c>
      <c r="I169" s="287">
        <f>data!AR59</f>
        <v>112935.75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15.250609555405235</v>
      </c>
      <c r="G170" s="294">
        <f>data!AP60</f>
        <v>167.55375765840677</v>
      </c>
      <c r="H170" s="294">
        <f>data!AQ60</f>
        <v>0</v>
      </c>
      <c r="I170" s="294">
        <f>data!AR60</f>
        <v>198.30970766981457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1948793.04</v>
      </c>
      <c r="G171" s="287">
        <f>data!AP61</f>
        <v>22189575.06</v>
      </c>
      <c r="H171" s="287">
        <f>data!AQ61</f>
        <v>0</v>
      </c>
      <c r="I171" s="287">
        <f>data!AR61</f>
        <v>21087384.87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451715</v>
      </c>
      <c r="G172" s="287">
        <f>data!AP62</f>
        <v>5829741</v>
      </c>
      <c r="H172" s="287">
        <f>data!AQ62</f>
        <v>0</v>
      </c>
      <c r="I172" s="287">
        <f>data!AR62</f>
        <v>5172048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248071.32</v>
      </c>
      <c r="H173" s="287">
        <f>data!AQ63</f>
        <v>0</v>
      </c>
      <c r="I173" s="287">
        <f>data!AR63</f>
        <v>238307.56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54826.08</v>
      </c>
      <c r="G174" s="287">
        <f>data!AP64</f>
        <v>3142521.85</v>
      </c>
      <c r="H174" s="287">
        <f>data!AQ64</f>
        <v>0</v>
      </c>
      <c r="I174" s="287">
        <f>data!AR64</f>
        <v>1968164.18</v>
      </c>
    </row>
    <row r="175" ht="20.1" customHeight="1">
      <c r="A175" s="279">
        <v>10</v>
      </c>
      <c r="B175" s="287" t="s">
        <v>524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38470.5</v>
      </c>
      <c r="H175" s="287">
        <f>data!AQ65</f>
        <v>0</v>
      </c>
      <c r="I175" s="287">
        <f>data!AR65</f>
        <v>2672.83</v>
      </c>
    </row>
    <row r="176" ht="20.1" customHeight="1">
      <c r="A176" s="279">
        <v>11</v>
      </c>
      <c r="B176" s="287" t="s">
        <v>525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36.08</v>
      </c>
      <c r="G176" s="287">
        <f>data!AP66</f>
        <v>604363.14999999991</v>
      </c>
      <c r="H176" s="287">
        <f>data!AQ66</f>
        <v>0</v>
      </c>
      <c r="I176" s="287">
        <f>data!AR66</f>
        <v>1532317.22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182169</v>
      </c>
      <c r="G177" s="287">
        <f>data!AP67</f>
        <v>211927</v>
      </c>
      <c r="H177" s="287">
        <f>data!AQ67</f>
        <v>0</v>
      </c>
      <c r="I177" s="287">
        <f>data!AR67</f>
        <v>38456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2652230.13</v>
      </c>
      <c r="H178" s="287">
        <f>data!AQ68</f>
        <v>0</v>
      </c>
      <c r="I178" s="287">
        <f>data!AR68</f>
        <v>717140.3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744.66</v>
      </c>
      <c r="G179" s="287">
        <f>data!AP69</f>
        <v>52145.659999999989</v>
      </c>
      <c r="H179" s="287">
        <f>data!AQ69</f>
        <v>0</v>
      </c>
      <c r="I179" s="287">
        <f>data!AR69</f>
        <v>622608.06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2638283.8600000003</v>
      </c>
      <c r="G181" s="287">
        <f>data!AP85</f>
        <v>34256513.98</v>
      </c>
      <c r="H181" s="287">
        <f>data!AQ85</f>
        <v>0</v>
      </c>
      <c r="I181" s="287">
        <f>data!AR85</f>
        <v>31376546.059999995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1537536</v>
      </c>
      <c r="G183" s="295">
        <f>+data!M707</f>
        <v>7578040</v>
      </c>
      <c r="H183" s="295">
        <f>+data!M708</f>
        <v>0</v>
      </c>
      <c r="I183" s="295">
        <f>+data!M709</f>
        <v>7977906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3201260</v>
      </c>
      <c r="G184" s="287">
        <f>data!AP87</f>
        <v>77483</v>
      </c>
      <c r="H184" s="287">
        <f>data!AQ87</f>
        <v>0</v>
      </c>
      <c r="I184" s="287">
        <f>data!AR87</f>
        <v>416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775028</v>
      </c>
      <c r="G185" s="287">
        <f>data!AP88</f>
        <v>97740054.19</v>
      </c>
      <c r="H185" s="287">
        <f>data!AQ88</f>
        <v>0</v>
      </c>
      <c r="I185" s="287">
        <f>data!AR88</f>
        <v>70435891.69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3976288</v>
      </c>
      <c r="G186" s="287">
        <f>data!AP89</f>
        <v>97817537.19</v>
      </c>
      <c r="H186" s="287">
        <f>data!AQ89</f>
        <v>0</v>
      </c>
      <c r="I186" s="287">
        <f>data!AR89</f>
        <v>70436307.69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4661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1989.3980331547646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35506.754681714716</v>
      </c>
      <c r="G191" s="287">
        <f>data!AP93</f>
        <v>40600.61531079319</v>
      </c>
      <c r="H191" s="287">
        <f>data!AQ93</f>
        <v>0</v>
      </c>
      <c r="I191" s="287">
        <f>data!AR93</f>
        <v>219603.60845400972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13.455073578983511</v>
      </c>
      <c r="G192" s="294">
        <f>data!AP94</f>
        <v>15.385361778502739</v>
      </c>
      <c r="H192" s="294">
        <f>data!AQ94</f>
        <v>0</v>
      </c>
      <c r="I192" s="294">
        <f>data!AR94</f>
        <v>83.217481756524521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PeaceHealth Southwest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328157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5.5732260815590573</v>
      </c>
      <c r="G202" s="294">
        <f>data!AW60</f>
        <v>0</v>
      </c>
      <c r="H202" s="294">
        <f>data!AX60</f>
        <v>0</v>
      </c>
      <c r="I202" s="294">
        <f>data!AY60</f>
        <v>86.320908506524816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485009.28</v>
      </c>
      <c r="G203" s="287">
        <f>data!AW61</f>
        <v>0</v>
      </c>
      <c r="H203" s="287">
        <f>data!AX61</f>
        <v>0</v>
      </c>
      <c r="I203" s="287">
        <f>data!AY61</f>
        <v>4283022.14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145032</v>
      </c>
      <c r="G204" s="287">
        <f>data!AW62</f>
        <v>0</v>
      </c>
      <c r="H204" s="287">
        <f>data!AX62</f>
        <v>0</v>
      </c>
      <c r="I204" s="287">
        <f>data!AY62</f>
        <v>1431355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51888.24</v>
      </c>
      <c r="G206" s="287">
        <f>data!AW64</f>
        <v>0</v>
      </c>
      <c r="H206" s="287">
        <f>data!AX64</f>
        <v>0</v>
      </c>
      <c r="I206" s="287">
        <f>data!AY64</f>
        <v>215545.15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7247.86</v>
      </c>
      <c r="G208" s="287">
        <f>data!AW66</f>
        <v>0</v>
      </c>
      <c r="H208" s="287">
        <f>data!AX66</f>
        <v>0</v>
      </c>
      <c r="I208" s="287">
        <f>data!AY66</f>
        <v>1400034.21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20360</v>
      </c>
      <c r="G209" s="287">
        <f>data!AW67</f>
        <v>0</v>
      </c>
      <c r="H209" s="287">
        <f>data!AX67</f>
        <v>0</v>
      </c>
      <c r="I209" s="287">
        <f>data!AY67</f>
        <v>459143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1553.28</v>
      </c>
      <c r="G211" s="287">
        <f>data!AW69</f>
        <v>0</v>
      </c>
      <c r="H211" s="287">
        <f>data!AX69</f>
        <v>0</v>
      </c>
      <c r="I211" s="287">
        <f>data!AY69</f>
        <v>2250.21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-12546.43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711090.66</v>
      </c>
      <c r="G213" s="287">
        <f>data!AW85</f>
        <v>0</v>
      </c>
      <c r="H213" s="287">
        <f>data!AX85</f>
        <v>0</v>
      </c>
      <c r="I213" s="287">
        <f>data!AY85</f>
        <v>7778803.28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324406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967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4105754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4106721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573</v>
      </c>
      <c r="G220" s="287">
        <f>data!AW90</f>
        <v>0</v>
      </c>
      <c r="H220" s="287">
        <f>data!AX90</f>
        <v>0</v>
      </c>
      <c r="I220" s="287">
        <f>data!AY90</f>
        <v>19713.6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909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244.56663226725595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3252.0395475545351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1.2323410513392885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PeaceHealth Southwest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846278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64.05322829670331</v>
      </c>
      <c r="F234" s="294">
        <f>data!BC60</f>
        <v>0</v>
      </c>
      <c r="G234" s="294">
        <f>data!BD60</f>
        <v>0</v>
      </c>
      <c r="H234" s="294">
        <f>data!BE60</f>
        <v>54.356725556833936</v>
      </c>
      <c r="I234" s="294">
        <f>data!BF60</f>
        <v>94.084875429601766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8018386.63</v>
      </c>
      <c r="F235" s="287">
        <f>data!BC61</f>
        <v>0</v>
      </c>
      <c r="G235" s="287">
        <f>data!BD61</f>
        <v>0</v>
      </c>
      <c r="H235" s="287">
        <f>data!BE61</f>
        <v>3848435.54</v>
      </c>
      <c r="I235" s="287">
        <f>data!BF61</f>
        <v>5281953.55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1797532</v>
      </c>
      <c r="F236" s="287">
        <f>data!BC62</f>
        <v>0</v>
      </c>
      <c r="G236" s="287">
        <f>data!BD62</f>
        <v>0</v>
      </c>
      <c r="H236" s="287">
        <f>data!BE62</f>
        <v>1262800</v>
      </c>
      <c r="I236" s="287">
        <f>data!BF62</f>
        <v>1645427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37197.42</v>
      </c>
      <c r="F238" s="287">
        <f>data!BC64</f>
        <v>0</v>
      </c>
      <c r="G238" s="287">
        <f>data!BD64</f>
        <v>0</v>
      </c>
      <c r="H238" s="287">
        <f>data!BE64</f>
        <v>991330.55</v>
      </c>
      <c r="I238" s="287">
        <f>data!BF64</f>
        <v>775856.33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2898098.1</v>
      </c>
      <c r="I239" s="287">
        <f>data!BF65</f>
        <v>838982.6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0</v>
      </c>
      <c r="E240" s="287">
        <f>data!BB66</f>
        <v>1316187.87</v>
      </c>
      <c r="F240" s="287">
        <f>data!BC66</f>
        <v>0</v>
      </c>
      <c r="G240" s="287">
        <f>data!BD66</f>
        <v>0</v>
      </c>
      <c r="H240" s="287">
        <f>data!BE66</f>
        <v>12190319.53</v>
      </c>
      <c r="I240" s="287">
        <f>data!BF66</f>
        <v>2358665.26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901</v>
      </c>
      <c r="F241" s="287">
        <f>data!BC67</f>
        <v>0</v>
      </c>
      <c r="G241" s="287">
        <f>data!BD67</f>
        <v>145755</v>
      </c>
      <c r="H241" s="287">
        <f>data!BE67</f>
        <v>6641952</v>
      </c>
      <c r="I241" s="287">
        <f>data!BF67</f>
        <v>646971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2332210.1599999997</v>
      </c>
      <c r="I242" s="287">
        <f>data!BF68</f>
        <v>3614.85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8911.84</v>
      </c>
      <c r="F243" s="287">
        <f>data!BC69</f>
        <v>0</v>
      </c>
      <c r="G243" s="287">
        <f>data!BD69</f>
        <v>0</v>
      </c>
      <c r="H243" s="287">
        <f>data!BE69</f>
        <v>22908.160000000033</v>
      </c>
      <c r="I243" s="287">
        <f>data!BF69</f>
        <v>2647.39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-1894.27</v>
      </c>
      <c r="F244" s="287">
        <f>-data!BC84</f>
        <v>0</v>
      </c>
      <c r="G244" s="287">
        <f>-data!BD84</f>
        <v>0</v>
      </c>
      <c r="H244" s="287">
        <f>-data!BE84</f>
        <v>-401394.26</v>
      </c>
      <c r="I244" s="287">
        <f>-data!BF84</f>
        <v>-20715.38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0</v>
      </c>
      <c r="E245" s="287">
        <f>data!BB85</f>
        <v>11177222.489999998</v>
      </c>
      <c r="F245" s="287">
        <f>data!BC85</f>
        <v>0</v>
      </c>
      <c r="G245" s="287">
        <f>data!BD85</f>
        <v>145755</v>
      </c>
      <c r="H245" s="287">
        <f>data!BE85</f>
        <v>29786659.779999997</v>
      </c>
      <c r="I245" s="287">
        <f>data!BF85</f>
        <v>11533402.6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7706.59</v>
      </c>
      <c r="H252" s="303">
        <f>data!BE90</f>
        <v>322561.37367647077</v>
      </c>
      <c r="I252" s="303">
        <f>data!BF90</f>
        <v>21631.66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PeaceHealth Southwest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9.4425873832417633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436641.43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208485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520.07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524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60705</v>
      </c>
      <c r="D273" s="287">
        <f>data!BH67</f>
        <v>57525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88974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538.6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-290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706600.09999999986</v>
      </c>
      <c r="D277" s="287">
        <f>data!BH85</f>
        <v>57525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88974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2789.85</v>
      </c>
      <c r="D284" s="303">
        <f>data!BH90</f>
        <v>3041.56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4704.39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1298.192122231754</v>
      </c>
      <c r="E286" s="303">
        <f>data!BI92</f>
        <v>0</v>
      </c>
      <c r="F286" s="302" t="str">
        <f>IF(data!BJ78&gt;0,data!BJ78,"")</f>
      </c>
      <c r="G286" s="303">
        <f>data!BK92</f>
        <v>0</v>
      </c>
      <c r="H286" s="303">
        <f>data!BL92</f>
        <v>2007.9176599856132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PeaceHealth Southwest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12.28350602953298</v>
      </c>
      <c r="D298" s="294">
        <f>data!BO60</f>
        <v>7.6668820841345937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4.5164860101304951</v>
      </c>
      <c r="I298" s="294">
        <f>data!BT60</f>
        <v>9.426524625</v>
      </c>
    </row>
    <row r="299" ht="20.1" customHeight="1">
      <c r="A299" s="279">
        <v>6</v>
      </c>
      <c r="B299" s="287" t="s">
        <v>263</v>
      </c>
      <c r="C299" s="287">
        <f>data!BN61</f>
        <v>4232440.88</v>
      </c>
      <c r="D299" s="287">
        <f>data!BO61</f>
        <v>527629.7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256669.21</v>
      </c>
      <c r="I299" s="287">
        <f>data!BT61</f>
        <v>861666.51</v>
      </c>
    </row>
    <row r="300" ht="20.1" customHeight="1">
      <c r="A300" s="279">
        <v>7</v>
      </c>
      <c r="B300" s="287" t="s">
        <v>11</v>
      </c>
      <c r="C300" s="287">
        <f>data!BN62</f>
        <v>670629</v>
      </c>
      <c r="D300" s="287">
        <f>data!BO62</f>
        <v>206171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98826</v>
      </c>
      <c r="I300" s="287">
        <f>data!BT62</f>
        <v>264933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47833.15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10202.04</v>
      </c>
      <c r="I302" s="287">
        <f>data!BT64</f>
        <v>2004.39</v>
      </c>
    </row>
    <row r="303" ht="20.1" customHeight="1">
      <c r="A303" s="279">
        <v>10</v>
      </c>
      <c r="B303" s="287" t="s">
        <v>524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525</v>
      </c>
      <c r="C304" s="287">
        <f>data!BN66</f>
        <v>73935523.21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833.69</v>
      </c>
    </row>
    <row r="305" ht="20.1" customHeight="1">
      <c r="A305" s="279">
        <v>12</v>
      </c>
      <c r="B305" s="287" t="s">
        <v>16</v>
      </c>
      <c r="C305" s="287">
        <f>data!BN67</f>
        <v>19198588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54412</v>
      </c>
      <c r="H305" s="287">
        <f>data!BS67</f>
        <v>34321</v>
      </c>
      <c r="I305" s="287">
        <f>data!BT67</f>
        <v>26066</v>
      </c>
    </row>
    <row r="306" ht="20.1" customHeight="1">
      <c r="A306" s="279">
        <v>13</v>
      </c>
      <c r="B306" s="287" t="s">
        <v>1009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115823.51999999999</v>
      </c>
      <c r="D307" s="287">
        <f>data!BO69</f>
        <v>406.26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93428.93</v>
      </c>
      <c r="I307" s="287">
        <f>data!BT69</f>
        <v>57105.75</v>
      </c>
    </row>
    <row r="308" ht="20.1" customHeight="1">
      <c r="A308" s="279">
        <v>15</v>
      </c>
      <c r="B308" s="287" t="s">
        <v>284</v>
      </c>
      <c r="C308" s="287">
        <f>-data!BN84</f>
        <v>-174967.87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-159322.59</v>
      </c>
      <c r="I308" s="287">
        <f>-data!BT84</f>
        <v>-27672.36</v>
      </c>
    </row>
    <row r="309" ht="20.1" customHeight="1">
      <c r="A309" s="279">
        <v>16</v>
      </c>
      <c r="B309" s="295" t="s">
        <v>1011</v>
      </c>
      <c r="C309" s="287">
        <f>data!BN85</f>
        <v>98025869.889999986</v>
      </c>
      <c r="D309" s="287">
        <f>data!BO85</f>
        <v>734206.96</v>
      </c>
      <c r="E309" s="287">
        <f>data!BP85</f>
        <v>0</v>
      </c>
      <c r="F309" s="287">
        <f>data!BQ85</f>
        <v>0</v>
      </c>
      <c r="G309" s="287">
        <f>data!BR85</f>
        <v>54412</v>
      </c>
      <c r="H309" s="287">
        <f>data!BS85</f>
        <v>334124.58999999997</v>
      </c>
      <c r="I309" s="287">
        <f>data!BT85</f>
        <v>1184936.9799999998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10256.76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2876.96</v>
      </c>
      <c r="H316" s="303">
        <f>data!BS90</f>
        <v>1689.14</v>
      </c>
      <c r="I316" s="303">
        <f>data!BT90</f>
        <v>1378.22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720.95511558099963</v>
      </c>
      <c r="I318" s="303">
        <f>data!BT92</f>
        <v>588.2489073706414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PeaceHealth Southwest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6.8348335362294126</v>
      </c>
      <c r="F330" s="294">
        <f>data!BX60</f>
        <v>18.08449861607145</v>
      </c>
      <c r="G330" s="294">
        <f>data!BY60</f>
        <v>27.597636991119519</v>
      </c>
      <c r="H330" s="294">
        <f>data!BZ60</f>
        <v>32.626223037156585</v>
      </c>
      <c r="I330" s="294">
        <f>data!CA60</f>
        <v>0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689666.06</v>
      </c>
      <c r="F331" s="306">
        <f>data!BX61</f>
        <v>1558994.26</v>
      </c>
      <c r="G331" s="306">
        <f>data!BY61</f>
        <v>3222901.39</v>
      </c>
      <c r="H331" s="306">
        <f>data!BZ61</f>
        <v>4992447.09</v>
      </c>
      <c r="I331" s="306">
        <f>data!CA61</f>
        <v>0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191445</v>
      </c>
      <c r="F332" s="306">
        <f>data!BX62</f>
        <v>390435</v>
      </c>
      <c r="G332" s="306">
        <f>data!BY62</f>
        <v>775473</v>
      </c>
      <c r="H332" s="306">
        <f>data!BZ62</f>
        <v>1122709</v>
      </c>
      <c r="I332" s="306">
        <f>data!CA62</f>
        <v>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93178.25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292223.72</v>
      </c>
      <c r="F334" s="306">
        <f>data!BX64</f>
        <v>2687651.93</v>
      </c>
      <c r="G334" s="306">
        <f>data!BY64</f>
        <v>37792.32</v>
      </c>
      <c r="H334" s="306">
        <f>data!BZ64</f>
        <v>8123.53</v>
      </c>
      <c r="I334" s="306">
        <f>data!CA64</f>
        <v>0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175895.24</v>
      </c>
      <c r="E336" s="306">
        <f>data!BW66</f>
        <v>1864.0999999999985</v>
      </c>
      <c r="F336" s="306">
        <f>data!BX66</f>
        <v>1645437.51</v>
      </c>
      <c r="G336" s="306">
        <f>data!BY66</f>
        <v>6685.53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31444</v>
      </c>
      <c r="D337" s="306">
        <f>data!BV67</f>
        <v>147766</v>
      </c>
      <c r="E337" s="306">
        <f>data!BW67</f>
        <v>32793</v>
      </c>
      <c r="F337" s="306">
        <f>data!BX67</f>
        <v>20858</v>
      </c>
      <c r="G337" s="306">
        <f>data!BY67</f>
        <v>1709567</v>
      </c>
      <c r="H337" s="306">
        <f>data!BZ67</f>
        <v>1045</v>
      </c>
      <c r="I337" s="306">
        <f>data!CA67</f>
        <v>184957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49209.71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8374.66</v>
      </c>
      <c r="F339" s="306">
        <f>data!BX69</f>
        <v>7862.3099999999995</v>
      </c>
      <c r="G339" s="306">
        <f>data!BY69</f>
        <v>107709.14</v>
      </c>
      <c r="H339" s="306">
        <f>data!BZ69</f>
        <v>1281.96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-2150</v>
      </c>
      <c r="F340" s="287">
        <f>-data!BX84</f>
        <v>-13899.17</v>
      </c>
      <c r="G340" s="287">
        <f>-data!BY84</f>
        <v>-40122.03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31444</v>
      </c>
      <c r="D341" s="287">
        <f>data!BV85</f>
        <v>323661.24</v>
      </c>
      <c r="E341" s="287">
        <f>data!BW85</f>
        <v>1356604.5</v>
      </c>
      <c r="F341" s="287">
        <f>data!BX85</f>
        <v>6297339.84</v>
      </c>
      <c r="G341" s="287">
        <f>data!BY85</f>
        <v>5820006.35</v>
      </c>
      <c r="H341" s="287">
        <f>data!BZ85</f>
        <v>6125606.58</v>
      </c>
      <c r="I341" s="287">
        <f>data!CA85</f>
        <v>184957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1662.58</v>
      </c>
      <c r="D348" s="303">
        <f>data!BV90</f>
        <v>7812.92</v>
      </c>
      <c r="E348" s="303">
        <f>data!BW90</f>
        <v>1711.53</v>
      </c>
      <c r="F348" s="303">
        <f>data!BX90</f>
        <v>1145.67</v>
      </c>
      <c r="G348" s="303">
        <f>data!BY90</f>
        <v>4458.5</v>
      </c>
      <c r="H348" s="303">
        <f>data!BZ90</f>
        <v>0</v>
      </c>
      <c r="I348" s="303">
        <f>data!CA90</f>
        <v>9779.38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709.618833289519</v>
      </c>
      <c r="D350" s="303">
        <f>data!BV92</f>
        <v>3334.6937741247639</v>
      </c>
      <c r="E350" s="303">
        <f>data!BW92</f>
        <v>730.511567407289</v>
      </c>
      <c r="F350" s="303">
        <f>data!BX92</f>
        <v>488.9924146415832</v>
      </c>
      <c r="G350" s="303">
        <f>data!BY92</f>
        <v>1902.967417039373</v>
      </c>
      <c r="H350" s="303">
        <f>data!BZ92</f>
        <v>0</v>
      </c>
      <c r="I350" s="303">
        <f>data!CA92</f>
        <v>4174.0140179088257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PeaceHealth Southwest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46.356197445913459</v>
      </c>
      <c r="E362" s="309"/>
      <c r="F362" s="297"/>
      <c r="G362" s="297"/>
      <c r="H362" s="297"/>
      <c r="I362" s="310">
        <f>data!CE60</f>
        <v>3110.0653770531612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4083434.25</v>
      </c>
      <c r="E363" s="311"/>
      <c r="F363" s="311"/>
      <c r="G363" s="311"/>
      <c r="H363" s="311"/>
      <c r="I363" s="306">
        <f>data!CE61</f>
        <v>382590786.54999995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715992</v>
      </c>
      <c r="E364" s="311"/>
      <c r="F364" s="311"/>
      <c r="G364" s="311"/>
      <c r="H364" s="311"/>
      <c r="I364" s="306">
        <f>data!CE62</f>
        <v>82317940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992582.16</v>
      </c>
      <c r="E365" s="311"/>
      <c r="F365" s="311"/>
      <c r="G365" s="311"/>
      <c r="H365" s="311"/>
      <c r="I365" s="306">
        <f>data!CE63</f>
        <v>20192403.229999997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-389422.39</v>
      </c>
      <c r="E366" s="311"/>
      <c r="F366" s="311"/>
      <c r="G366" s="311"/>
      <c r="H366" s="311"/>
      <c r="I366" s="306">
        <f>data!CE64</f>
        <v>127389609.75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3817338.31</v>
      </c>
    </row>
    <row r="368" ht="20.1" customHeight="1">
      <c r="A368" s="279">
        <v>11</v>
      </c>
      <c r="B368" s="287" t="s">
        <v>525</v>
      </c>
      <c r="C368" s="306">
        <f>data!CB66</f>
        <v>0</v>
      </c>
      <c r="D368" s="306">
        <f>data!CC66</f>
        <v>18286645.29</v>
      </c>
      <c r="E368" s="311"/>
      <c r="F368" s="311"/>
      <c r="G368" s="311"/>
      <c r="H368" s="311"/>
      <c r="I368" s="306">
        <f>data!CE66</f>
        <v>132591892.31999996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3285018</v>
      </c>
      <c r="E369" s="311"/>
      <c r="F369" s="311"/>
      <c r="G369" s="311"/>
      <c r="H369" s="311"/>
      <c r="I369" s="306">
        <f>data!CE67</f>
        <v>48990555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270093.76</v>
      </c>
      <c r="E370" s="311"/>
      <c r="F370" s="311"/>
      <c r="G370" s="311"/>
      <c r="H370" s="311"/>
      <c r="I370" s="306">
        <f>data!CE68</f>
        <v>14731755.23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82854.47</v>
      </c>
      <c r="E371" s="306">
        <f>data!CD69</f>
        <v>28048797.509999998</v>
      </c>
      <c r="F371" s="311"/>
      <c r="G371" s="311"/>
      <c r="H371" s="311"/>
      <c r="I371" s="306">
        <f>data!CE69</f>
        <v>42994417.94</v>
      </c>
    </row>
    <row r="372" ht="20.1" customHeight="1">
      <c r="A372" s="279">
        <v>15</v>
      </c>
      <c r="B372" s="287" t="s">
        <v>284</v>
      </c>
      <c r="C372" s="287">
        <f>-data!CB84</f>
        <v>-7058.36</v>
      </c>
      <c r="D372" s="287">
        <f>-data!CC84</f>
        <v>-1211873.89</v>
      </c>
      <c r="E372" s="287">
        <f>-data!CD84</f>
        <v>-23145.48</v>
      </c>
      <c r="F372" s="297"/>
      <c r="G372" s="297"/>
      <c r="H372" s="297"/>
      <c r="I372" s="287">
        <f>-data!CE84</f>
        <v>-12792602.839999998</v>
      </c>
    </row>
    <row r="373" ht="20.1" customHeight="1">
      <c r="A373" s="279">
        <v>16</v>
      </c>
      <c r="B373" s="295" t="s">
        <v>1011</v>
      </c>
      <c r="C373" s="306">
        <f>data!CB85</f>
        <v>-7058.36</v>
      </c>
      <c r="D373" s="306">
        <f>data!CC85</f>
        <v>26115323.65</v>
      </c>
      <c r="E373" s="306">
        <f>data!CD85</f>
        <v>28025652.029999997</v>
      </c>
      <c r="F373" s="311"/>
      <c r="G373" s="311"/>
      <c r="H373" s="311"/>
      <c r="I373" s="287">
        <f>data!CE85</f>
        <v>830031492.6500001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1305545948.2299998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1348631805.2300003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2654177753.46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239.93</v>
      </c>
      <c r="E380" s="297"/>
      <c r="F380" s="297"/>
      <c r="G380" s="297"/>
      <c r="H380" s="297"/>
      <c r="I380" s="287">
        <f>data!CE90</f>
        <v>846278.02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328157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195696.54089357186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2474810.9999999991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937.81491430491053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4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5" t="s">
        <v>28</v>
      </c>
      <c r="B37" s="336"/>
      <c r="C37" s="337"/>
      <c r="D37" s="336"/>
      <c r="E37" s="336"/>
      <c r="F37" s="336"/>
      <c r="G37" s="336"/>
    </row>
    <row r="38">
      <c r="A38" s="338" t="s">
        <v>29</v>
      </c>
      <c r="B38" s="339"/>
      <c r="C38" s="337"/>
      <c r="D38" s="336"/>
      <c r="E38" s="336"/>
      <c r="F38" s="336"/>
      <c r="G38" s="336"/>
    </row>
    <row r="39">
      <c r="A39" s="340" t="s">
        <v>1068</v>
      </c>
      <c r="B39" s="339"/>
      <c r="C39" s="337"/>
      <c r="D39" s="336"/>
      <c r="E39" s="336"/>
      <c r="F39" s="336"/>
      <c r="G39" s="336"/>
    </row>
    <row r="40">
      <c r="A40" s="341" t="s">
        <v>31</v>
      </c>
      <c r="B40" s="336"/>
      <c r="C40" s="337"/>
      <c r="D40" s="336"/>
      <c r="E40" s="336"/>
      <c r="F40" s="336"/>
      <c r="G40" s="336"/>
    </row>
    <row r="41">
      <c r="A41" s="340" t="s">
        <v>1069</v>
      </c>
      <c r="B41" s="336"/>
      <c r="C41" s="337"/>
      <c r="D41" s="336"/>
      <c r="E41" s="336"/>
      <c r="F41" s="336"/>
      <c r="G41" s="336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3"/>
      <c r="D108" s="42"/>
      <c r="E108" s="43"/>
      <c r="F108" s="16"/>
    </row>
    <row r="109">
      <c r="A109" s="32" t="s">
        <v>320</v>
      </c>
      <c r="B109" s="40" t="s">
        <v>299</v>
      </c>
      <c r="C109" s="343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5" t="s">
        <v>404</v>
      </c>
      <c r="C237" s="345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170</v>
      </c>
      <c r="C2" s="12" t="str">
        <f>SUBSTITUTE(LEFT(data!C98,49),",","")</f>
        <v>PeaceHealth Southwest Medical Center</v>
      </c>
      <c r="D2" s="12" t="str">
        <f>LEFT(data!C99,49)</f>
        <v>PO Box 1600</v>
      </c>
      <c r="E2" s="12" t="str">
        <f>RIGHT(data!C100,100)</f>
        <v>Vancouver</v>
      </c>
      <c r="F2" s="12" t="str">
        <f>RIGHT(data!C101,100)</f>
        <v>WA</v>
      </c>
      <c r="G2" s="12" t="str">
        <f>RIGHT(data!C102,100)</f>
        <v>98664</v>
      </c>
      <c r="H2" s="12" t="str">
        <f>RIGHT(data!C103,100)</f>
        <v>Clark</v>
      </c>
      <c r="I2" s="12" t="str">
        <f>LEFT(data!C104,49)</f>
        <v>Sean Gregory, CEO</v>
      </c>
      <c r="J2" s="12" t="str">
        <f>LEFT(data!C105,49)</f>
        <v>Tracey Fernandez, CFO</v>
      </c>
      <c r="K2" s="12" t="str">
        <f>LEFT(data!C107,49)</f>
        <v>(360) 256-2000</v>
      </c>
      <c r="L2" s="12" t="str">
        <f>LEFT(data!C107,49)</f>
        <v>(360) 256-2000</v>
      </c>
      <c r="M2" s="12" t="str">
        <f>LEFT(data!C109,49)</f>
      </c>
      <c r="N2" s="12" t="str">
        <f>LEFT(data!C110,49)</f>
        <v>bmarsden@peacehealth.org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170</v>
      </c>
      <c r="B2" s="224" t="str">
        <f>RIGHT(data!C96,4)</f>
        <v>2022</v>
      </c>
      <c r="C2" s="16" t="s">
        <v>1169</v>
      </c>
      <c r="D2" s="223">
        <f>ROUND(data!C181,0)</f>
        <v>22039670</v>
      </c>
      <c r="E2" s="223">
        <f>ROUND(data!C182,0)</f>
        <v>501975</v>
      </c>
      <c r="F2" s="223">
        <f>ROUND(data!C183,0)</f>
        <v>1132179</v>
      </c>
      <c r="G2" s="223">
        <f>ROUND(data!C184,0)</f>
        <v>35598457</v>
      </c>
      <c r="H2" s="223">
        <f>ROUND(data!C185,0)</f>
        <v>257130</v>
      </c>
      <c r="I2" s="223">
        <f>ROUND(data!C186,0)</f>
        <v>20417221</v>
      </c>
      <c r="J2" s="223">
        <f>ROUND(data!C187+data!C188,0)</f>
        <v>2371307</v>
      </c>
      <c r="K2" s="223">
        <f>ROUND(data!C191,0)</f>
        <v>11325997</v>
      </c>
      <c r="L2" s="223">
        <f>ROUND(data!C192,0)</f>
        <v>3405758</v>
      </c>
      <c r="M2" s="223">
        <f>ROUND(data!C195,0)</f>
        <v>5872334</v>
      </c>
      <c r="N2" s="223">
        <f>ROUND(data!C196,0)</f>
        <v>1916556</v>
      </c>
      <c r="O2" s="223">
        <f>ROUND(data!C199,0)</f>
        <v>513567</v>
      </c>
      <c r="P2" s="223">
        <f>ROUND(data!C200,0)</f>
        <v>19068718</v>
      </c>
      <c r="Q2" s="223">
        <f>ROUND(data!C201,0)</f>
        <v>0</v>
      </c>
      <c r="R2" s="223">
        <f>ROUND(data!C204,0)</f>
        <v>0</v>
      </c>
      <c r="S2" s="223">
        <f>ROUND(data!C205,0)</f>
        <v>677623</v>
      </c>
      <c r="T2" s="223">
        <f>ROUND(data!B211,0)</f>
        <v>41377388</v>
      </c>
      <c r="U2" s="223">
        <f>ROUND(data!C211,0)</f>
        <v>0</v>
      </c>
      <c r="V2" s="223">
        <f>ROUND(data!D211,0)</f>
        <v>11600</v>
      </c>
      <c r="W2" s="223">
        <f>ROUND(data!B212,0)</f>
        <v>6837783</v>
      </c>
      <c r="X2" s="223">
        <f>ROUND(data!C212,0)</f>
        <v>0</v>
      </c>
      <c r="Y2" s="223">
        <f>ROUND(data!D212,0)</f>
        <v>0</v>
      </c>
      <c r="Z2" s="223">
        <f>ROUND(data!B213,0)</f>
        <v>295133761</v>
      </c>
      <c r="AA2" s="223">
        <f>ROUND(data!C213,0)</f>
        <v>2265308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53155805</v>
      </c>
      <c r="AG2" s="223">
        <f>ROUND(data!C215,0)</f>
        <v>2079059</v>
      </c>
      <c r="AH2" s="223">
        <f>ROUND(data!D215,0)</f>
        <v>0</v>
      </c>
      <c r="AI2" s="223">
        <f>ROUND(data!B216,0)</f>
        <v>222951827</v>
      </c>
      <c r="AJ2" s="223">
        <f>ROUND(data!C216,0)</f>
        <v>6823158</v>
      </c>
      <c r="AK2" s="223">
        <f>ROUND(data!D216,0)</f>
        <v>717328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17702823</v>
      </c>
      <c r="AP2" s="223">
        <f>ROUND(data!C218,0)</f>
        <v>534139</v>
      </c>
      <c r="AQ2" s="223">
        <f>ROUND(data!D218,0)</f>
        <v>0</v>
      </c>
      <c r="AR2" s="223">
        <f>ROUND(data!B219,0)</f>
        <v>5585809</v>
      </c>
      <c r="AS2" s="223">
        <f>ROUND(data!C219,0)</f>
        <v>20796165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6144452</v>
      </c>
      <c r="AY2" s="223">
        <f>ROUND(data!C225,0)</f>
        <v>181127</v>
      </c>
      <c r="AZ2" s="223">
        <f>ROUND(data!D225,0)</f>
        <v>0</v>
      </c>
      <c r="BA2" s="223">
        <f>ROUND(data!B226,0)</f>
        <v>179959809</v>
      </c>
      <c r="BB2" s="223">
        <f>ROUND(data!C226,0)</f>
        <v>8824672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30485623</v>
      </c>
      <c r="BH2" s="223">
        <f>ROUND(data!C228,0)</f>
        <v>2129758</v>
      </c>
      <c r="BI2" s="223">
        <f>ROUND(data!D228,0)</f>
        <v>0</v>
      </c>
      <c r="BJ2" s="223">
        <f>ROUND(data!B229,0)</f>
        <v>176791139</v>
      </c>
      <c r="BK2" s="223">
        <f>ROUND(data!C229,0)</f>
        <v>10451965</v>
      </c>
      <c r="BL2" s="223">
        <f>ROUND(data!D229,0)</f>
        <v>712582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6485475</v>
      </c>
      <c r="BQ2" s="223">
        <f>ROUND(data!C231,0)</f>
        <v>924674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1051419137</v>
      </c>
      <c r="BW2" s="223">
        <f>ROUND(data!C240,0)</f>
        <v>386528281</v>
      </c>
      <c r="BX2" s="223">
        <f>ROUND(data!C241,0)</f>
        <v>8968198</v>
      </c>
      <c r="BY2" s="223">
        <f>ROUND(data!C242,0)</f>
        <v>62364618</v>
      </c>
      <c r="BZ2" s="223">
        <f>ROUND(data!C243,0)</f>
        <v>320522640</v>
      </c>
      <c r="CA2" s="223">
        <f>ROUND(data!C244,0)</f>
        <v>20997390</v>
      </c>
      <c r="CB2" s="223">
        <f>ROUND(data!C247,0)</f>
        <v>22875</v>
      </c>
      <c r="CC2" s="223">
        <f>ROUND(data!C249,0)</f>
        <v>14388631</v>
      </c>
      <c r="CD2" s="223">
        <f>ROUND(data!C250,0)</f>
        <v>22906230</v>
      </c>
      <c r="CE2" s="223">
        <f>ROUND(data!C254+data!C255,0)</f>
        <v>847279</v>
      </c>
      <c r="CF2" s="223">
        <f>data!D237</f>
        <v>24852658.81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170</v>
      </c>
      <c r="B2" s="16" t="str">
        <f>RIGHT(data!C96,4)</f>
        <v>2022</v>
      </c>
      <c r="C2" s="16" t="s">
        <v>1169</v>
      </c>
      <c r="D2" s="222">
        <f>ROUND(data!C127,0)</f>
        <v>17023</v>
      </c>
      <c r="E2" s="222">
        <f>ROUND(data!C128,0)</f>
        <v>0</v>
      </c>
      <c r="F2" s="222">
        <f>ROUND(data!C129,0)</f>
        <v>0</v>
      </c>
      <c r="G2" s="222">
        <f>ROUND(data!C130,0)</f>
        <v>1846</v>
      </c>
      <c r="H2" s="222">
        <f>ROUND(data!D127,0)</f>
        <v>104934</v>
      </c>
      <c r="I2" s="222">
        <f>ROUND(data!D128,0)</f>
        <v>0</v>
      </c>
      <c r="J2" s="222">
        <f>ROUND(data!D129,0)</f>
        <v>0</v>
      </c>
      <c r="K2" s="222">
        <f>ROUND(data!D130,0)</f>
        <v>2747</v>
      </c>
      <c r="L2" s="222">
        <f>ROUND(data!C132,0)</f>
        <v>69</v>
      </c>
      <c r="M2" s="222">
        <f>ROUND(data!C133,0)</f>
        <v>28</v>
      </c>
      <c r="N2" s="222">
        <f>ROUND(data!C134,0)</f>
        <v>259</v>
      </c>
      <c r="O2" s="222">
        <f>ROUND(data!C135,0)</f>
        <v>3</v>
      </c>
      <c r="P2" s="222">
        <f>ROUND(data!C136,0)</f>
        <v>32</v>
      </c>
      <c r="Q2" s="222">
        <f>ROUND(data!C137,0)</f>
        <v>14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436</v>
      </c>
      <c r="X2" s="222">
        <f>ROUND(data!C145,0)</f>
        <v>40</v>
      </c>
      <c r="Y2" s="222">
        <f>ROUND(data!B154,0)</f>
        <v>9074</v>
      </c>
      <c r="Z2" s="222">
        <f>ROUND(data!B155,0)</f>
        <v>60360</v>
      </c>
      <c r="AA2" s="222">
        <f>ROUND(data!B156,0)</f>
        <v>65669</v>
      </c>
      <c r="AB2" s="222">
        <f>ROUND(data!B157,0)</f>
        <v>737629704</v>
      </c>
      <c r="AC2" s="222">
        <f>ROUND(data!B158,0)</f>
        <v>642709887</v>
      </c>
      <c r="AD2" s="222">
        <f>ROUND(data!C154,0)</f>
        <v>3218</v>
      </c>
      <c r="AE2" s="222">
        <f>ROUND(data!C155,0)</f>
        <v>19865</v>
      </c>
      <c r="AF2" s="222">
        <f>ROUND(data!C156,0)</f>
        <v>42102</v>
      </c>
      <c r="AG2" s="222">
        <f>ROUND(data!C157,0)</f>
        <v>233323254</v>
      </c>
      <c r="AH2" s="222">
        <f>ROUND(data!C158,0)</f>
        <v>262157195</v>
      </c>
      <c r="AI2" s="222">
        <f>ROUND(data!D154,0)</f>
        <v>4731</v>
      </c>
      <c r="AJ2" s="222">
        <f>ROUND(data!D155,0)</f>
        <v>24709</v>
      </c>
      <c r="AK2" s="222">
        <f>ROUND(data!D156,0)</f>
        <v>62949</v>
      </c>
      <c r="AL2" s="222">
        <f>ROUND(data!D157,0)</f>
        <v>334592990</v>
      </c>
      <c r="AM2" s="222">
        <f>ROUND(data!D158,0)</f>
        <v>443764723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103562097</v>
      </c>
      <c r="BS2" s="222">
        <f>ROUND(data!C173,0)</f>
        <v>66365947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170</v>
      </c>
      <c r="B2" s="224" t="str">
        <f>RIGHT(data!C96,4)</f>
        <v>2022</v>
      </c>
      <c r="C2" s="16" t="s">
        <v>1169</v>
      </c>
      <c r="D2" s="222">
        <f>ROUND(data!C266,0)</f>
        <v>0</v>
      </c>
      <c r="E2" s="222">
        <f>ROUND(data!C267,0)</f>
        <v>0</v>
      </c>
      <c r="F2" s="222">
        <f>ROUND(data!C268,0)</f>
        <v>381231717</v>
      </c>
      <c r="G2" s="222">
        <f>ROUND(data!C269,0)</f>
        <v>285850050</v>
      </c>
      <c r="H2" s="222">
        <f>ROUND(data!C270,0)</f>
        <v>1385315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41365788</v>
      </c>
      <c r="R2" s="222">
        <f>ROUND(data!C284,0)</f>
        <v>6837783</v>
      </c>
      <c r="S2" s="222">
        <f>ROUND(data!C285,0)</f>
        <v>297399070</v>
      </c>
      <c r="T2" s="222">
        <f>ROUND(data!C286,0)</f>
        <v>0</v>
      </c>
      <c r="U2" s="222">
        <f>ROUND(data!C287,0)</f>
        <v>55234864</v>
      </c>
      <c r="V2" s="222">
        <f>ROUND(data!C288,0)</f>
        <v>229057658</v>
      </c>
      <c r="W2" s="222">
        <f>ROUND(data!C289,0)</f>
        <v>18236962</v>
      </c>
      <c r="X2" s="222">
        <f>ROUND(data!C290,0)</f>
        <v>26381974</v>
      </c>
      <c r="Y2" s="222">
        <f>ROUND(data!C291,0)</f>
        <v>0</v>
      </c>
      <c r="Z2" s="222">
        <f>ROUND(data!C292,0)</f>
        <v>421666112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51319599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0</v>
      </c>
      <c r="AK2" s="222">
        <f>ROUND(data!C316,0)</f>
        <v>0</v>
      </c>
      <c r="AL2" s="222">
        <f>ROUND(data!C317,0)</f>
        <v>0</v>
      </c>
      <c r="AM2" s="222">
        <f>ROUND(data!C318,0)</f>
        <v>20328327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380606241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3110.07</v>
      </c>
      <c r="BL2" s="222">
        <f>ROUND(data!C358,0)</f>
        <v>1305545948</v>
      </c>
      <c r="BM2" s="222">
        <f>ROUND(data!C359,0)</f>
        <v>1348631805</v>
      </c>
      <c r="BN2" s="222">
        <f>ROUND(data!C363,0)</f>
        <v>1850800265</v>
      </c>
      <c r="BO2" s="222">
        <f>ROUND(data!C364,0)</f>
        <v>37294861</v>
      </c>
      <c r="BP2" s="222">
        <f>ROUND(data!C365,0)</f>
        <v>847279</v>
      </c>
      <c r="BQ2" s="222">
        <f>ROUND(data!D381,0)</f>
        <v>12792603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12792603</v>
      </c>
      <c r="CC2" s="222">
        <f>ROUND(data!C382,0)</f>
        <v>0</v>
      </c>
      <c r="CD2" s="222">
        <f>ROUND(data!C389,0)</f>
        <v>382590787</v>
      </c>
      <c r="CE2" s="222">
        <f>ROUND(data!C390,0)</f>
        <v>82317940</v>
      </c>
      <c r="CF2" s="222">
        <f>ROUND(data!C391,0)</f>
        <v>20192403</v>
      </c>
      <c r="CG2" s="222">
        <f>ROUND(data!C392,0)</f>
        <v>127389610</v>
      </c>
      <c r="CH2" s="222">
        <f>ROUND(data!C393,0)</f>
        <v>3817338</v>
      </c>
      <c r="CI2" s="222">
        <f>ROUND(data!C394,0)</f>
        <v>132591892</v>
      </c>
      <c r="CJ2" s="222">
        <f>ROUND(data!C395,0)</f>
        <v>48990556</v>
      </c>
      <c r="CK2" s="222">
        <f>ROUND(data!C396,0)</f>
        <v>14731755</v>
      </c>
      <c r="CL2" s="222">
        <f>ROUND(data!C397,0)</f>
        <v>7788890</v>
      </c>
      <c r="CM2" s="222">
        <f>ROUND(data!C398,0)</f>
        <v>19582284</v>
      </c>
      <c r="CN2" s="222">
        <f>ROUND(data!C399,0)</f>
        <v>677623</v>
      </c>
      <c r="CO2" s="222">
        <f>ROUND(data!C362,0)</f>
        <v>24852659</v>
      </c>
      <c r="CP2" s="222">
        <f>ROUND(data!D415,0)</f>
        <v>2153018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2153018</v>
      </c>
      <c r="DE2" s="65">
        <f>ROUND(data!C419,0)</f>
        <v>0</v>
      </c>
      <c r="DF2" s="222">
        <f>ROUND(data!D420,0)</f>
        <v>-236460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170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19575</v>
      </c>
      <c r="F2" s="212">
        <f>ROUND(data!C60,2)</f>
        <v>197.76</v>
      </c>
      <c r="G2" s="222">
        <f>ROUND(data!C61,0)</f>
        <v>33655663</v>
      </c>
      <c r="H2" s="222">
        <f>ROUND(data!C62,0)</f>
        <v>5560662</v>
      </c>
      <c r="I2" s="222">
        <f>ROUND(data!C63,0)</f>
        <v>1827759</v>
      </c>
      <c r="J2" s="222">
        <f>ROUND(data!C64,0)</f>
        <v>3298369</v>
      </c>
      <c r="K2" s="222">
        <f>ROUND(data!C65,0)</f>
        <v>0</v>
      </c>
      <c r="L2" s="222">
        <f>ROUND(data!C66,0)</f>
        <v>75013</v>
      </c>
      <c r="M2" s="66">
        <f>ROUND(data!C67,0)</f>
        <v>1203135</v>
      </c>
      <c r="N2" s="222">
        <f>ROUND(data!C68,0)</f>
        <v>439856</v>
      </c>
      <c r="O2" s="222">
        <f>ROUND(data!C69,0)</f>
        <v>21814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21814</v>
      </c>
      <c r="AD2" s="222">
        <f>ROUND(data!C84,0)</f>
        <v>183461</v>
      </c>
      <c r="AE2" s="222">
        <f>ROUND(data!C89,0)</f>
        <v>140965260</v>
      </c>
      <c r="AF2" s="222">
        <f>ROUND(data!C87,0)</f>
        <v>137940607</v>
      </c>
      <c r="AG2" s="222">
        <f>IF(data!C90&gt;0,ROUND(data!C90,0),0)</f>
        <v>43056</v>
      </c>
      <c r="AH2" s="222">
        <f>IF(data!C91&gt;0,ROUND(data!C91,0),0)</f>
        <v>0</v>
      </c>
      <c r="AI2" s="222">
        <f>IF(data!C92&gt;0,ROUND(data!C92,0),0)</f>
        <v>18377</v>
      </c>
      <c r="AJ2" s="222">
        <f>IF(data!C93&gt;0,ROUND(data!C93,0),0)</f>
        <v>388635</v>
      </c>
      <c r="AK2" s="212">
        <f>IF(data!C94&gt;0,ROUND(data!C94,2),0)</f>
        <v>147.27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170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7846</v>
      </c>
      <c r="F3" s="212">
        <f>ROUND(data!D60,2)</f>
        <v>47.39</v>
      </c>
      <c r="G3" s="222">
        <f>ROUND(data!D61,0)</f>
        <v>8004045</v>
      </c>
      <c r="H3" s="222">
        <f>ROUND(data!D62,0)</f>
        <v>1268229</v>
      </c>
      <c r="I3" s="222">
        <f>ROUND(data!D63,0)</f>
        <v>0</v>
      </c>
      <c r="J3" s="222">
        <f>ROUND(data!D64,0)</f>
        <v>307134</v>
      </c>
      <c r="K3" s="222">
        <f>ROUND(data!D65,0)</f>
        <v>0</v>
      </c>
      <c r="L3" s="222">
        <f>ROUND(data!D66,0)</f>
        <v>1017</v>
      </c>
      <c r="M3" s="66">
        <f>ROUND(data!D67,0)</f>
        <v>0</v>
      </c>
      <c r="N3" s="222">
        <f>ROUND(data!D68,0)</f>
        <v>142205</v>
      </c>
      <c r="O3" s="222">
        <f>ROUND(data!D69,0)</f>
        <v>2449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2449</v>
      </c>
      <c r="AD3" s="222">
        <f>ROUND(data!D84,0)</f>
        <v>0</v>
      </c>
      <c r="AE3" s="222">
        <f>ROUND(data!D89,0)</f>
        <v>40517190</v>
      </c>
      <c r="AF3" s="222">
        <f>ROUND(data!D87,0)</f>
        <v>39207006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68367</v>
      </c>
      <c r="AK3" s="212">
        <f>IF(data!D94&gt;0,ROUND(data!D94,2),0)</f>
        <v>25.91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170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69032</v>
      </c>
      <c r="F4" s="212">
        <f>ROUND(data!E60,2)</f>
        <v>499.3</v>
      </c>
      <c r="G4" s="222">
        <f>ROUND(data!E61,0)</f>
        <v>59228348</v>
      </c>
      <c r="H4" s="222">
        <f>ROUND(data!E62,0)</f>
        <v>12792076</v>
      </c>
      <c r="I4" s="222">
        <f>ROUND(data!E63,0)</f>
        <v>0</v>
      </c>
      <c r="J4" s="222">
        <f>ROUND(data!E64,0)</f>
        <v>3699564</v>
      </c>
      <c r="K4" s="222">
        <f>ROUND(data!E65,0)</f>
        <v>1176</v>
      </c>
      <c r="L4" s="222">
        <f>ROUND(data!E66,0)</f>
        <v>32080</v>
      </c>
      <c r="M4" s="66">
        <f>ROUND(data!E67,0)</f>
        <v>2825431</v>
      </c>
      <c r="N4" s="222">
        <f>ROUND(data!E68,0)</f>
        <v>834786</v>
      </c>
      <c r="O4" s="222">
        <f>ROUND(data!E69,0)</f>
        <v>43598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43598</v>
      </c>
      <c r="AD4" s="222">
        <f>ROUND(data!E84,0)</f>
        <v>57090</v>
      </c>
      <c r="AE4" s="222">
        <f>ROUND(data!E89,0)</f>
        <v>268793581</v>
      </c>
      <c r="AF4" s="222">
        <f>ROUND(data!E87,0)</f>
        <v>227724335</v>
      </c>
      <c r="AG4" s="222">
        <f>IF(data!E90&gt;0,ROUND(data!E90,0),0)</f>
        <v>134471</v>
      </c>
      <c r="AH4" s="222">
        <f>IF(data!E91&gt;0,ROUND(data!E91,0),0)</f>
        <v>226592</v>
      </c>
      <c r="AI4" s="222">
        <f>IF(data!E92&gt;0,ROUND(data!E92,0),0)</f>
        <v>57395</v>
      </c>
      <c r="AJ4" s="222">
        <f>IF(data!E93&gt;0,ROUND(data!E93,0),0)</f>
        <v>809167</v>
      </c>
      <c r="AK4" s="212">
        <f>IF(data!E94&gt;0,ROUND(data!E94,2),0)</f>
        <v>306.63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170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4632</v>
      </c>
      <c r="F5" s="212">
        <f>ROUND(data!F60,2)</f>
        <v>96.63</v>
      </c>
      <c r="G5" s="222">
        <f>ROUND(data!F61,0)</f>
        <v>14576573</v>
      </c>
      <c r="H5" s="222">
        <f>ROUND(data!F62,0)</f>
        <v>3056171</v>
      </c>
      <c r="I5" s="222">
        <f>ROUND(data!F63,0)</f>
        <v>827129</v>
      </c>
      <c r="J5" s="222">
        <f>ROUND(data!F64,0)</f>
        <v>1439888</v>
      </c>
      <c r="K5" s="222">
        <f>ROUND(data!F65,0)</f>
        <v>3777</v>
      </c>
      <c r="L5" s="222">
        <f>ROUND(data!F66,0)</f>
        <v>442093</v>
      </c>
      <c r="M5" s="66">
        <f>ROUND(data!F67,0)</f>
        <v>856254</v>
      </c>
      <c r="N5" s="222">
        <f>ROUND(data!F68,0)</f>
        <v>403783</v>
      </c>
      <c r="O5" s="222">
        <f>ROUND(data!F69,0)</f>
        <v>31807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31807</v>
      </c>
      <c r="AD5" s="222">
        <f>ROUND(data!F84,0)</f>
        <v>2188</v>
      </c>
      <c r="AE5" s="222">
        <f>ROUND(data!F89,0)</f>
        <v>50227304</v>
      </c>
      <c r="AF5" s="222">
        <f>ROUND(data!F87,0)</f>
        <v>39225475</v>
      </c>
      <c r="AG5" s="222">
        <f>IF(data!F90&gt;0,ROUND(data!F90,0),0)</f>
        <v>38817</v>
      </c>
      <c r="AH5" s="222">
        <f>IF(data!F91&gt;0,ROUND(data!F91,0),0)</f>
        <v>0</v>
      </c>
      <c r="AI5" s="222">
        <f>IF(data!F92&gt;0,ROUND(data!F92,0),0)</f>
        <v>16568</v>
      </c>
      <c r="AJ5" s="222">
        <f>IF(data!F93&gt;0,ROUND(data!F93,0),0)</f>
        <v>143803</v>
      </c>
      <c r="AK5" s="212">
        <f>IF(data!F94&gt;0,ROUND(data!F94,2),0)</f>
        <v>54.49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170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3849</v>
      </c>
      <c r="F6" s="212">
        <f>ROUND(data!G60,2)</f>
        <v>19.17</v>
      </c>
      <c r="G6" s="222">
        <f>ROUND(data!G61,0)</f>
        <v>2381850</v>
      </c>
      <c r="H6" s="222">
        <f>ROUND(data!G62,0)</f>
        <v>492569</v>
      </c>
      <c r="I6" s="222">
        <f>ROUND(data!G63,0)</f>
        <v>0</v>
      </c>
      <c r="J6" s="222">
        <f>ROUND(data!G64,0)</f>
        <v>90376</v>
      </c>
      <c r="K6" s="222">
        <f>ROUND(data!G65,0)</f>
        <v>0</v>
      </c>
      <c r="L6" s="222">
        <f>ROUND(data!G66,0)</f>
        <v>28</v>
      </c>
      <c r="M6" s="66">
        <f>ROUND(data!G67,0)</f>
        <v>287483</v>
      </c>
      <c r="N6" s="222">
        <f>ROUND(data!G68,0)</f>
        <v>9777</v>
      </c>
      <c r="O6" s="222">
        <f>ROUND(data!G69,0)</f>
        <v>-336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-336</v>
      </c>
      <c r="AD6" s="222">
        <f>ROUND(data!G84,0)</f>
        <v>0</v>
      </c>
      <c r="AE6" s="222">
        <f>ROUND(data!G89,0)</f>
        <v>8708422</v>
      </c>
      <c r="AF6" s="222">
        <f>ROUND(data!G87,0)</f>
        <v>8708422</v>
      </c>
      <c r="AG6" s="222">
        <f>IF(data!G90&gt;0,ROUND(data!G90,0),0)</f>
        <v>15133</v>
      </c>
      <c r="AH6" s="222">
        <f>IF(data!G91&gt;0,ROUND(data!G91,0),0)</f>
        <v>7752</v>
      </c>
      <c r="AI6" s="222">
        <f>IF(data!G92&gt;0,ROUND(data!G92,0),0)</f>
        <v>6459</v>
      </c>
      <c r="AJ6" s="222">
        <f>IF(data!G93&gt;0,ROUND(data!G93,0),0)</f>
        <v>27687</v>
      </c>
      <c r="AK6" s="212">
        <f>IF(data!G94&gt;0,ROUND(data!G94,2),0)</f>
        <v>10.49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170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170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170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2747</v>
      </c>
      <c r="F9" s="212">
        <f>ROUND(data!J60,2)</f>
        <v>14.27</v>
      </c>
      <c r="G9" s="222">
        <f>ROUND(data!J61,0)</f>
        <v>2153110</v>
      </c>
      <c r="H9" s="222">
        <f>ROUND(data!J62,0)</f>
        <v>451428</v>
      </c>
      <c r="I9" s="222">
        <f>ROUND(data!J63,0)</f>
        <v>122176</v>
      </c>
      <c r="J9" s="222">
        <f>ROUND(data!J64,0)</f>
        <v>212686</v>
      </c>
      <c r="K9" s="222">
        <f>ROUND(data!J65,0)</f>
        <v>558</v>
      </c>
      <c r="L9" s="222">
        <f>ROUND(data!J66,0)</f>
        <v>65302</v>
      </c>
      <c r="M9" s="66">
        <f>ROUND(data!J67,0)</f>
        <v>126478</v>
      </c>
      <c r="N9" s="222">
        <f>ROUND(data!J68,0)</f>
        <v>59643</v>
      </c>
      <c r="O9" s="222">
        <f>ROUND(data!J69,0)</f>
        <v>4698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4698</v>
      </c>
      <c r="AD9" s="222">
        <f>ROUND(data!J84,0)</f>
        <v>323</v>
      </c>
      <c r="AE9" s="222">
        <f>ROUND(data!J89,0)</f>
        <v>7419091</v>
      </c>
      <c r="AF9" s="222">
        <f>ROUND(data!J87,0)</f>
        <v>5794007</v>
      </c>
      <c r="AG9" s="222">
        <f>IF(data!J90&gt;0,ROUND(data!J90,0),0)</f>
        <v>5734</v>
      </c>
      <c r="AH9" s="222">
        <f>IF(data!J91&gt;0,ROUND(data!J91,0),0)</f>
        <v>0</v>
      </c>
      <c r="AI9" s="222">
        <f>IF(data!J92&gt;0,ROUND(data!J92,0),0)</f>
        <v>2447</v>
      </c>
      <c r="AJ9" s="222">
        <f>IF(data!J93&gt;0,ROUND(data!J93,0),0)</f>
        <v>21241</v>
      </c>
      <c r="AK9" s="212">
        <f>IF(data!J94&gt;0,ROUND(data!J94,2),0)</f>
        <v>8.05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170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170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170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5830</v>
      </c>
      <c r="F12" s="212">
        <f>ROUND(data!M60,2)</f>
        <v>48.9</v>
      </c>
      <c r="G12" s="222">
        <f>ROUND(data!M61,0)</f>
        <v>4958457</v>
      </c>
      <c r="H12" s="222">
        <f>ROUND(data!M62,0)</f>
        <v>1289862</v>
      </c>
      <c r="I12" s="222">
        <f>ROUND(data!M63,0)</f>
        <v>60340</v>
      </c>
      <c r="J12" s="222">
        <f>ROUND(data!M64,0)</f>
        <v>219494</v>
      </c>
      <c r="K12" s="222">
        <f>ROUND(data!M65,0)</f>
        <v>7542</v>
      </c>
      <c r="L12" s="222">
        <f>ROUND(data!M66,0)</f>
        <v>41910</v>
      </c>
      <c r="M12" s="66">
        <f>ROUND(data!M67,0)</f>
        <v>48203</v>
      </c>
      <c r="N12" s="222">
        <f>ROUND(data!M68,0)</f>
        <v>9775</v>
      </c>
      <c r="O12" s="222">
        <f>ROUND(data!M69,0)</f>
        <v>20013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20013</v>
      </c>
      <c r="AD12" s="222">
        <f>ROUND(data!M84,0)</f>
        <v>241463</v>
      </c>
      <c r="AE12" s="222">
        <f>ROUND(data!M89,0)</f>
        <v>5564130</v>
      </c>
      <c r="AF12" s="222">
        <f>ROUND(data!M87,0)</f>
        <v>220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48310</v>
      </c>
      <c r="AK12" s="212">
        <f>IF(data!M94&gt;0,ROUND(data!M94,2),0)</f>
        <v>18.31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170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56576</v>
      </c>
      <c r="F13" s="212">
        <f>ROUND(data!N60,2)</f>
        <v>12.5</v>
      </c>
      <c r="G13" s="222">
        <f>ROUND(data!N61,0)</f>
        <v>5145457</v>
      </c>
      <c r="H13" s="222">
        <f>ROUND(data!N62,0)</f>
        <v>851042</v>
      </c>
      <c r="I13" s="222">
        <f>ROUND(data!N63,0)</f>
        <v>6541190</v>
      </c>
      <c r="J13" s="222">
        <f>ROUND(data!N64,0)</f>
        <v>0</v>
      </c>
      <c r="K13" s="222">
        <f>ROUND(data!N65,0)</f>
        <v>0</v>
      </c>
      <c r="L13" s="222">
        <f>ROUND(data!N66,0)</f>
        <v>1748</v>
      </c>
      <c r="M13" s="66">
        <f>ROUND(data!N67,0)</f>
        <v>0</v>
      </c>
      <c r="N13" s="222">
        <f>ROUND(data!N68,0)</f>
        <v>0</v>
      </c>
      <c r="O13" s="222">
        <f>ROUND(data!N69,0)</f>
        <v>6158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6158</v>
      </c>
      <c r="AD13" s="222">
        <f>ROUND(data!N84,0)</f>
        <v>0</v>
      </c>
      <c r="AE13" s="222">
        <f>ROUND(data!N89,0)</f>
        <v>7141749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170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1846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170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1213166</v>
      </c>
      <c r="F15" s="212">
        <f>ROUND(data!P60,2)</f>
        <v>113.89</v>
      </c>
      <c r="G15" s="222">
        <f>ROUND(data!P61,0)</f>
        <v>13749028</v>
      </c>
      <c r="H15" s="222">
        <f>ROUND(data!P62,0)</f>
        <v>2885191</v>
      </c>
      <c r="I15" s="222">
        <f>ROUND(data!P63,0)</f>
        <v>477050</v>
      </c>
      <c r="J15" s="222">
        <f>ROUND(data!P64,0)</f>
        <v>29314334</v>
      </c>
      <c r="K15" s="222">
        <f>ROUND(data!P65,0)</f>
        <v>0</v>
      </c>
      <c r="L15" s="222">
        <f>ROUND(data!P66,0)</f>
        <v>2398825</v>
      </c>
      <c r="M15" s="66">
        <f>ROUND(data!P67,0)</f>
        <v>3476612</v>
      </c>
      <c r="N15" s="222">
        <f>ROUND(data!P68,0)</f>
        <v>25054</v>
      </c>
      <c r="O15" s="222">
        <f>ROUND(data!P69,0)</f>
        <v>126659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126659</v>
      </c>
      <c r="AD15" s="222">
        <f>ROUND(data!P84,0)</f>
        <v>86631</v>
      </c>
      <c r="AE15" s="222">
        <f>ROUND(data!P89,0)</f>
        <v>293815347</v>
      </c>
      <c r="AF15" s="222">
        <f>ROUND(data!P87,0)</f>
        <v>153058448</v>
      </c>
      <c r="AG15" s="222">
        <f>IF(data!P90&gt;0,ROUND(data!P90,0),0)</f>
        <v>41973</v>
      </c>
      <c r="AH15" s="222">
        <f>IF(data!P91&gt;0,ROUND(data!P91,0),0)</f>
        <v>0</v>
      </c>
      <c r="AI15" s="222">
        <f>IF(data!P92&gt;0,ROUND(data!P92,0),0)</f>
        <v>17915</v>
      </c>
      <c r="AJ15" s="222">
        <f>IF(data!P93&gt;0,ROUND(data!P93,0),0)</f>
        <v>141673</v>
      </c>
      <c r="AK15" s="212">
        <f>IF(data!P94&gt;0,ROUND(data!P94,2),0)</f>
        <v>53.69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170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747589</v>
      </c>
      <c r="F16" s="212">
        <f>ROUND(data!Q60,2)</f>
        <v>27.3</v>
      </c>
      <c r="G16" s="222">
        <f>ROUND(data!Q61,0)</f>
        <v>3509108</v>
      </c>
      <c r="H16" s="222">
        <f>ROUND(data!Q62,0)</f>
        <v>795869</v>
      </c>
      <c r="I16" s="222">
        <f>ROUND(data!Q63,0)</f>
        <v>0</v>
      </c>
      <c r="J16" s="222">
        <f>ROUND(data!Q64,0)</f>
        <v>67630</v>
      </c>
      <c r="K16" s="222">
        <f>ROUND(data!Q65,0)</f>
        <v>0</v>
      </c>
      <c r="L16" s="222">
        <f>ROUND(data!Q66,0)</f>
        <v>0</v>
      </c>
      <c r="M16" s="66">
        <f>ROUND(data!Q67,0)</f>
        <v>244468</v>
      </c>
      <c r="N16" s="222">
        <f>ROUND(data!Q68,0)</f>
        <v>0</v>
      </c>
      <c r="O16" s="222">
        <f>ROUND(data!Q69,0)</f>
        <v>1286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1286</v>
      </c>
      <c r="AD16" s="222">
        <f>ROUND(data!Q84,0)</f>
        <v>0</v>
      </c>
      <c r="AE16" s="222">
        <f>ROUND(data!Q89,0)</f>
        <v>15791050</v>
      </c>
      <c r="AF16" s="222">
        <f>ROUND(data!Q87,0)</f>
        <v>5012682</v>
      </c>
      <c r="AG16" s="222">
        <f>IF(data!Q90&gt;0,ROUND(data!Q90,0),0)</f>
        <v>8498</v>
      </c>
      <c r="AH16" s="222">
        <f>IF(data!Q91&gt;0,ROUND(data!Q91,0),0)</f>
        <v>0</v>
      </c>
      <c r="AI16" s="222">
        <f>IF(data!Q92&gt;0,ROUND(data!Q92,0),0)</f>
        <v>3627</v>
      </c>
      <c r="AJ16" s="222">
        <f>IF(data!Q93&gt;0,ROUND(data!Q93,0),0)</f>
        <v>51123</v>
      </c>
      <c r="AK16" s="212">
        <f>IF(data!Q94&gt;0,ROUND(data!Q94,2),0)</f>
        <v>19.37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170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2353447</v>
      </c>
      <c r="F17" s="212">
        <f>ROUND(data!R60,2)</f>
        <v>6.86</v>
      </c>
      <c r="G17" s="222">
        <f>ROUND(data!R61,0)</f>
        <v>421404</v>
      </c>
      <c r="H17" s="222">
        <f>ROUND(data!R62,0)</f>
        <v>169062</v>
      </c>
      <c r="I17" s="222">
        <f>ROUND(data!R63,0)</f>
        <v>1917318</v>
      </c>
      <c r="J17" s="222">
        <f>ROUND(data!R64,0)</f>
        <v>835087</v>
      </c>
      <c r="K17" s="222">
        <f>ROUND(data!R65,0)</f>
        <v>0</v>
      </c>
      <c r="L17" s="222">
        <f>ROUND(data!R66,0)</f>
        <v>13737</v>
      </c>
      <c r="M17" s="66">
        <f>ROUND(data!R67,0)</f>
        <v>240993</v>
      </c>
      <c r="N17" s="222">
        <f>ROUND(data!R68,0)</f>
        <v>0</v>
      </c>
      <c r="O17" s="222">
        <f>ROUND(data!R69,0)</f>
        <v>6671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6671</v>
      </c>
      <c r="AD17" s="222">
        <f>ROUND(data!R84,0)</f>
        <v>0</v>
      </c>
      <c r="AE17" s="222">
        <f>ROUND(data!R89,0)</f>
        <v>74992674</v>
      </c>
      <c r="AF17" s="222">
        <f>ROUND(data!R87,0)</f>
        <v>37308696</v>
      </c>
      <c r="AG17" s="222">
        <f>IF(data!R90&gt;0,ROUND(data!R90,0),0)</f>
        <v>1008</v>
      </c>
      <c r="AH17" s="222">
        <f>IF(data!R91&gt;0,ROUND(data!R91,0),0)</f>
        <v>0</v>
      </c>
      <c r="AI17" s="222">
        <f>IF(data!R92&gt;0,ROUND(data!R92,0),0)</f>
        <v>430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170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35.24</v>
      </c>
      <c r="G18" s="222">
        <f>ROUND(data!S61,0)</f>
        <v>2923042</v>
      </c>
      <c r="H18" s="222">
        <f>ROUND(data!S62,0)</f>
        <v>627012</v>
      </c>
      <c r="I18" s="222">
        <f>ROUND(data!S63,0)</f>
        <v>0</v>
      </c>
      <c r="J18" s="222">
        <f>ROUND(data!S64,0)</f>
        <v>708144</v>
      </c>
      <c r="K18" s="222">
        <f>ROUND(data!S65,0)</f>
        <v>0</v>
      </c>
      <c r="L18" s="222">
        <f>ROUND(data!S66,0)</f>
        <v>-11820</v>
      </c>
      <c r="M18" s="66">
        <f>ROUND(data!S67,0)</f>
        <v>573419</v>
      </c>
      <c r="N18" s="222">
        <f>ROUND(data!S68,0)</f>
        <v>0</v>
      </c>
      <c r="O18" s="222">
        <f>ROUND(data!S69,0)</f>
        <v>33131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33131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19851</v>
      </c>
      <c r="AH18" s="222">
        <f>IF(data!S91&gt;0,ROUND(data!S91,0),0)</f>
        <v>0</v>
      </c>
      <c r="AI18" s="222">
        <f>IF(data!S92&gt;0,ROUND(data!S92,0),0)</f>
        <v>8473</v>
      </c>
      <c r="AJ18" s="222">
        <f>IF(data!S93&gt;0,ROUND(data!S93,0),0)</f>
        <v>4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170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31.69</v>
      </c>
      <c r="G19" s="222">
        <f>ROUND(data!T61,0)</f>
        <v>4025739</v>
      </c>
      <c r="H19" s="222">
        <f>ROUND(data!T62,0)</f>
        <v>936430</v>
      </c>
      <c r="I19" s="222">
        <f>ROUND(data!T63,0)</f>
        <v>0</v>
      </c>
      <c r="J19" s="222">
        <f>ROUND(data!T64,0)</f>
        <v>826837</v>
      </c>
      <c r="K19" s="222">
        <f>ROUND(data!T65,0)</f>
        <v>0</v>
      </c>
      <c r="L19" s="222">
        <f>ROUND(data!T66,0)</f>
        <v>20173</v>
      </c>
      <c r="M19" s="66">
        <f>ROUND(data!T67,0)</f>
        <v>33468</v>
      </c>
      <c r="N19" s="222">
        <f>ROUND(data!T68,0)</f>
        <v>226981</v>
      </c>
      <c r="O19" s="222">
        <f>ROUND(data!T69,0)</f>
        <v>36287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36287</v>
      </c>
      <c r="AD19" s="222">
        <f>ROUND(data!T84,0)</f>
        <v>48574</v>
      </c>
      <c r="AE19" s="222">
        <f>ROUND(data!T89,0)</f>
        <v>20972036</v>
      </c>
      <c r="AF19" s="222">
        <f>ROUND(data!T87,0)</f>
        <v>4480968</v>
      </c>
      <c r="AG19" s="222">
        <f>IF(data!T90&gt;0,ROUND(data!T90,0),0)</f>
        <v>109</v>
      </c>
      <c r="AH19" s="222">
        <f>IF(data!T91&gt;0,ROUND(data!T91,0),0)</f>
        <v>0</v>
      </c>
      <c r="AI19" s="222">
        <f>IF(data!T92&gt;0,ROUND(data!T92,0),0)</f>
        <v>46</v>
      </c>
      <c r="AJ19" s="222">
        <f>IF(data!T93&gt;0,ROUND(data!T93,0),0)</f>
        <v>70219</v>
      </c>
      <c r="AK19" s="212">
        <f>IF(data!T94&gt;0,ROUND(data!T94,2),0)</f>
        <v>26.61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170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1140738</v>
      </c>
      <c r="F20" s="212">
        <f>ROUND(data!U60,2)</f>
        <v>93.03</v>
      </c>
      <c r="G20" s="222">
        <f>ROUND(data!U61,0)</f>
        <v>7785749</v>
      </c>
      <c r="H20" s="222">
        <f>ROUND(data!U62,0)</f>
        <v>2209485</v>
      </c>
      <c r="I20" s="222">
        <f>ROUND(data!U63,0)</f>
        <v>0</v>
      </c>
      <c r="J20" s="222">
        <f>ROUND(data!U64,0)</f>
        <v>1909447</v>
      </c>
      <c r="K20" s="222">
        <f>ROUND(data!U65,0)</f>
        <v>0</v>
      </c>
      <c r="L20" s="222">
        <f>ROUND(data!U66,0)</f>
        <v>9787064</v>
      </c>
      <c r="M20" s="66">
        <f>ROUND(data!U67,0)</f>
        <v>341658</v>
      </c>
      <c r="N20" s="222">
        <f>ROUND(data!U68,0)</f>
        <v>13942</v>
      </c>
      <c r="O20" s="222">
        <f>ROUND(data!U69,0)</f>
        <v>44307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44307</v>
      </c>
      <c r="AD20" s="222">
        <f>ROUND(data!U84,0)</f>
        <v>1370</v>
      </c>
      <c r="AE20" s="222">
        <f>ROUND(data!U89,0)</f>
        <v>194036471</v>
      </c>
      <c r="AF20" s="222">
        <f>ROUND(data!U87,0)</f>
        <v>108283807</v>
      </c>
      <c r="AG20" s="222">
        <f>IF(data!U90&gt;0,ROUND(data!U90,0),0)</f>
        <v>16164</v>
      </c>
      <c r="AH20" s="222">
        <f>IF(data!U91&gt;0,ROUND(data!U91,0),0)</f>
        <v>0</v>
      </c>
      <c r="AI20" s="222">
        <f>IF(data!U92&gt;0,ROUND(data!U92,0),0)</f>
        <v>6899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170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55462</v>
      </c>
      <c r="F21" s="212">
        <f>ROUND(data!V60,2)</f>
        <v>17.48</v>
      </c>
      <c r="G21" s="222">
        <f>ROUND(data!V61,0)</f>
        <v>1017904</v>
      </c>
      <c r="H21" s="222">
        <f>ROUND(data!V62,0)</f>
        <v>307562</v>
      </c>
      <c r="I21" s="222">
        <f>ROUND(data!V63,0)</f>
        <v>58680</v>
      </c>
      <c r="J21" s="222">
        <f>ROUND(data!V64,0)</f>
        <v>35050</v>
      </c>
      <c r="K21" s="222">
        <f>ROUND(data!V65,0)</f>
        <v>0</v>
      </c>
      <c r="L21" s="222">
        <f>ROUND(data!V66,0)</f>
        <v>41</v>
      </c>
      <c r="M21" s="66">
        <f>ROUND(data!V67,0)</f>
        <v>16966</v>
      </c>
      <c r="N21" s="222">
        <f>ROUND(data!V68,0)</f>
        <v>0</v>
      </c>
      <c r="O21" s="222">
        <f>ROUND(data!V69,0)</f>
        <v>895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895</v>
      </c>
      <c r="AD21" s="222">
        <f>ROUND(data!V84,0)</f>
        <v>0</v>
      </c>
      <c r="AE21" s="222">
        <f>ROUND(data!V89,0)</f>
        <v>20250194</v>
      </c>
      <c r="AF21" s="222">
        <f>ROUND(data!V87,0)</f>
        <v>7650572</v>
      </c>
      <c r="AG21" s="222">
        <f>IF(data!V90&gt;0,ROUND(data!V90,0),0)</f>
        <v>608</v>
      </c>
      <c r="AH21" s="222">
        <f>IF(data!V91&gt;0,ROUND(data!V91,0),0)</f>
        <v>0</v>
      </c>
      <c r="AI21" s="222">
        <f>IF(data!V92&gt;0,ROUND(data!V92,0),0)</f>
        <v>260</v>
      </c>
      <c r="AJ21" s="222">
        <f>IF(data!V93&gt;0,ROUND(data!V93,0),0)</f>
        <v>19</v>
      </c>
      <c r="AK21" s="212">
        <f>IF(data!V94&gt;0,ROUND(data!V94,2),0)</f>
        <v>0.01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170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9063</v>
      </c>
      <c r="F22" s="212">
        <f>ROUND(data!W60,2)</f>
        <v>6.84</v>
      </c>
      <c r="G22" s="222">
        <f>ROUND(data!W61,0)</f>
        <v>802562</v>
      </c>
      <c r="H22" s="222">
        <f>ROUND(data!W62,0)</f>
        <v>214732</v>
      </c>
      <c r="I22" s="222">
        <f>ROUND(data!W63,0)</f>
        <v>0</v>
      </c>
      <c r="J22" s="222">
        <f>ROUND(data!W64,0)</f>
        <v>114929</v>
      </c>
      <c r="K22" s="222">
        <f>ROUND(data!W65,0)</f>
        <v>0</v>
      </c>
      <c r="L22" s="222">
        <f>ROUND(data!W66,0)</f>
        <v>7503</v>
      </c>
      <c r="M22" s="66">
        <f>ROUND(data!W67,0)</f>
        <v>563342</v>
      </c>
      <c r="N22" s="222">
        <f>ROUND(data!W68,0)</f>
        <v>0</v>
      </c>
      <c r="O22" s="222">
        <f>ROUND(data!W69,0)</f>
        <v>829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829</v>
      </c>
      <c r="AD22" s="222">
        <f>ROUND(data!W84,0)</f>
        <v>3617</v>
      </c>
      <c r="AE22" s="222">
        <f>ROUND(data!W89,0)</f>
        <v>32324755</v>
      </c>
      <c r="AF22" s="222">
        <f>ROUND(data!W87,0)</f>
        <v>8666821</v>
      </c>
      <c r="AG22" s="222">
        <f>IF(data!W90&gt;0,ROUND(data!W90,0),0)</f>
        <v>2000</v>
      </c>
      <c r="AH22" s="222">
        <f>IF(data!W91&gt;0,ROUND(data!W91,0),0)</f>
        <v>0</v>
      </c>
      <c r="AI22" s="222">
        <f>IF(data!W92&gt;0,ROUND(data!W92,0),0)</f>
        <v>854</v>
      </c>
      <c r="AJ22" s="222">
        <f>IF(data!W93&gt;0,ROUND(data!W93,0),0)</f>
        <v>3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170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55612</v>
      </c>
      <c r="F23" s="212">
        <f>ROUND(data!X60,2)</f>
        <v>16.3</v>
      </c>
      <c r="G23" s="222">
        <f>ROUND(data!X61,0)</f>
        <v>2142777</v>
      </c>
      <c r="H23" s="222">
        <f>ROUND(data!X62,0)</f>
        <v>410179</v>
      </c>
      <c r="I23" s="222">
        <f>ROUND(data!X63,0)</f>
        <v>0</v>
      </c>
      <c r="J23" s="222">
        <f>ROUND(data!X64,0)</f>
        <v>648383</v>
      </c>
      <c r="K23" s="222">
        <f>ROUND(data!X65,0)</f>
        <v>0</v>
      </c>
      <c r="L23" s="222">
        <f>ROUND(data!X66,0)</f>
        <v>109271</v>
      </c>
      <c r="M23" s="66">
        <f>ROUND(data!X67,0)</f>
        <v>56002</v>
      </c>
      <c r="N23" s="222">
        <f>ROUND(data!X68,0)</f>
        <v>125</v>
      </c>
      <c r="O23" s="222">
        <f>ROUND(data!X69,0)</f>
        <v>8661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8661</v>
      </c>
      <c r="AD23" s="222">
        <f>ROUND(data!X84,0)</f>
        <v>0</v>
      </c>
      <c r="AE23" s="222">
        <f>ROUND(data!X89,0)</f>
        <v>157767569</v>
      </c>
      <c r="AF23" s="222">
        <f>ROUND(data!X87,0)</f>
        <v>50415992</v>
      </c>
      <c r="AG23" s="222">
        <f>IF(data!X90&gt;0,ROUND(data!X90,0),0)</f>
        <v>2583</v>
      </c>
      <c r="AH23" s="222">
        <f>IF(data!X91&gt;0,ROUND(data!X91,0),0)</f>
        <v>0</v>
      </c>
      <c r="AI23" s="222">
        <f>IF(data!X92&gt;0,ROUND(data!X92,0),0)</f>
        <v>1103</v>
      </c>
      <c r="AJ23" s="222">
        <f>IF(data!X93&gt;0,ROUND(data!X93,0),0)</f>
        <v>8157</v>
      </c>
      <c r="AK23" s="212">
        <f>IF(data!X94&gt;0,ROUND(data!X94,2),0)</f>
        <v>3.09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170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133667</v>
      </c>
      <c r="F24" s="212">
        <f>ROUND(data!Y60,2)</f>
        <v>127.79</v>
      </c>
      <c r="G24" s="222">
        <f>ROUND(data!Y61,0)</f>
        <v>13749652</v>
      </c>
      <c r="H24" s="222">
        <f>ROUND(data!Y62,0)</f>
        <v>3272332</v>
      </c>
      <c r="I24" s="222">
        <f>ROUND(data!Y63,0)</f>
        <v>240021</v>
      </c>
      <c r="J24" s="222">
        <f>ROUND(data!Y64,0)</f>
        <v>29520541</v>
      </c>
      <c r="K24" s="222">
        <f>ROUND(data!Y65,0)</f>
        <v>600</v>
      </c>
      <c r="L24" s="222">
        <f>ROUND(data!Y66,0)</f>
        <v>33477</v>
      </c>
      <c r="M24" s="66">
        <f>ROUND(data!Y67,0)</f>
        <v>1873620</v>
      </c>
      <c r="N24" s="222">
        <f>ROUND(data!Y68,0)</f>
        <v>1299480</v>
      </c>
      <c r="O24" s="222">
        <f>ROUND(data!Y69,0)</f>
        <v>136682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136682</v>
      </c>
      <c r="AD24" s="222">
        <f>ROUND(data!Y84,0)</f>
        <v>19579</v>
      </c>
      <c r="AE24" s="222">
        <f>ROUND(data!Y89,0)</f>
        <v>405670417</v>
      </c>
      <c r="AF24" s="222">
        <f>ROUND(data!Y87,0)</f>
        <v>210688091</v>
      </c>
      <c r="AG24" s="222">
        <f>IF(data!Y90&gt;0,ROUND(data!Y90,0),0)</f>
        <v>12051</v>
      </c>
      <c r="AH24" s="222">
        <f>IF(data!Y91&gt;0,ROUND(data!Y91,0),0)</f>
        <v>0</v>
      </c>
      <c r="AI24" s="222">
        <f>IF(data!Y92&gt;0,ROUND(data!Y92,0),0)</f>
        <v>5144</v>
      </c>
      <c r="AJ24" s="222">
        <f>IF(data!Y93&gt;0,ROUND(data!Y93,0),0)</f>
        <v>38450</v>
      </c>
      <c r="AK24" s="212">
        <f>IF(data!Y94&gt;0,ROUND(data!Y94,2),0)</f>
        <v>14.57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170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6820</v>
      </c>
      <c r="F25" s="212">
        <f>ROUND(data!Z60,2)</f>
        <v>8.23</v>
      </c>
      <c r="G25" s="222">
        <f>ROUND(data!Z61,0)</f>
        <v>945007</v>
      </c>
      <c r="H25" s="222">
        <f>ROUND(data!Z62,0)</f>
        <v>241184</v>
      </c>
      <c r="I25" s="222">
        <f>ROUND(data!Z63,0)</f>
        <v>-1600</v>
      </c>
      <c r="J25" s="222">
        <f>ROUND(data!Z64,0)</f>
        <v>30478</v>
      </c>
      <c r="K25" s="222">
        <f>ROUND(data!Z65,0)</f>
        <v>0</v>
      </c>
      <c r="L25" s="222">
        <f>ROUND(data!Z66,0)</f>
        <v>2941</v>
      </c>
      <c r="M25" s="66">
        <f>ROUND(data!Z67,0)</f>
        <v>196284</v>
      </c>
      <c r="N25" s="222">
        <f>ROUND(data!Z68,0)</f>
        <v>0</v>
      </c>
      <c r="O25" s="222">
        <f>ROUND(data!Z69,0)</f>
        <v>8437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8437</v>
      </c>
      <c r="AD25" s="222">
        <f>ROUND(data!Z84,0)</f>
        <v>0</v>
      </c>
      <c r="AE25" s="222">
        <f>ROUND(data!Z89,0)</f>
        <v>15498178</v>
      </c>
      <c r="AF25" s="222">
        <f>ROUND(data!Z87,0)</f>
        <v>546331</v>
      </c>
      <c r="AG25" s="222">
        <f>IF(data!Z90&gt;0,ROUND(data!Z90,0),0)</f>
        <v>8730</v>
      </c>
      <c r="AH25" s="222">
        <f>IF(data!Z91&gt;0,ROUND(data!Z91,0),0)</f>
        <v>0</v>
      </c>
      <c r="AI25" s="222">
        <f>IF(data!Z92&gt;0,ROUND(data!Z92,0),0)</f>
        <v>3726</v>
      </c>
      <c r="AJ25" s="222">
        <f>IF(data!Z93&gt;0,ROUND(data!Z93,0),0)</f>
        <v>638</v>
      </c>
      <c r="AK25" s="212">
        <f>IF(data!Z94&gt;0,ROUND(data!Z94,2),0)</f>
        <v>0.24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170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2344</v>
      </c>
      <c r="F26" s="212">
        <f>ROUND(data!AA60,2)</f>
        <v>3.9</v>
      </c>
      <c r="G26" s="222">
        <f>ROUND(data!AA61,0)</f>
        <v>484027</v>
      </c>
      <c r="H26" s="222">
        <f>ROUND(data!AA62,0)</f>
        <v>118000</v>
      </c>
      <c r="I26" s="222">
        <f>ROUND(data!AA63,0)</f>
        <v>0</v>
      </c>
      <c r="J26" s="222">
        <f>ROUND(data!AA64,0)</f>
        <v>519998</v>
      </c>
      <c r="K26" s="222">
        <f>ROUND(data!AA65,0)</f>
        <v>0</v>
      </c>
      <c r="L26" s="222">
        <f>ROUND(data!AA66,0)</f>
        <v>390829</v>
      </c>
      <c r="M26" s="66">
        <f>ROUND(data!AA67,0)</f>
        <v>123434</v>
      </c>
      <c r="N26" s="222">
        <f>ROUND(data!AA68,0)</f>
        <v>0</v>
      </c>
      <c r="O26" s="222">
        <f>ROUND(data!AA69,0)</f>
        <v>1217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1217</v>
      </c>
      <c r="AD26" s="222">
        <f>ROUND(data!AA84,0)</f>
        <v>0</v>
      </c>
      <c r="AE26" s="222">
        <f>ROUND(data!AA89,0)</f>
        <v>10657481</v>
      </c>
      <c r="AF26" s="222">
        <f>ROUND(data!AA87,0)</f>
        <v>1642527</v>
      </c>
      <c r="AG26" s="222">
        <f>IF(data!AA90&gt;0,ROUND(data!AA90,0),0)</f>
        <v>2813</v>
      </c>
      <c r="AH26" s="222">
        <f>IF(data!AA91&gt;0,ROUND(data!AA91,0),0)</f>
        <v>0</v>
      </c>
      <c r="AI26" s="222">
        <f>IF(data!AA92&gt;0,ROUND(data!AA92,0),0)</f>
        <v>1201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170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84.84</v>
      </c>
      <c r="G27" s="222">
        <f>ROUND(data!AB61,0)</f>
        <v>9450947</v>
      </c>
      <c r="H27" s="222">
        <f>ROUND(data!AB62,0)</f>
        <v>1716637</v>
      </c>
      <c r="I27" s="222">
        <f>ROUND(data!AB63,0)</f>
        <v>0</v>
      </c>
      <c r="J27" s="222">
        <f>ROUND(data!AB64,0)</f>
        <v>30815615</v>
      </c>
      <c r="K27" s="222">
        <f>ROUND(data!AB65,0)</f>
        <v>0</v>
      </c>
      <c r="L27" s="222">
        <f>ROUND(data!AB66,0)</f>
        <v>2331878</v>
      </c>
      <c r="M27" s="66">
        <f>ROUND(data!AB67,0)</f>
        <v>382162</v>
      </c>
      <c r="N27" s="222">
        <f>ROUND(data!AB68,0)</f>
        <v>735038</v>
      </c>
      <c r="O27" s="222">
        <f>ROUND(data!AB69,0)</f>
        <v>28559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28559</v>
      </c>
      <c r="AD27" s="222">
        <f>ROUND(data!AB84,0)</f>
        <v>6410489</v>
      </c>
      <c r="AE27" s="222">
        <f>ROUND(data!AB89,0)</f>
        <v>160561643</v>
      </c>
      <c r="AF27" s="222">
        <f>ROUND(data!AB87,0)</f>
        <v>74263576</v>
      </c>
      <c r="AG27" s="222">
        <f>IF(data!AB90&gt;0,ROUND(data!AB90,0),0)</f>
        <v>13398</v>
      </c>
      <c r="AH27" s="222">
        <f>IF(data!AB91&gt;0,ROUND(data!AB91,0),0)</f>
        <v>0</v>
      </c>
      <c r="AI27" s="222">
        <f>IF(data!AB92&gt;0,ROUND(data!AB92,0),0)</f>
        <v>5718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170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118046</v>
      </c>
      <c r="F28" s="212">
        <f>ROUND(data!AC60,2)</f>
        <v>70.85</v>
      </c>
      <c r="G28" s="222">
        <f>ROUND(data!AC61,0)</f>
        <v>9072064</v>
      </c>
      <c r="H28" s="222">
        <f>ROUND(data!AC62,0)</f>
        <v>1769386</v>
      </c>
      <c r="I28" s="222">
        <f>ROUND(data!AC63,0)</f>
        <v>0</v>
      </c>
      <c r="J28" s="222">
        <f>ROUND(data!AC64,0)</f>
        <v>1438877</v>
      </c>
      <c r="K28" s="222">
        <f>ROUND(data!AC65,0)</f>
        <v>0</v>
      </c>
      <c r="L28" s="222">
        <f>ROUND(data!AC66,0)</f>
        <v>13151</v>
      </c>
      <c r="M28" s="66">
        <f>ROUND(data!AC67,0)</f>
        <v>293793</v>
      </c>
      <c r="N28" s="222">
        <f>ROUND(data!AC68,0)</f>
        <v>92785</v>
      </c>
      <c r="O28" s="222">
        <f>ROUND(data!AC69,0)</f>
        <v>13241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13241</v>
      </c>
      <c r="AD28" s="222">
        <f>ROUND(data!AC84,0)</f>
        <v>0</v>
      </c>
      <c r="AE28" s="222">
        <f>ROUND(data!AC89,0)</f>
        <v>73140339</v>
      </c>
      <c r="AF28" s="222">
        <f>ROUND(data!AC87,0)</f>
        <v>67758776</v>
      </c>
      <c r="AG28" s="222">
        <f>IF(data!AC90&gt;0,ROUND(data!AC90,0),0)</f>
        <v>1687</v>
      </c>
      <c r="AH28" s="222">
        <f>IF(data!AC91&gt;0,ROUND(data!AC91,0),0)</f>
        <v>0</v>
      </c>
      <c r="AI28" s="222">
        <f>IF(data!AC92&gt;0,ROUND(data!AC92,0),0)</f>
        <v>720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170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3055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51418</v>
      </c>
      <c r="K29" s="222">
        <f>ROUND(data!AD65,0)</f>
        <v>0</v>
      </c>
      <c r="L29" s="222">
        <f>ROUND(data!AD66,0)</f>
        <v>1610240</v>
      </c>
      <c r="M29" s="66">
        <f>ROUND(data!AD67,0)</f>
        <v>5964</v>
      </c>
      <c r="N29" s="222">
        <f>ROUND(data!AD68,0)</f>
        <v>0</v>
      </c>
      <c r="O29" s="222">
        <f>ROUND(data!AD69,0)</f>
        <v>21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21</v>
      </c>
      <c r="AD29" s="222">
        <f>ROUND(data!AD84,0)</f>
        <v>0</v>
      </c>
      <c r="AE29" s="222">
        <f>ROUND(data!AD89,0)</f>
        <v>9340846</v>
      </c>
      <c r="AF29" s="222">
        <f>ROUND(data!AD87,0)</f>
        <v>7470029</v>
      </c>
      <c r="AG29" s="222">
        <f>IF(data!AD90&gt;0,ROUND(data!AD90,0),0)</f>
        <v>315</v>
      </c>
      <c r="AH29" s="222">
        <f>IF(data!AD91&gt;0,ROUND(data!AD91,0),0)</f>
        <v>0</v>
      </c>
      <c r="AI29" s="222">
        <f>IF(data!AD92&gt;0,ROUND(data!AD92,0),0)</f>
        <v>135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170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193084</v>
      </c>
      <c r="F30" s="212">
        <f>ROUND(data!AE60,2)</f>
        <v>75.04</v>
      </c>
      <c r="G30" s="222">
        <f>ROUND(data!AE61,0)</f>
        <v>7467256</v>
      </c>
      <c r="H30" s="222">
        <f>ROUND(data!AE62,0)</f>
        <v>1921681</v>
      </c>
      <c r="I30" s="222">
        <f>ROUND(data!AE63,0)</f>
        <v>0</v>
      </c>
      <c r="J30" s="222">
        <f>ROUND(data!AE64,0)</f>
        <v>100733</v>
      </c>
      <c r="K30" s="222">
        <f>ROUND(data!AE65,0)</f>
        <v>0</v>
      </c>
      <c r="L30" s="222">
        <f>ROUND(data!AE66,0)</f>
        <v>42988</v>
      </c>
      <c r="M30" s="66">
        <f>ROUND(data!AE67,0)</f>
        <v>101890</v>
      </c>
      <c r="N30" s="222">
        <f>ROUND(data!AE68,0)</f>
        <v>440859</v>
      </c>
      <c r="O30" s="222">
        <f>ROUND(data!AE69,0)</f>
        <v>22166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22166</v>
      </c>
      <c r="AD30" s="222">
        <f>ROUND(data!AE84,0)</f>
        <v>16480</v>
      </c>
      <c r="AE30" s="222">
        <f>ROUND(data!AE89,0)</f>
        <v>38339197</v>
      </c>
      <c r="AF30" s="222">
        <f>ROUND(data!AE87,0)</f>
        <v>22632810</v>
      </c>
      <c r="AG30" s="222">
        <f>IF(data!AE90&gt;0,ROUND(data!AE90,0),0)</f>
        <v>1020</v>
      </c>
      <c r="AH30" s="222">
        <f>IF(data!AE91&gt;0,ROUND(data!AE91,0),0)</f>
        <v>0</v>
      </c>
      <c r="AI30" s="222">
        <f>IF(data!AE92&gt;0,ROUND(data!AE92,0),0)</f>
        <v>435</v>
      </c>
      <c r="AJ30" s="222">
        <f>IF(data!AE93&gt;0,ROUND(data!AE93,0),0)</f>
        <v>2969</v>
      </c>
      <c r="AK30" s="212">
        <f>IF(data!AE94&gt;0,ROUND(data!AE94,2),0)</f>
        <v>1.12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170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10364</v>
      </c>
      <c r="F31" s="212">
        <f>ROUND(data!AF60,2)</f>
        <v>10.51</v>
      </c>
      <c r="G31" s="222">
        <f>ROUND(data!AF61,0)</f>
        <v>1820150</v>
      </c>
      <c r="H31" s="222">
        <f>ROUND(data!AF62,0)</f>
        <v>406535</v>
      </c>
      <c r="I31" s="222">
        <f>ROUND(data!AF63,0)</f>
        <v>0</v>
      </c>
      <c r="J31" s="222">
        <f>ROUND(data!AF64,0)</f>
        <v>10676</v>
      </c>
      <c r="K31" s="222">
        <f>ROUND(data!AF65,0)</f>
        <v>0</v>
      </c>
      <c r="L31" s="222">
        <f>ROUND(data!AF66,0)</f>
        <v>1047</v>
      </c>
      <c r="M31" s="66">
        <f>ROUND(data!AF67,0)</f>
        <v>84622</v>
      </c>
      <c r="N31" s="222">
        <f>ROUND(data!AF68,0)</f>
        <v>0</v>
      </c>
      <c r="O31" s="222">
        <f>ROUND(data!AF69,0)</f>
        <v>6941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6941</v>
      </c>
      <c r="AD31" s="222">
        <f>ROUND(data!AF84,0)</f>
        <v>27925</v>
      </c>
      <c r="AE31" s="222">
        <f>ROUND(data!AF89,0)</f>
        <v>5463225</v>
      </c>
      <c r="AF31" s="222">
        <f>ROUND(data!AF87,0)</f>
        <v>135</v>
      </c>
      <c r="AG31" s="222">
        <f>IF(data!AF90&gt;0,ROUND(data!AF90,0),0)</f>
        <v>4428</v>
      </c>
      <c r="AH31" s="222">
        <f>IF(data!AF91&gt;0,ROUND(data!AF91,0),0)</f>
        <v>1670</v>
      </c>
      <c r="AI31" s="222">
        <f>IF(data!AF92&gt;0,ROUND(data!AF92,0),0)</f>
        <v>1890</v>
      </c>
      <c r="AJ31" s="222">
        <f>IF(data!AF93&gt;0,ROUND(data!AF93,0),0)</f>
        <v>5955</v>
      </c>
      <c r="AK31" s="212">
        <f>IF(data!AF94&gt;0,ROUND(data!AF94,2),0)</f>
        <v>2.26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170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76244</v>
      </c>
      <c r="F32" s="212">
        <f>ROUND(data!AG60,2)</f>
        <v>193.47</v>
      </c>
      <c r="G32" s="222">
        <f>ROUND(data!AG61,0)</f>
        <v>31245998</v>
      </c>
      <c r="H32" s="222">
        <f>ROUND(data!AG62,0)</f>
        <v>5762361</v>
      </c>
      <c r="I32" s="222">
        <f>ROUND(data!AG63,0)</f>
        <v>3225725</v>
      </c>
      <c r="J32" s="222">
        <f>ROUND(data!AG64,0)</f>
        <v>2729858</v>
      </c>
      <c r="K32" s="222">
        <f>ROUND(data!AG65,0)</f>
        <v>1738</v>
      </c>
      <c r="L32" s="222">
        <f>ROUND(data!AG66,0)</f>
        <v>718502</v>
      </c>
      <c r="M32" s="66">
        <f>ROUND(data!AG67,0)</f>
        <v>546869</v>
      </c>
      <c r="N32" s="222">
        <f>ROUND(data!AG68,0)</f>
        <v>399497</v>
      </c>
      <c r="O32" s="222">
        <f>ROUND(data!AG69,0)</f>
        <v>114572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114572</v>
      </c>
      <c r="AD32" s="222">
        <f>ROUND(data!AG84,0)</f>
        <v>1281772</v>
      </c>
      <c r="AE32" s="222">
        <f>ROUND(data!AG89,0)</f>
        <v>294105888</v>
      </c>
      <c r="AF32" s="222">
        <f>ROUND(data!AG87,0)</f>
        <v>75071872</v>
      </c>
      <c r="AG32" s="222">
        <f>IF(data!AG90&gt;0,ROUND(data!AG90,0),0)</f>
        <v>19360</v>
      </c>
      <c r="AH32" s="222">
        <f>IF(data!AG91&gt;0,ROUND(data!AG91,0),0)</f>
        <v>55216</v>
      </c>
      <c r="AI32" s="222">
        <f>IF(data!AG92&gt;0,ROUND(data!AG92,0),0)</f>
        <v>8263</v>
      </c>
      <c r="AJ32" s="222">
        <f>IF(data!AG93&gt;0,ROUND(data!AG93,0),0)</f>
        <v>197190</v>
      </c>
      <c r="AK32" s="212">
        <f>IF(data!AG94&gt;0,ROUND(data!AG94,2),0)</f>
        <v>74.72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170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170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33267</v>
      </c>
      <c r="F34" s="212">
        <f>ROUND(data!AI60,2)</f>
        <v>70.35</v>
      </c>
      <c r="G34" s="222">
        <f>ROUND(data!AI61,0)</f>
        <v>8471960</v>
      </c>
      <c r="H34" s="222">
        <f>ROUND(data!AI62,0)</f>
        <v>1934596</v>
      </c>
      <c r="I34" s="222">
        <f>ROUND(data!AI63,0)</f>
        <v>0</v>
      </c>
      <c r="J34" s="222">
        <f>ROUND(data!AI64,0)</f>
        <v>1419005</v>
      </c>
      <c r="K34" s="222">
        <f>ROUND(data!AI65,0)</f>
        <v>0</v>
      </c>
      <c r="L34" s="222">
        <f>ROUND(data!AI66,0)</f>
        <v>646395</v>
      </c>
      <c r="M34" s="66">
        <f>ROUND(data!AI67,0)</f>
        <v>917578</v>
      </c>
      <c r="N34" s="222">
        <f>ROUND(data!AI68,0)</f>
        <v>104609</v>
      </c>
      <c r="O34" s="222">
        <f>ROUND(data!AI69,0)</f>
        <v>29621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29621</v>
      </c>
      <c r="AD34" s="222">
        <f>ROUND(data!AI84,0)</f>
        <v>0</v>
      </c>
      <c r="AE34" s="222">
        <f>ROUND(data!AI89,0)</f>
        <v>29871500</v>
      </c>
      <c r="AF34" s="222">
        <f>ROUND(data!AI87,0)</f>
        <v>8660200</v>
      </c>
      <c r="AG34" s="222">
        <f>IF(data!AI90&gt;0,ROUND(data!AI90,0),0)</f>
        <v>22076</v>
      </c>
      <c r="AH34" s="222">
        <f>IF(data!AI91&gt;0,ROUND(data!AI91,0),0)</f>
        <v>36018</v>
      </c>
      <c r="AI34" s="222">
        <f>IF(data!AI92&gt;0,ROUND(data!AI92,0),0)</f>
        <v>9422</v>
      </c>
      <c r="AJ34" s="222">
        <f>IF(data!AI93&gt;0,ROUND(data!AI93,0),0)</f>
        <v>123508</v>
      </c>
      <c r="AK34" s="212">
        <f>IF(data!AI94&gt;0,ROUND(data!AI94,2),0)</f>
        <v>46.8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170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176601</v>
      </c>
      <c r="F35" s="212">
        <f>ROUND(data!AJ60,2)</f>
        <v>320.21</v>
      </c>
      <c r="G35" s="222">
        <f>ROUND(data!AJ61,0)</f>
        <v>45397859</v>
      </c>
      <c r="H35" s="222">
        <f>ROUND(data!AJ62,0)</f>
        <v>8476919</v>
      </c>
      <c r="I35" s="222">
        <f>ROUND(data!AJ63,0)</f>
        <v>3324476</v>
      </c>
      <c r="J35" s="222">
        <f>ROUND(data!AJ64,0)</f>
        <v>7090799</v>
      </c>
      <c r="K35" s="222">
        <f>ROUND(data!AJ65,0)</f>
        <v>23723</v>
      </c>
      <c r="L35" s="222">
        <f>ROUND(data!AJ66,0)</f>
        <v>354405</v>
      </c>
      <c r="M35" s="66">
        <f>ROUND(data!AJ67,0)</f>
        <v>288754</v>
      </c>
      <c r="N35" s="222">
        <f>ROUND(data!AJ68,0)</f>
        <v>3469062</v>
      </c>
      <c r="O35" s="222">
        <f>ROUND(data!AJ69,0)</f>
        <v>213479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213479</v>
      </c>
      <c r="AD35" s="222">
        <f>ROUND(data!AJ84,0)</f>
        <v>1599504</v>
      </c>
      <c r="AE35" s="222">
        <f>ROUND(data!AJ89,0)</f>
        <v>95905363</v>
      </c>
      <c r="AF35" s="222">
        <f>ROUND(data!AJ87,0)</f>
        <v>53417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28730</v>
      </c>
      <c r="AK35" s="212">
        <f>IF(data!AJ94&gt;0,ROUND(data!AJ94,2),0)</f>
        <v>10.89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170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170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170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170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170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27768</v>
      </c>
      <c r="F40" s="212">
        <f>ROUND(data!AO60,2)</f>
        <v>15.25</v>
      </c>
      <c r="G40" s="222">
        <f>ROUND(data!AO61,0)</f>
        <v>1948793</v>
      </c>
      <c r="H40" s="222">
        <f>ROUND(data!AO62,0)</f>
        <v>451715</v>
      </c>
      <c r="I40" s="222">
        <f>ROUND(data!AO63,0)</f>
        <v>0</v>
      </c>
      <c r="J40" s="222">
        <f>ROUND(data!AO64,0)</f>
        <v>54826</v>
      </c>
      <c r="K40" s="222">
        <f>ROUND(data!AO65,0)</f>
        <v>0</v>
      </c>
      <c r="L40" s="222">
        <f>ROUND(data!AO66,0)</f>
        <v>36</v>
      </c>
      <c r="M40" s="66">
        <f>ROUND(data!AO67,0)</f>
        <v>182169</v>
      </c>
      <c r="N40" s="222">
        <f>ROUND(data!AO68,0)</f>
        <v>0</v>
      </c>
      <c r="O40" s="222">
        <f>ROUND(data!AO69,0)</f>
        <v>745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745</v>
      </c>
      <c r="AD40" s="222">
        <f>ROUND(data!AO84,0)</f>
        <v>0</v>
      </c>
      <c r="AE40" s="222">
        <f>ROUND(data!AO89,0)</f>
        <v>3976288</v>
      </c>
      <c r="AF40" s="222">
        <f>ROUND(data!AO87,0)</f>
        <v>3201260</v>
      </c>
      <c r="AG40" s="222">
        <f>IF(data!AO90&gt;0,ROUND(data!AO90,0),0)</f>
        <v>4661</v>
      </c>
      <c r="AH40" s="222">
        <f>IF(data!AO91&gt;0,ROUND(data!AO91,0),0)</f>
        <v>0</v>
      </c>
      <c r="AI40" s="222">
        <f>IF(data!AO92&gt;0,ROUND(data!AO92,0),0)</f>
        <v>1989</v>
      </c>
      <c r="AJ40" s="222">
        <f>IF(data!AO93&gt;0,ROUND(data!AO93,0),0)</f>
        <v>35507</v>
      </c>
      <c r="AK40" s="212">
        <f>IF(data!AO94&gt;0,ROUND(data!AO94,2),0)</f>
        <v>13.46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170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123703</v>
      </c>
      <c r="F41" s="212">
        <f>ROUND(data!AP60,2)</f>
        <v>167.55</v>
      </c>
      <c r="G41" s="222">
        <f>ROUND(data!AP61,0)</f>
        <v>22189575</v>
      </c>
      <c r="H41" s="222">
        <f>ROUND(data!AP62,0)</f>
        <v>5829741</v>
      </c>
      <c r="I41" s="222">
        <f>ROUND(data!AP63,0)</f>
        <v>248071</v>
      </c>
      <c r="J41" s="222">
        <f>ROUND(data!AP64,0)</f>
        <v>3142522</v>
      </c>
      <c r="K41" s="222">
        <f>ROUND(data!AP65,0)</f>
        <v>38471</v>
      </c>
      <c r="L41" s="222">
        <f>ROUND(data!AP66,0)</f>
        <v>604363</v>
      </c>
      <c r="M41" s="66">
        <f>ROUND(data!AP67,0)</f>
        <v>211927</v>
      </c>
      <c r="N41" s="222">
        <f>ROUND(data!AP68,0)</f>
        <v>2652230</v>
      </c>
      <c r="O41" s="222">
        <f>ROUND(data!AP69,0)</f>
        <v>52146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52146</v>
      </c>
      <c r="AD41" s="222">
        <f>ROUND(data!AP84,0)</f>
        <v>712532</v>
      </c>
      <c r="AE41" s="222">
        <f>ROUND(data!AP89,0)</f>
        <v>97817537</v>
      </c>
      <c r="AF41" s="222">
        <f>ROUND(data!AP87,0)</f>
        <v>77483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40601</v>
      </c>
      <c r="AK41" s="212">
        <f>IF(data!AP94&gt;0,ROUND(data!AP94,2),0)</f>
        <v>15.39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170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170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112936</v>
      </c>
      <c r="F43" s="212">
        <f>ROUND(data!AR60,2)</f>
        <v>198.31</v>
      </c>
      <c r="G43" s="222">
        <f>ROUND(data!AR61,0)</f>
        <v>21087385</v>
      </c>
      <c r="H43" s="222">
        <f>ROUND(data!AR62,0)</f>
        <v>5172048</v>
      </c>
      <c r="I43" s="222">
        <f>ROUND(data!AR63,0)</f>
        <v>238308</v>
      </c>
      <c r="J43" s="222">
        <f>ROUND(data!AR64,0)</f>
        <v>1968164</v>
      </c>
      <c r="K43" s="222">
        <f>ROUND(data!AR65,0)</f>
        <v>2673</v>
      </c>
      <c r="L43" s="222">
        <f>ROUND(data!AR66,0)</f>
        <v>1532317</v>
      </c>
      <c r="M43" s="66">
        <f>ROUND(data!AR67,0)</f>
        <v>38456</v>
      </c>
      <c r="N43" s="222">
        <f>ROUND(data!AR68,0)</f>
        <v>717140</v>
      </c>
      <c r="O43" s="222">
        <f>ROUND(data!AR69,0)</f>
        <v>622608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622608</v>
      </c>
      <c r="AD43" s="222">
        <f>ROUND(data!AR84,0)</f>
        <v>2553</v>
      </c>
      <c r="AE43" s="222">
        <f>ROUND(data!AR89,0)</f>
        <v>70436308</v>
      </c>
      <c r="AF43" s="222">
        <f>ROUND(data!AR87,0)</f>
        <v>416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219604</v>
      </c>
      <c r="AK43" s="212">
        <f>IF(data!AR94&gt;0,ROUND(data!AR94,2),0)</f>
        <v>83.22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170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170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170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170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5.57</v>
      </c>
      <c r="G47" s="222">
        <f>ROUND(data!AV61,0)</f>
        <v>485009</v>
      </c>
      <c r="H47" s="222">
        <f>ROUND(data!AV62,0)</f>
        <v>145032</v>
      </c>
      <c r="I47" s="222">
        <f>ROUND(data!AV63,0)</f>
        <v>0</v>
      </c>
      <c r="J47" s="222">
        <f>ROUND(data!AV64,0)</f>
        <v>51888</v>
      </c>
      <c r="K47" s="222">
        <f>ROUND(data!AV65,0)</f>
        <v>0</v>
      </c>
      <c r="L47" s="222">
        <f>ROUND(data!AV66,0)</f>
        <v>7248</v>
      </c>
      <c r="M47" s="66">
        <f>ROUND(data!AV67,0)</f>
        <v>20360</v>
      </c>
      <c r="N47" s="222">
        <f>ROUND(data!AV68,0)</f>
        <v>0</v>
      </c>
      <c r="O47" s="222">
        <f>ROUND(data!AV69,0)</f>
        <v>1553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1553</v>
      </c>
      <c r="AD47" s="222">
        <f>ROUND(data!AV84,0)</f>
        <v>0</v>
      </c>
      <c r="AE47" s="222">
        <f>ROUND(data!AV89,0)</f>
        <v>4106721</v>
      </c>
      <c r="AF47" s="222">
        <f>ROUND(data!AV87,0)</f>
        <v>967</v>
      </c>
      <c r="AG47" s="222">
        <f>IF(data!AV90&gt;0,ROUND(data!AV90,0),0)</f>
        <v>573</v>
      </c>
      <c r="AH47" s="222">
        <f>IF(data!AV91&gt;0,ROUND(data!AV91,0),0)</f>
        <v>909</v>
      </c>
      <c r="AI47" s="222">
        <f>IF(data!AV92&gt;0,ROUND(data!AV92,0),0)</f>
        <v>245</v>
      </c>
      <c r="AJ47" s="222">
        <f>IF(data!AV93&gt;0,ROUND(data!AV93,0),0)</f>
        <v>3252</v>
      </c>
      <c r="AK47" s="212">
        <f>IF(data!AV94&gt;0,ROUND(data!AV94,2),0)</f>
        <v>1.23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170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170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170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328157</v>
      </c>
      <c r="F50" s="212">
        <f>ROUND(data!AY60,2)</f>
        <v>86.32</v>
      </c>
      <c r="G50" s="222">
        <f>ROUND(data!AY61,0)</f>
        <v>4283022</v>
      </c>
      <c r="H50" s="222">
        <f>ROUND(data!AY62,0)</f>
        <v>1431355</v>
      </c>
      <c r="I50" s="222">
        <f>ROUND(data!AY63,0)</f>
        <v>0</v>
      </c>
      <c r="J50" s="222">
        <f>ROUND(data!AY64,0)</f>
        <v>215545</v>
      </c>
      <c r="K50" s="222">
        <f>ROUND(data!AY65,0)</f>
        <v>0</v>
      </c>
      <c r="L50" s="222">
        <f>ROUND(data!AY66,0)</f>
        <v>1400034</v>
      </c>
      <c r="M50" s="66">
        <f>ROUND(data!AY67,0)</f>
        <v>459143</v>
      </c>
      <c r="N50" s="222">
        <f>ROUND(data!AY68,0)</f>
        <v>0</v>
      </c>
      <c r="O50" s="222">
        <f>ROUND(data!AY69,0)</f>
        <v>2250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2250</v>
      </c>
      <c r="AD50" s="222">
        <f>ROUND(data!AY84,0)</f>
        <v>12546</v>
      </c>
      <c r="AE50" s="222"/>
      <c r="AF50" s="222"/>
      <c r="AG50" s="222">
        <f>IF(data!AY90&gt;0,ROUND(data!AY90,0),0)</f>
        <v>19714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170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170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170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64.05</v>
      </c>
      <c r="G53" s="222">
        <f>ROUND(data!BB61,0)</f>
        <v>8018387</v>
      </c>
      <c r="H53" s="222">
        <f>ROUND(data!BB62,0)</f>
        <v>1797532</v>
      </c>
      <c r="I53" s="222">
        <f>ROUND(data!BB63,0)</f>
        <v>0</v>
      </c>
      <c r="J53" s="222">
        <f>ROUND(data!BB64,0)</f>
        <v>37197</v>
      </c>
      <c r="K53" s="222">
        <f>ROUND(data!BB65,0)</f>
        <v>0</v>
      </c>
      <c r="L53" s="222">
        <f>ROUND(data!BB66,0)</f>
        <v>1316188</v>
      </c>
      <c r="M53" s="66">
        <f>ROUND(data!BB67,0)</f>
        <v>901</v>
      </c>
      <c r="N53" s="222">
        <f>ROUND(data!BB68,0)</f>
        <v>0</v>
      </c>
      <c r="O53" s="222">
        <f>ROUND(data!BB69,0)</f>
        <v>8912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8912</v>
      </c>
      <c r="AD53" s="222">
        <f>ROUND(data!BB84,0)</f>
        <v>1894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170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170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145755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7707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170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846278</v>
      </c>
      <c r="F56" s="212">
        <f>ROUND(data!BE60,2)</f>
        <v>54.36</v>
      </c>
      <c r="G56" s="222">
        <f>ROUND(data!BE61,0)</f>
        <v>3848436</v>
      </c>
      <c r="H56" s="222">
        <f>ROUND(data!BE62,0)</f>
        <v>1262800</v>
      </c>
      <c r="I56" s="222">
        <f>ROUND(data!BE63,0)</f>
        <v>0</v>
      </c>
      <c r="J56" s="222">
        <f>ROUND(data!BE64,0)</f>
        <v>991331</v>
      </c>
      <c r="K56" s="222">
        <f>ROUND(data!BE65,0)</f>
        <v>2898098</v>
      </c>
      <c r="L56" s="222">
        <f>ROUND(data!BE66,0)</f>
        <v>12190320</v>
      </c>
      <c r="M56" s="66">
        <f>ROUND(data!BE67,0)</f>
        <v>6641952</v>
      </c>
      <c r="N56" s="222">
        <f>ROUND(data!BE68,0)</f>
        <v>2332210</v>
      </c>
      <c r="O56" s="222">
        <f>ROUND(data!BE69,0)</f>
        <v>22908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22908</v>
      </c>
      <c r="AD56" s="222">
        <f>ROUND(data!BE84,0)</f>
        <v>401394</v>
      </c>
      <c r="AE56" s="222"/>
      <c r="AF56" s="222"/>
      <c r="AG56" s="222">
        <f>IF(data!BE90&gt;0,ROUND(data!BE90,0),0)</f>
        <v>322561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170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94.08</v>
      </c>
      <c r="G57" s="222">
        <f>ROUND(data!BF61,0)</f>
        <v>5281954</v>
      </c>
      <c r="H57" s="222">
        <f>ROUND(data!BF62,0)</f>
        <v>1645427</v>
      </c>
      <c r="I57" s="222">
        <f>ROUND(data!BF63,0)</f>
        <v>0</v>
      </c>
      <c r="J57" s="222">
        <f>ROUND(data!BF64,0)</f>
        <v>775856</v>
      </c>
      <c r="K57" s="222">
        <f>ROUND(data!BF65,0)</f>
        <v>838983</v>
      </c>
      <c r="L57" s="222">
        <f>ROUND(data!BF66,0)</f>
        <v>2358665</v>
      </c>
      <c r="M57" s="66">
        <f>ROUND(data!BF67,0)</f>
        <v>646971</v>
      </c>
      <c r="N57" s="222">
        <f>ROUND(data!BF68,0)</f>
        <v>3615</v>
      </c>
      <c r="O57" s="222">
        <f>ROUND(data!BF69,0)</f>
        <v>2647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2647</v>
      </c>
      <c r="AD57" s="222">
        <f>ROUND(data!BF84,0)</f>
        <v>20715</v>
      </c>
      <c r="AE57" s="222"/>
      <c r="AF57" s="222"/>
      <c r="AG57" s="222">
        <f>IF(data!BF90&gt;0,ROUND(data!BF90,0),0)</f>
        <v>21632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170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9.44</v>
      </c>
      <c r="G58" s="222">
        <f>ROUND(data!BG61,0)</f>
        <v>436641</v>
      </c>
      <c r="H58" s="222">
        <f>ROUND(data!BG62,0)</f>
        <v>208485</v>
      </c>
      <c r="I58" s="222">
        <f>ROUND(data!BG63,0)</f>
        <v>0</v>
      </c>
      <c r="J58" s="222">
        <f>ROUND(data!BG64,0)</f>
        <v>520</v>
      </c>
      <c r="K58" s="222">
        <f>ROUND(data!BG65,0)</f>
        <v>0</v>
      </c>
      <c r="L58" s="222">
        <f>ROUND(data!BG66,0)</f>
        <v>0</v>
      </c>
      <c r="M58" s="66">
        <f>ROUND(data!BG67,0)</f>
        <v>60705</v>
      </c>
      <c r="N58" s="222">
        <f>ROUND(data!BG68,0)</f>
        <v>0</v>
      </c>
      <c r="O58" s="222">
        <f>ROUND(data!BG69,0)</f>
        <v>539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539</v>
      </c>
      <c r="AD58" s="222">
        <f>ROUND(data!BG84,0)</f>
        <v>290</v>
      </c>
      <c r="AE58" s="222"/>
      <c r="AF58" s="222"/>
      <c r="AG58" s="222">
        <f>IF(data!BG90&gt;0,ROUND(data!BG90,0),0)</f>
        <v>2790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170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57525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3042</v>
      </c>
      <c r="AH59" s="222">
        <f>IFERROR(IF(data!BH$91&gt;0,ROUND(data!BH$91,0),0),0)</f>
        <v>0</v>
      </c>
      <c r="AI59" s="222">
        <f>IFERROR(IF(data!BH$92&gt;0,ROUND(data!BH$92,0),0),0)</f>
        <v>1298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170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170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170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170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88974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4704</v>
      </c>
      <c r="AH63" s="222">
        <f>IFERROR(IF(data!BL$91&gt;0,ROUND(data!BL$91,0),0),0)</f>
        <v>0</v>
      </c>
      <c r="AI63" s="222">
        <f>IFERROR(IF(data!BL$92&gt;0,ROUND(data!BL$92,0),0),0)</f>
        <v>2008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170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170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12.28</v>
      </c>
      <c r="G65" s="222">
        <f>ROUND(data!BN61,0)</f>
        <v>4232441</v>
      </c>
      <c r="H65" s="222">
        <f>ROUND(data!BN62,0)</f>
        <v>670629</v>
      </c>
      <c r="I65" s="222">
        <f>ROUND(data!BN63,0)</f>
        <v>0</v>
      </c>
      <c r="J65" s="222">
        <f>ROUND(data!BN64,0)</f>
        <v>47833</v>
      </c>
      <c r="K65" s="222">
        <f>ROUND(data!BN65,0)</f>
        <v>0</v>
      </c>
      <c r="L65" s="222">
        <f>ROUND(data!BN66,0)</f>
        <v>73935523</v>
      </c>
      <c r="M65" s="66">
        <f>ROUND(data!BN67,0)</f>
        <v>19198588</v>
      </c>
      <c r="N65" s="222">
        <f>ROUND(data!BN68,0)</f>
        <v>0</v>
      </c>
      <c r="O65" s="222">
        <f>ROUND(data!BN69,0)</f>
        <v>115824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115824</v>
      </c>
      <c r="AD65" s="222">
        <f>ROUND(data!BN84,0)</f>
        <v>174968</v>
      </c>
      <c r="AE65" s="222"/>
      <c r="AF65" s="222"/>
      <c r="AG65" s="222">
        <f>IF(data!BN90&gt;0,ROUND(data!BN90,0),0)</f>
        <v>10257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170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7.67</v>
      </c>
      <c r="G66" s="222">
        <f>ROUND(data!BO61,0)</f>
        <v>527630</v>
      </c>
      <c r="H66" s="222">
        <f>ROUND(data!BO62,0)</f>
        <v>206171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406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406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170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170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170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54412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2877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170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4.52</v>
      </c>
      <c r="G70" s="222">
        <f>ROUND(data!BS61,0)</f>
        <v>256669</v>
      </c>
      <c r="H70" s="222">
        <f>ROUND(data!BS62,0)</f>
        <v>98826</v>
      </c>
      <c r="I70" s="222">
        <f>ROUND(data!BS63,0)</f>
        <v>0</v>
      </c>
      <c r="J70" s="222">
        <f>ROUND(data!BS64,0)</f>
        <v>10202</v>
      </c>
      <c r="K70" s="222">
        <f>ROUND(data!BS65,0)</f>
        <v>0</v>
      </c>
      <c r="L70" s="222">
        <f>ROUND(data!BS66,0)</f>
        <v>0</v>
      </c>
      <c r="M70" s="66">
        <f>ROUND(data!BS67,0)</f>
        <v>34321</v>
      </c>
      <c r="N70" s="222">
        <f>ROUND(data!BS68,0)</f>
        <v>0</v>
      </c>
      <c r="O70" s="222">
        <f>ROUND(data!BS69,0)</f>
        <v>93429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93429</v>
      </c>
      <c r="AD70" s="222">
        <f>ROUND(data!BS84,0)</f>
        <v>159323</v>
      </c>
      <c r="AE70" s="222"/>
      <c r="AF70" s="222"/>
      <c r="AG70" s="222">
        <f>IF(data!BS90&gt;0,ROUND(data!BS90,0),0)</f>
        <v>1689</v>
      </c>
      <c r="AH70" s="222">
        <f>IFERROR(IF(data!BS$91&gt;0,ROUND(data!BS$91,0),0),0)</f>
        <v>0</v>
      </c>
      <c r="AI70" s="222">
        <f>IFERROR(IF(data!BS$92&gt;0,ROUND(data!BS$92,0),0),0)</f>
        <v>721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170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9.43</v>
      </c>
      <c r="G71" s="222">
        <f>ROUND(data!BT61,0)</f>
        <v>861667</v>
      </c>
      <c r="H71" s="222">
        <f>ROUND(data!BT62,0)</f>
        <v>264933</v>
      </c>
      <c r="I71" s="222">
        <f>ROUND(data!BT63,0)</f>
        <v>0</v>
      </c>
      <c r="J71" s="222">
        <f>ROUND(data!BT64,0)</f>
        <v>2004</v>
      </c>
      <c r="K71" s="222">
        <f>ROUND(data!BT65,0)</f>
        <v>0</v>
      </c>
      <c r="L71" s="222">
        <f>ROUND(data!BT66,0)</f>
        <v>834</v>
      </c>
      <c r="M71" s="66">
        <f>ROUND(data!BT67,0)</f>
        <v>26066</v>
      </c>
      <c r="N71" s="222">
        <f>ROUND(data!BT68,0)</f>
        <v>0</v>
      </c>
      <c r="O71" s="222">
        <f>ROUND(data!BT69,0)</f>
        <v>57106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57106</v>
      </c>
      <c r="AD71" s="222">
        <f>ROUND(data!BT84,0)</f>
        <v>27672</v>
      </c>
      <c r="AE71" s="222"/>
      <c r="AF71" s="222"/>
      <c r="AG71" s="222">
        <f>IF(data!BT90&gt;0,ROUND(data!BT90,0),0)</f>
        <v>1378</v>
      </c>
      <c r="AH71" s="222">
        <f>IFERROR(IF(data!BT$91&gt;0,ROUND(data!BT$91,0),0),0)</f>
        <v>0</v>
      </c>
      <c r="AI71" s="222">
        <f>IFERROR(IF(data!BT$92&gt;0,ROUND(data!BT$92,0),0),0)</f>
        <v>588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170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31444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1663</v>
      </c>
      <c r="AH72" s="222">
        <f>IF(data!BU91&gt;0,ROUND(data!BU91,0),0)</f>
        <v>0</v>
      </c>
      <c r="AI72" s="222">
        <f>IF(data!BU92&gt;0,ROUND(data!BU92,0),0)</f>
        <v>710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170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175895</v>
      </c>
      <c r="M73" s="66">
        <f>ROUND(data!BV67,0)</f>
        <v>147766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7813</v>
      </c>
      <c r="AH73" s="222">
        <f>IF(data!BV91&gt;0,ROUND(data!BV91,0),0)</f>
        <v>0</v>
      </c>
      <c r="AI73" s="222">
        <f>IF(data!BV92&gt;0,ROUND(data!BV92,0),0)</f>
        <v>3335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170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6.83</v>
      </c>
      <c r="G74" s="222">
        <f>ROUND(data!BW61,0)</f>
        <v>689666</v>
      </c>
      <c r="H74" s="222">
        <f>ROUND(data!BW62,0)</f>
        <v>191445</v>
      </c>
      <c r="I74" s="222">
        <f>ROUND(data!BW63,0)</f>
        <v>93178</v>
      </c>
      <c r="J74" s="222">
        <f>ROUND(data!BW64,0)</f>
        <v>292224</v>
      </c>
      <c r="K74" s="222">
        <f>ROUND(data!BW65,0)</f>
        <v>0</v>
      </c>
      <c r="L74" s="222">
        <f>ROUND(data!BW66,0)</f>
        <v>1864</v>
      </c>
      <c r="M74" s="66">
        <f>ROUND(data!BW67,0)</f>
        <v>32793</v>
      </c>
      <c r="N74" s="222">
        <f>ROUND(data!BW68,0)</f>
        <v>49210</v>
      </c>
      <c r="O74" s="222">
        <f>ROUND(data!BW69,0)</f>
        <v>8375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8375</v>
      </c>
      <c r="AD74" s="222">
        <f>ROUND(data!BW84,0)</f>
        <v>2150</v>
      </c>
      <c r="AE74" s="222"/>
      <c r="AF74" s="222"/>
      <c r="AG74" s="222">
        <f>IF(data!BW90&gt;0,ROUND(data!BW90,0),0)</f>
        <v>1712</v>
      </c>
      <c r="AH74" s="222">
        <f>IF(data!BW91&gt;0,ROUND(data!BW91,0),0)</f>
        <v>0</v>
      </c>
      <c r="AI74" s="222">
        <f>IF(data!BW92&gt;0,ROUND(data!BW92,0),0)</f>
        <v>731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170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18.08</v>
      </c>
      <c r="G75" s="222">
        <f>ROUND(data!BX61,0)</f>
        <v>1558994</v>
      </c>
      <c r="H75" s="222">
        <f>ROUND(data!BX62,0)</f>
        <v>390435</v>
      </c>
      <c r="I75" s="222">
        <f>ROUND(data!BX63,0)</f>
        <v>0</v>
      </c>
      <c r="J75" s="222">
        <f>ROUND(data!BX64,0)</f>
        <v>2687652</v>
      </c>
      <c r="K75" s="222">
        <f>ROUND(data!BX65,0)</f>
        <v>0</v>
      </c>
      <c r="L75" s="222">
        <f>ROUND(data!BX66,0)</f>
        <v>1645438</v>
      </c>
      <c r="M75" s="66">
        <f>ROUND(data!BX67,0)</f>
        <v>20858</v>
      </c>
      <c r="N75" s="222">
        <f>ROUND(data!BX68,0)</f>
        <v>0</v>
      </c>
      <c r="O75" s="222">
        <f>ROUND(data!BX69,0)</f>
        <v>7862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7862</v>
      </c>
      <c r="AD75" s="222">
        <f>ROUND(data!BX84,0)</f>
        <v>13899</v>
      </c>
      <c r="AE75" s="222"/>
      <c r="AF75" s="222"/>
      <c r="AG75" s="222">
        <f>IF(data!BX90&gt;0,ROUND(data!BX90,0),0)</f>
        <v>1146</v>
      </c>
      <c r="AH75" s="222">
        <f>IF(data!BX91&gt;0,ROUND(data!BX91,0),0)</f>
        <v>0</v>
      </c>
      <c r="AI75" s="222">
        <f>IF(data!BX92&gt;0,ROUND(data!BX92,0),0)</f>
        <v>489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170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27.6</v>
      </c>
      <c r="G76" s="222">
        <f>ROUND(data!BY61,0)</f>
        <v>3222901</v>
      </c>
      <c r="H76" s="222">
        <f>ROUND(data!BY62,0)</f>
        <v>775473</v>
      </c>
      <c r="I76" s="222">
        <f>ROUND(data!BY63,0)</f>
        <v>0</v>
      </c>
      <c r="J76" s="222">
        <f>ROUND(data!BY64,0)</f>
        <v>37792</v>
      </c>
      <c r="K76" s="222">
        <f>ROUND(data!BY65,0)</f>
        <v>0</v>
      </c>
      <c r="L76" s="222">
        <f>ROUND(data!BY66,0)</f>
        <v>6686</v>
      </c>
      <c r="M76" s="66">
        <f>ROUND(data!BY67,0)</f>
        <v>1709567</v>
      </c>
      <c r="N76" s="222">
        <f>ROUND(data!BY68,0)</f>
        <v>0</v>
      </c>
      <c r="O76" s="222">
        <f>ROUND(data!BY69,0)</f>
        <v>107709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107709</v>
      </c>
      <c r="AD76" s="222">
        <f>ROUND(data!BY84,0)</f>
        <v>40122</v>
      </c>
      <c r="AE76" s="222"/>
      <c r="AF76" s="222"/>
      <c r="AG76" s="222">
        <f>IF(data!BY90&gt;0,ROUND(data!BY90,0),0)</f>
        <v>4459</v>
      </c>
      <c r="AH76" s="222">
        <f>IF(data!BY91&gt;0,ROUND(data!BY91,0),0)</f>
        <v>0</v>
      </c>
      <c r="AI76" s="222">
        <f>IF(data!BY92&gt;0,ROUND(data!BY92,0),0)</f>
        <v>1903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170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32.63</v>
      </c>
      <c r="G77" s="222">
        <f>ROUND(data!BZ61,0)</f>
        <v>4992447</v>
      </c>
      <c r="H77" s="222">
        <f>ROUND(data!BZ62,0)</f>
        <v>1122709</v>
      </c>
      <c r="I77" s="222">
        <f>ROUND(data!BZ63,0)</f>
        <v>0</v>
      </c>
      <c r="J77" s="222">
        <f>ROUND(data!BZ64,0)</f>
        <v>8124</v>
      </c>
      <c r="K77" s="222">
        <f>ROUND(data!BZ65,0)</f>
        <v>0</v>
      </c>
      <c r="L77" s="222">
        <f>ROUND(data!BZ66,0)</f>
        <v>0</v>
      </c>
      <c r="M77" s="66">
        <f>ROUND(data!BZ67,0)</f>
        <v>1045</v>
      </c>
      <c r="N77" s="222">
        <f>ROUND(data!BZ68,0)</f>
        <v>0</v>
      </c>
      <c r="O77" s="222">
        <f>ROUND(data!BZ69,0)</f>
        <v>1282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1282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170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184957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9779</v>
      </c>
      <c r="AH78" s="222">
        <f>IF(data!CA91&gt;0,ROUND(data!CA91,0),0)</f>
        <v>0</v>
      </c>
      <c r="AI78" s="222">
        <f>IF(data!CA92&gt;0,ROUND(data!CA92,0),0)</f>
        <v>4174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170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7058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170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46.36</v>
      </c>
      <c r="G80" s="222">
        <f>ROUND(data!CC61,0)</f>
        <v>4083434</v>
      </c>
      <c r="H80" s="222">
        <f>ROUND(data!CC62,0)</f>
        <v>715992</v>
      </c>
      <c r="I80" s="222">
        <f>ROUND(data!CC63,0)</f>
        <v>992582</v>
      </c>
      <c r="J80" s="222">
        <f>ROUND(data!CC64,0)</f>
        <v>-389422</v>
      </c>
      <c r="K80" s="222">
        <f>ROUND(data!CC65,0)</f>
        <v>0</v>
      </c>
      <c r="L80" s="222">
        <f>ROUND(data!CC66,0)</f>
        <v>18286645</v>
      </c>
      <c r="M80" s="66">
        <f>ROUND(data!CC67,0)</f>
        <v>3285018</v>
      </c>
      <c r="N80" s="222">
        <f>ROUND(data!CC68,0)</f>
        <v>270094</v>
      </c>
      <c r="O80" s="222">
        <f>ROUND(data!CC69,0)</f>
        <v>82854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82854</v>
      </c>
      <c r="AD80" s="222">
        <f>ROUND(data!CC84,0)</f>
        <v>1211874</v>
      </c>
      <c r="AE80" s="222"/>
      <c r="AF80" s="222"/>
      <c r="AG80" s="222">
        <f>IF(data!CC90&gt;0,ROUND(data!CC90,0),0)</f>
        <v>240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PeaceHealth Southwest Medical Center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H-170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PO Box 1600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Vancouver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 t="str">
        <f>data!C97</f>
        <v>170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45898810.22</v>
      </c>
      <c r="D15" s="275">
        <f>'Prior Year'!C60</f>
        <v>0</v>
      </c>
      <c r="E15" s="1">
        <f>data!C59</f>
        <v>19575</v>
      </c>
      <c r="F15" s="238" t="str">
        <f ref="F15:F59" t="shared" si="0">IF(B15=0,"",IF(D15=0,"",B15/D15))</f>
      </c>
      <c r="G15" s="238">
        <f ref="G15:G29" t="shared" si="1">IF(C15=0,"",IF(E15=0,"",C15/E15))</f>
        <v>2344.7668056194125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9725079.1699999981</v>
      </c>
      <c r="D16" s="275">
        <f>'Prior Year'!D60</f>
        <v>0</v>
      </c>
      <c r="E16" s="1">
        <f>data!D59</f>
        <v>7846</v>
      </c>
      <c r="F16" s="238" t="str">
        <f t="shared" si="0"/>
      </c>
      <c r="G16" s="238">
        <f t="shared" si="1"/>
        <v>1239.4951784348709</v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79399968.84</v>
      </c>
      <c r="D17" s="275">
        <f>'Prior Year'!E60</f>
        <v>0</v>
      </c>
      <c r="E17" s="1">
        <f>data!E59</f>
        <v>69032</v>
      </c>
      <c r="F17" s="238" t="str">
        <f t="shared" si="0"/>
      </c>
      <c r="G17" s="238">
        <f t="shared" si="1"/>
        <v>1150.1907642832309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21635286.459448002</v>
      </c>
      <c r="D18" s="275">
        <f>'Prior Year'!F60</f>
        <v>0</v>
      </c>
      <c r="E18" s="1">
        <f>data!F59</f>
        <v>4632</v>
      </c>
      <c r="F18" s="238" t="str">
        <f t="shared" si="0"/>
      </c>
      <c r="G18" s="238">
        <f t="shared" si="1"/>
        <v>4670.8304100708119</v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3261747.6799999997</v>
      </c>
      <c r="D19" s="275">
        <f>'Prior Year'!G60</f>
        <v>0</v>
      </c>
      <c r="E19" s="1">
        <f>data!G59</f>
        <v>3849</v>
      </c>
      <c r="F19" s="238" t="str">
        <f t="shared" si="0"/>
      </c>
      <c r="G19" s="238">
        <f t="shared" si="1"/>
        <v>847.42730059755775</v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3195755.5005520009</v>
      </c>
      <c r="D22" s="275">
        <f>'Prior Year'!J60</f>
        <v>0</v>
      </c>
      <c r="E22" s="1">
        <f>data!J59</f>
        <v>2747</v>
      </c>
      <c r="F22" s="238" t="str">
        <f t="shared" si="0"/>
      </c>
      <c r="G22" s="238">
        <f t="shared" si="1"/>
        <v>1163.3620315078272</v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6414132.01</v>
      </c>
      <c r="D25" s="275">
        <f>'Prior Year'!M60</f>
        <v>0</v>
      </c>
      <c r="E25" s="1">
        <f>data!M59</f>
        <v>5830</v>
      </c>
      <c r="F25" s="238" t="str">
        <f t="shared" si="0"/>
      </c>
      <c r="G25" s="238">
        <f t="shared" si="1"/>
        <v>1100.1941698113208</v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12545595.5</v>
      </c>
      <c r="D26" s="275">
        <f>'Prior Year'!N60</f>
        <v>0</v>
      </c>
      <c r="E26" s="1">
        <f>data!N59</f>
        <v>56576</v>
      </c>
      <c r="F26" s="238" t="str">
        <f t="shared" si="0"/>
      </c>
      <c r="G26" s="238">
        <f t="shared" si="1"/>
        <v>221.74765801753395</v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1846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52366121.74</v>
      </c>
      <c r="D28" s="275">
        <f>'Prior Year'!P60</f>
        <v>0</v>
      </c>
      <c r="E28" s="1">
        <f>data!P59</f>
        <v>1213166</v>
      </c>
      <c r="F28" s="238" t="str">
        <f t="shared" si="0"/>
      </c>
      <c r="G28" s="238">
        <f t="shared" si="1"/>
        <v>43.164844497785133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4618360.08</v>
      </c>
      <c r="D29" s="275">
        <f>'Prior Year'!Q60</f>
        <v>0</v>
      </c>
      <c r="E29" s="1">
        <f>data!Q59</f>
        <v>747589</v>
      </c>
      <c r="F29" s="238" t="str">
        <f t="shared" si="0"/>
      </c>
      <c r="G29" s="238">
        <f t="shared" si="1"/>
        <v>6.1776725981789458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3604272.24</v>
      </c>
      <c r="D30" s="275">
        <f>'Prior Year'!R60</f>
        <v>0</v>
      </c>
      <c r="E30" s="1">
        <f>data!R59</f>
        <v>2353447</v>
      </c>
      <c r="F30" s="238" t="str">
        <f t="shared" si="0"/>
      </c>
      <c r="G30" s="238">
        <f>IFERROR(IF(C30=0,"",IF(E30=0,"",C30/E30)),"")</f>
        <v>1.5314864706959623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4852927.459999999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6057340.91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22090281.640000004</v>
      </c>
      <c r="D33" s="275">
        <f>'Prior Year'!U60</f>
        <v>0</v>
      </c>
      <c r="E33" s="1">
        <f>data!U59</f>
        <v>1140738</v>
      </c>
      <c r="F33" s="238" t="str">
        <f t="shared" si="0"/>
      </c>
      <c r="G33" s="238">
        <f ref="G33:G69" t="shared" si="5">IF(C33=0,"",IF(E33=0,"",C33/E33))</f>
        <v>19.364903807885774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1437098.23</v>
      </c>
      <c r="D34" s="275">
        <f>'Prior Year'!V60</f>
        <v>0</v>
      </c>
      <c r="E34" s="1">
        <f>data!V59</f>
        <v>55462</v>
      </c>
      <c r="F34" s="238" t="str">
        <f t="shared" si="0"/>
      </c>
      <c r="G34" s="238">
        <f t="shared" si="5"/>
        <v>25.911402942555263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1700280.25</v>
      </c>
      <c r="D35" s="275">
        <f>'Prior Year'!W60</f>
        <v>0</v>
      </c>
      <c r="E35" s="1">
        <f>data!W59</f>
        <v>9063</v>
      </c>
      <c r="F35" s="238" t="str">
        <f t="shared" si="0"/>
      </c>
      <c r="G35" s="238">
        <f t="shared" si="5"/>
        <v>187.60678031556878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3375397.98</v>
      </c>
      <c r="D36" s="275">
        <f>'Prior Year'!X60</f>
        <v>0</v>
      </c>
      <c r="E36" s="1">
        <f>data!X59</f>
        <v>55612</v>
      </c>
      <c r="F36" s="238" t="str">
        <f t="shared" si="0"/>
      </c>
      <c r="G36" s="238">
        <f t="shared" si="5"/>
        <v>60.695497015032728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50106826.520000011</v>
      </c>
      <c r="D37" s="275">
        <f>'Prior Year'!Y60</f>
        <v>0</v>
      </c>
      <c r="E37" s="1">
        <f>data!Y59</f>
        <v>133667</v>
      </c>
      <c r="F37" s="238" t="str">
        <f t="shared" si="0"/>
      </c>
      <c r="G37" s="238">
        <f t="shared" si="5"/>
        <v>374.86310398228443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1422731.59</v>
      </c>
      <c r="D38" s="275">
        <f>'Prior Year'!Z60</f>
        <v>0</v>
      </c>
      <c r="E38" s="1">
        <f>data!Z59</f>
        <v>6820</v>
      </c>
      <c r="F38" s="238" t="str">
        <f t="shared" si="0"/>
      </c>
      <c r="G38" s="238">
        <f t="shared" si="5"/>
        <v>208.61167008797656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1637505.8399999999</v>
      </c>
      <c r="D39" s="275">
        <f>'Prior Year'!AA60</f>
        <v>0</v>
      </c>
      <c r="E39" s="1">
        <f>data!AA59</f>
        <v>2344</v>
      </c>
      <c r="F39" s="238" t="str">
        <f t="shared" si="0"/>
      </c>
      <c r="G39" s="238">
        <f t="shared" si="5"/>
        <v>698.5946416382252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39050347.320000008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12693296.280000001</v>
      </c>
      <c r="D41" s="275">
        <f>'Prior Year'!AC60</f>
        <v>0</v>
      </c>
      <c r="E41" s="1">
        <f>data!AC59</f>
        <v>118046</v>
      </c>
      <c r="F41" s="238" t="str">
        <f t="shared" si="0"/>
      </c>
      <c r="G41" s="238">
        <f t="shared" si="5"/>
        <v>107.52838961082969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1667643.08</v>
      </c>
      <c r="D42" s="275">
        <f>'Prior Year'!AD60</f>
        <v>0</v>
      </c>
      <c r="E42" s="1">
        <f>data!AD59</f>
        <v>3055</v>
      </c>
      <c r="F42" s="238" t="str">
        <f t="shared" si="0"/>
      </c>
      <c r="G42" s="238">
        <f t="shared" si="5"/>
        <v>545.873348608838</v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10081091.86</v>
      </c>
      <c r="D43" s="275">
        <f>'Prior Year'!AE60</f>
        <v>0</v>
      </c>
      <c r="E43" s="1">
        <f>data!AE59</f>
        <v>193084</v>
      </c>
      <c r="F43" s="238" t="str">
        <f t="shared" si="0"/>
      </c>
      <c r="G43" s="238">
        <f t="shared" si="5"/>
        <v>52.210912659775019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2302046.4899999998</v>
      </c>
      <c r="D44" s="275">
        <f>'Prior Year'!AF60</f>
        <v>0</v>
      </c>
      <c r="E44" s="1">
        <f>data!AF59</f>
        <v>10364</v>
      </c>
      <c r="F44" s="238" t="str">
        <f t="shared" si="0"/>
      </c>
      <c r="G44" s="238">
        <f t="shared" si="5"/>
        <v>222.11949922809723</v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43463346.6</v>
      </c>
      <c r="D45" s="275">
        <f>'Prior Year'!AG60</f>
        <v>0</v>
      </c>
      <c r="E45" s="1">
        <f>data!AG59</f>
        <v>76244</v>
      </c>
      <c r="F45" s="238" t="str">
        <f t="shared" si="0"/>
      </c>
      <c r="G45" s="238">
        <f t="shared" si="5"/>
        <v>570.0559598132312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13523764.29</v>
      </c>
      <c r="D47" s="275">
        <f>'Prior Year'!AI60</f>
        <v>0</v>
      </c>
      <c r="E47" s="1">
        <f>data!AI59</f>
        <v>33267</v>
      </c>
      <c r="F47" s="238" t="str">
        <f t="shared" si="0"/>
      </c>
      <c r="G47" s="238">
        <f t="shared" si="5"/>
        <v>406.52190729551808</v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67039972.81</v>
      </c>
      <c r="D48" s="275">
        <f>'Prior Year'!AJ60</f>
        <v>0</v>
      </c>
      <c r="E48" s="1">
        <f>data!AJ59</f>
        <v>176601</v>
      </c>
      <c r="F48" s="238" t="str">
        <f t="shared" si="0"/>
      </c>
      <c r="G48" s="238">
        <f t="shared" si="5"/>
        <v>379.61264551163356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2638283.8600000003</v>
      </c>
      <c r="D53" s="275">
        <f>'Prior Year'!AO60</f>
        <v>0</v>
      </c>
      <c r="E53" s="1">
        <f>data!AO59</f>
        <v>27768</v>
      </c>
      <c r="F53" s="238" t="str">
        <f t="shared" si="0"/>
      </c>
      <c r="G53" s="238">
        <f t="shared" si="5"/>
        <v>95.011663065399034</v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34256513.98</v>
      </c>
      <c r="D54" s="275">
        <f>'Prior Year'!AP60</f>
        <v>0</v>
      </c>
      <c r="E54" s="1">
        <f>data!AP59</f>
        <v>123703</v>
      </c>
      <c r="F54" s="238" t="str">
        <f t="shared" si="0"/>
      </c>
      <c r="G54" s="238">
        <f t="shared" si="5"/>
        <v>276.92549073183346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31376546.059999995</v>
      </c>
      <c r="D56" s="275">
        <f>'Prior Year'!AR60</f>
        <v>0</v>
      </c>
      <c r="E56" s="1">
        <f>data!AR59</f>
        <v>112935.75</v>
      </c>
      <c r="F56" s="238" t="str">
        <f t="shared" si="0"/>
      </c>
      <c r="G56" s="238">
        <f t="shared" si="5"/>
        <v>277.82651693551418</v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711090.66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7778803.28</v>
      </c>
      <c r="D63" s="275">
        <f>'Prior Year'!AY60</f>
        <v>0</v>
      </c>
      <c r="E63" s="1">
        <f>data!AY59</f>
        <v>328157</v>
      </c>
      <c r="F63" s="238" t="str">
        <f>IF(B63=0,"",IF(D63=0,"",B63/D63))</f>
      </c>
      <c r="G63" s="238">
        <f t="shared" si="5"/>
        <v>23.704517288980579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11177222.489999998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145755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29786659.779999997</v>
      </c>
      <c r="D69" s="275">
        <f>'Prior Year'!BE60</f>
        <v>0</v>
      </c>
      <c r="E69" s="1">
        <f>data!BE59</f>
        <v>846278</v>
      </c>
      <c r="F69" s="238" t="str">
        <f>IF(B69=0,"",IF(D69=0,"",B69/D69))</f>
      </c>
      <c r="G69" s="238">
        <f t="shared" si="5"/>
        <v>35.197251706885915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11533402.6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706600.09999999986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57525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0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0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88974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98025869.889999986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734206.96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54412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334124.58999999997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1184936.9799999998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31444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323661.24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1356604.5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6297339.84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5820006.35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6125606.58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184957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-7058.36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26115323.65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28025652.029999997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3" t="s">
        <v>816</v>
      </c>
    </row>
    <row r="3">
      <c r="A3" s="11" t="s">
        <v>817</v>
      </c>
    </row>
    <row r="4">
      <c r="A4" s="331" t="s">
        <v>818</v>
      </c>
    </row>
    <row r="5">
      <c r="A5" s="332" t="s">
        <v>819</v>
      </c>
    </row>
    <row r="6">
      <c r="A6" s="330"/>
    </row>
    <row r="7">
      <c r="A7" s="331" t="s">
        <v>820</v>
      </c>
    </row>
    <row r="8">
      <c r="A8" s="332" t="s">
        <v>821</v>
      </c>
    </row>
    <row r="11">
      <c r="A11" s="13" t="s">
        <v>822</v>
      </c>
      <c r="D11" s="276">
        <f>data!C380</f>
        <v>12792602.839999998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2153017.59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H-170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PeaceHealth Southwest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98664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Clark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Sean Gregory, CEO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Tracey Fernandez, CFO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(360) 256-2000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(360) 514-2006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17023</v>
      </c>
      <c r="G23" s="81">
        <f>data!D127</f>
        <v>104934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1846</v>
      </c>
      <c r="G26" s="81">
        <f>data!D130</f>
        <v>2747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69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28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259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3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32</v>
      </c>
      <c r="E34" s="78" t="s">
        <v>351</v>
      </c>
      <c r="F34" s="81"/>
      <c r="G34" s="81">
        <f>data!E143</f>
        <v>405</v>
      </c>
    </row>
    <row r="35" ht="20.1" customHeight="1">
      <c r="A35" s="77"/>
      <c r="B35" s="97" t="s">
        <v>851</v>
      </c>
      <c r="C35" s="81"/>
      <c r="D35" s="81">
        <f>data!C137</f>
        <v>14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352</v>
      </c>
      <c r="F36" s="81"/>
      <c r="G36" s="81">
        <f>data!C144</f>
        <v>436</v>
      </c>
    </row>
    <row r="37" ht="20.1" customHeight="1">
      <c r="A37" s="77"/>
      <c r="E37" s="78" t="s">
        <v>353</v>
      </c>
      <c r="F37" s="81"/>
      <c r="G37" s="81">
        <f>data!C145</f>
        <v>40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PeaceHealth Southwest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9074</v>
      </c>
      <c r="C7" s="141">
        <f>data!B155</f>
        <v>60360</v>
      </c>
      <c r="D7" s="141">
        <f>data!B156</f>
        <v>65669</v>
      </c>
      <c r="E7" s="141">
        <f>data!B157</f>
        <v>737629704</v>
      </c>
      <c r="F7" s="141">
        <f>data!B158</f>
        <v>642709887</v>
      </c>
      <c r="G7" s="141">
        <f>data!B157+data!B158</f>
        <v>1380339591</v>
      </c>
    </row>
    <row r="8" ht="20.1" customHeight="1">
      <c r="A8" s="77" t="s">
        <v>358</v>
      </c>
      <c r="B8" s="141">
        <f>data!C154</f>
        <v>3218</v>
      </c>
      <c r="C8" s="141">
        <f>data!C155</f>
        <v>19865</v>
      </c>
      <c r="D8" s="141">
        <f>data!C156</f>
        <v>42102</v>
      </c>
      <c r="E8" s="141">
        <f>data!C157</f>
        <v>233323254</v>
      </c>
      <c r="F8" s="141">
        <f>data!C158</f>
        <v>262157195</v>
      </c>
      <c r="G8" s="141">
        <f>data!C157+data!C158</f>
        <v>495480449</v>
      </c>
    </row>
    <row r="9" ht="20.1" customHeight="1">
      <c r="A9" s="77" t="s">
        <v>861</v>
      </c>
      <c r="B9" s="141">
        <f>data!D154</f>
        <v>4731</v>
      </c>
      <c r="C9" s="141">
        <f>data!D155</f>
        <v>24709</v>
      </c>
      <c r="D9" s="141">
        <f>data!D156</f>
        <v>62949</v>
      </c>
      <c r="E9" s="141">
        <f>data!D157</f>
        <v>334592990</v>
      </c>
      <c r="F9" s="141">
        <f>data!D158</f>
        <v>443764723</v>
      </c>
      <c r="G9" s="141">
        <f>data!D157+data!D158</f>
        <v>778357713</v>
      </c>
    </row>
    <row r="10" ht="20.1" customHeight="1">
      <c r="A10" s="92" t="s">
        <v>230</v>
      </c>
      <c r="B10" s="141">
        <f>data!E154</f>
        <v>17023</v>
      </c>
      <c r="C10" s="141">
        <f>data!E155</f>
        <v>104934</v>
      </c>
      <c r="D10" s="141">
        <f>data!E156</f>
        <v>170720</v>
      </c>
      <c r="E10" s="141">
        <f>data!E157</f>
        <v>1305545948</v>
      </c>
      <c r="F10" s="141">
        <f>data!E158</f>
        <v>1348631805</v>
      </c>
      <c r="G10" s="141">
        <f>E10+F10</f>
        <v>2654177753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103562097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66365947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PeaceHealth Southwest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22039670.06</v>
      </c>
    </row>
    <row r="7" ht="20.1" customHeight="1">
      <c r="A7" s="158">
        <v>3</v>
      </c>
      <c r="B7" s="97" t="s">
        <v>369</v>
      </c>
      <c r="C7" s="77">
        <f>data!C182</f>
        <v>501975.45</v>
      </c>
    </row>
    <row r="8" ht="20.1" customHeight="1">
      <c r="A8" s="158">
        <v>4</v>
      </c>
      <c r="B8" s="78" t="s">
        <v>370</v>
      </c>
      <c r="C8" s="77">
        <f>data!C183</f>
        <v>1132179.13</v>
      </c>
    </row>
    <row r="9" ht="20.1" customHeight="1">
      <c r="A9" s="158">
        <v>5</v>
      </c>
      <c r="B9" s="78" t="s">
        <v>371</v>
      </c>
      <c r="C9" s="77">
        <f>data!C184</f>
        <v>35598457.22</v>
      </c>
    </row>
    <row r="10" ht="20.1" customHeight="1">
      <c r="A10" s="158">
        <v>6</v>
      </c>
      <c r="B10" s="78" t="s">
        <v>372</v>
      </c>
      <c r="C10" s="77">
        <f>data!C185</f>
        <v>257129.84</v>
      </c>
    </row>
    <row r="11" ht="20.1" customHeight="1">
      <c r="A11" s="158">
        <v>7</v>
      </c>
      <c r="B11" s="78" t="s">
        <v>373</v>
      </c>
      <c r="C11" s="77">
        <f>data!C186</f>
        <v>20417220.69</v>
      </c>
    </row>
    <row r="12" ht="20.1" customHeight="1">
      <c r="A12" s="158">
        <v>8</v>
      </c>
      <c r="B12" s="78" t="s">
        <v>374</v>
      </c>
      <c r="C12" s="77">
        <f>data!C187</f>
        <v>2219020.45</v>
      </c>
    </row>
    <row r="13" ht="20.1" customHeight="1">
      <c r="A13" s="158">
        <v>9</v>
      </c>
      <c r="B13" s="78" t="s">
        <v>374</v>
      </c>
      <c r="C13" s="77">
        <f>data!C188</f>
        <v>152286.98</v>
      </c>
    </row>
    <row r="14" ht="20.1" customHeight="1">
      <c r="A14" s="158">
        <v>10</v>
      </c>
      <c r="B14" s="78" t="s">
        <v>869</v>
      </c>
      <c r="C14" s="77">
        <f>data!D189</f>
        <v>82317939.820000008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11325997.45</v>
      </c>
    </row>
    <row r="19" ht="20.1" customHeight="1">
      <c r="A19" s="77">
        <v>13</v>
      </c>
      <c r="B19" s="78" t="s">
        <v>871</v>
      </c>
      <c r="C19" s="77">
        <f>data!C192</f>
        <v>3405757.78</v>
      </c>
    </row>
    <row r="20" ht="20.1" customHeight="1">
      <c r="A20" s="77">
        <v>14</v>
      </c>
      <c r="B20" s="78" t="s">
        <v>872</v>
      </c>
      <c r="C20" s="77">
        <f>data!D193</f>
        <v>14731755.229999999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5872333.91</v>
      </c>
    </row>
    <row r="26" ht="20.1" customHeight="1">
      <c r="A26" s="77">
        <v>18</v>
      </c>
      <c r="B26" s="78" t="s">
        <v>380</v>
      </c>
      <c r="C26" s="77">
        <f>data!C196</f>
        <v>1916556.19</v>
      </c>
    </row>
    <row r="27" ht="20.1" customHeight="1">
      <c r="A27" s="77">
        <v>19</v>
      </c>
      <c r="B27" s="78" t="s">
        <v>875</v>
      </c>
      <c r="C27" s="77">
        <f>data!D197</f>
        <v>7788890.1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513566.54</v>
      </c>
    </row>
    <row r="32" ht="20.1" customHeight="1">
      <c r="A32" s="77">
        <v>22</v>
      </c>
      <c r="B32" s="78" t="s">
        <v>877</v>
      </c>
      <c r="C32" s="77">
        <f>data!C200</f>
        <v>19068717.84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19582284.38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677623.03</v>
      </c>
    </row>
    <row r="40" ht="20.1" customHeight="1">
      <c r="A40" s="77">
        <v>28</v>
      </c>
      <c r="B40" s="78" t="s">
        <v>880</v>
      </c>
      <c r="C40" s="77">
        <f>data!D206</f>
        <v>677623.03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PeaceHealth Southwest Medical Center</v>
      </c>
      <c r="F3" s="156" t="str">
        <f>"FYE: "&amp;data!C96</f>
        <v>FYE: 06/30/2022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41377388.13</v>
      </c>
      <c r="D7" s="81">
        <f>data!C225</f>
        <v>181126.77000000002</v>
      </c>
      <c r="E7" s="81">
        <f>data!D225</f>
        <v>0</v>
      </c>
      <c r="F7" s="81">
        <f>data!E211</f>
        <v>41365788.13</v>
      </c>
    </row>
    <row r="8" ht="20.1" customHeight="1">
      <c r="A8" s="77">
        <v>2</v>
      </c>
      <c r="B8" s="81" t="s">
        <v>394</v>
      </c>
      <c r="C8" s="81">
        <f>data!B212</f>
        <v>6837782.68</v>
      </c>
      <c r="D8" s="81">
        <f>data!C226</f>
        <v>8824671.84</v>
      </c>
      <c r="E8" s="81">
        <f>data!D226</f>
        <v>0</v>
      </c>
      <c r="F8" s="81">
        <f>data!E212</f>
        <v>6837782.68</v>
      </c>
    </row>
    <row r="9" ht="20.1" customHeight="1">
      <c r="A9" s="77">
        <v>3</v>
      </c>
      <c r="B9" s="81" t="s">
        <v>395</v>
      </c>
      <c r="C9" s="81">
        <f>data!B213</f>
        <v>295133761.35999995</v>
      </c>
      <c r="D9" s="81">
        <f>data!C227</f>
        <v>0</v>
      </c>
      <c r="E9" s="81">
        <f>data!D227</f>
        <v>0</v>
      </c>
      <c r="F9" s="81">
        <f>data!E213</f>
        <v>297399069.81999993</v>
      </c>
    </row>
    <row r="10" ht="20.1" customHeight="1">
      <c r="A10" s="77">
        <v>4</v>
      </c>
      <c r="B10" s="81" t="s">
        <v>886</v>
      </c>
      <c r="C10" s="81">
        <f>data!B214</f>
        <v>0</v>
      </c>
      <c r="D10" s="81">
        <f>data!C228</f>
        <v>2129757.5700000003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887</v>
      </c>
      <c r="C11" s="81">
        <f>data!B215</f>
        <v>53155805.33</v>
      </c>
      <c r="D11" s="81">
        <f>data!C229</f>
        <v>10451964.629999999</v>
      </c>
      <c r="E11" s="81">
        <f>data!D229</f>
        <v>712581.61</v>
      </c>
      <c r="F11" s="81">
        <f>data!E215</f>
        <v>55234864.059999995</v>
      </c>
    </row>
    <row r="12" ht="20.1" customHeight="1">
      <c r="A12" s="77">
        <v>6</v>
      </c>
      <c r="B12" s="81" t="s">
        <v>888</v>
      </c>
      <c r="C12" s="81">
        <f>data!B216</f>
        <v>222951826.93999919</v>
      </c>
      <c r="D12" s="81">
        <f>data!C230</f>
        <v>0</v>
      </c>
      <c r="E12" s="81">
        <f>data!D230</f>
        <v>0</v>
      </c>
      <c r="F12" s="81">
        <f>data!E216</f>
        <v>229057657.71999919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924674.47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17702823.340000004</v>
      </c>
      <c r="D14" s="81">
        <f>data!C232</f>
        <v>0</v>
      </c>
      <c r="E14" s="81">
        <f>data!D232</f>
        <v>0</v>
      </c>
      <c r="F14" s="81">
        <f>data!E218</f>
        <v>18236962.340000004</v>
      </c>
    </row>
    <row r="15" ht="20.1" customHeight="1">
      <c r="A15" s="77">
        <v>9</v>
      </c>
      <c r="B15" s="81" t="s">
        <v>890</v>
      </c>
      <c r="C15" s="81">
        <f>data!B219</f>
        <v>5585808.59</v>
      </c>
      <c r="D15" s="81">
        <f>data!C233</f>
        <v>22512195.279999997</v>
      </c>
      <c r="E15" s="81">
        <f>data!D233</f>
        <v>712581.61</v>
      </c>
      <c r="F15" s="81">
        <f>data!E219</f>
        <v>26381973.690000005</v>
      </c>
    </row>
    <row r="16" ht="20.1" customHeight="1">
      <c r="A16" s="77">
        <v>10</v>
      </c>
      <c r="B16" s="81" t="s">
        <v>614</v>
      </c>
      <c r="C16" s="81">
        <f>data!B220</f>
        <v>642745196.36999917</v>
      </c>
      <c r="D16" s="81">
        <f>data!C234</f>
        <v>0</v>
      </c>
      <c r="E16" s="81">
        <f>data!D234</f>
        <v>0</v>
      </c>
      <c r="F16" s="81">
        <f>data!E220</f>
        <v>674514098.43999922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6144452.049999998</v>
      </c>
      <c r="D24" s="81">
        <f>data!C225</f>
        <v>181126.77000000002</v>
      </c>
      <c r="E24" s="81">
        <f>data!D225</f>
        <v>0</v>
      </c>
      <c r="F24" s="81">
        <f>data!E225</f>
        <v>6325578.8199999984</v>
      </c>
    </row>
    <row r="25" ht="20.1" customHeight="1">
      <c r="A25" s="77">
        <v>13</v>
      </c>
      <c r="B25" s="81" t="s">
        <v>395</v>
      </c>
      <c r="C25" s="81">
        <f>data!B226</f>
        <v>179959808.78</v>
      </c>
      <c r="D25" s="81">
        <f>data!C226</f>
        <v>8824671.84</v>
      </c>
      <c r="E25" s="81">
        <f>data!D226</f>
        <v>0</v>
      </c>
      <c r="F25" s="81">
        <f>data!E226</f>
        <v>188784480.62</v>
      </c>
    </row>
    <row r="26" ht="20.1" customHeight="1">
      <c r="A26" s="77">
        <v>14</v>
      </c>
      <c r="B26" s="81" t="s">
        <v>886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ht="20.1" customHeight="1">
      <c r="A27" s="77">
        <v>15</v>
      </c>
      <c r="B27" s="81" t="s">
        <v>887</v>
      </c>
      <c r="C27" s="81">
        <f>data!B228</f>
        <v>30485622.6</v>
      </c>
      <c r="D27" s="81">
        <f>data!C228</f>
        <v>2129757.5700000003</v>
      </c>
      <c r="E27" s="81">
        <f>data!D228</f>
        <v>0</v>
      </c>
      <c r="F27" s="81">
        <f>data!E228</f>
        <v>32615380.17</v>
      </c>
    </row>
    <row r="28" ht="20.1" customHeight="1">
      <c r="A28" s="77">
        <v>16</v>
      </c>
      <c r="B28" s="81" t="s">
        <v>888</v>
      </c>
      <c r="C28" s="81">
        <f>data!B229</f>
        <v>176791139.47</v>
      </c>
      <c r="D28" s="81">
        <f>data!C229</f>
        <v>10451964.629999999</v>
      </c>
      <c r="E28" s="81">
        <f>data!D229</f>
        <v>712581.61</v>
      </c>
      <c r="F28" s="81">
        <f>data!E229</f>
        <v>186530522.48999998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6485475.06</v>
      </c>
      <c r="D30" s="81">
        <f>data!C231</f>
        <v>924674.47</v>
      </c>
      <c r="E30" s="81">
        <f>data!D231</f>
        <v>0</v>
      </c>
      <c r="F30" s="81">
        <f>data!E231</f>
        <v>7410149.5299999993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399866497.96</v>
      </c>
      <c r="D32" s="81">
        <f>data!C233</f>
        <v>22512195.279999997</v>
      </c>
      <c r="E32" s="81">
        <f>data!D233</f>
        <v>712581.61</v>
      </c>
      <c r="F32" s="81">
        <f>data!E233</f>
        <v>421666111.63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PeaceHealth Southwest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24852658.81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1051419137.24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386528281.4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8968198.2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62364618.2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320522640.02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20997390.42</v>
      </c>
    </row>
    <row r="13" ht="20.1" customHeight="1">
      <c r="A13" s="77">
        <v>9</v>
      </c>
      <c r="B13" s="81"/>
      <c r="C13" s="81" t="s">
        <v>897</v>
      </c>
      <c r="D13" s="81">
        <f>data!D245</f>
        <v>1850800265.48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22875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14388630.84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22906229.88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37294860.72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847278.78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847278.78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2022-12-29T23:25:52Z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