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Hospital Reporting\MFT Clearinghouse\7.3.2023\JEFFERSON_HEALTHCARE\YearEndReport\"/>
    </mc:Choice>
  </mc:AlternateContent>
  <xr:revisionPtr revIDLastSave="0" documentId="13_ncr:1_{F3ECA48A-4B6E-4F9C-88CD-A56EBE93D31D}" xr6:coauthVersionLast="47" xr6:coauthVersionMax="47" xr10:uidLastSave="{00000000-0000-0000-0000-000000000000}"/>
  <workbookProtection workbookAlgorithmName="SHA-512" workbookHashValue="LBVAvQo/PbXh1BIlO5JhipQnKXj6XGaxZ4hOk9ks/XrMQl74okyimmu8xnvTE8kNa6GuKZjRCMWusKeBE3eM/g==" workbookSaltValue="yaz5tqtGCzyUCKPMVH30rQ==" workbookSpinCount="100000" lockStructure="1"/>
  <bookViews>
    <workbookView xWindow="28680" yWindow="-120" windowWidth="29040" windowHeight="15840" tabRatio="777" activeTab="7" xr2:uid="{6A67E359-151F-4C3D-9C77-4DE7E01E3C7B}"/>
  </bookViews>
  <sheets>
    <sheet name="data" sheetId="24" r:id="rId1"/>
    <sheet name="Transmittal" sheetId="27" r:id="rId2"/>
    <sheet name="Responses-1" sheetId="15" r:id="rId3"/>
    <sheet name="Responses-2" sheetId="17" r:id="rId4"/>
    <sheet name="INFO_PG1" sheetId="3" r:id="rId5"/>
    <sheet name="INFO_PG2" sheetId="4" r:id="rId6"/>
    <sheet name="SS2_3_5_6" sheetId="5" r:id="rId7"/>
    <sheet name="SS4" sheetId="6" r:id="rId8"/>
    <sheet name="SS8" sheetId="7" r:id="rId9"/>
    <sheet name="FS" sheetId="8" r:id="rId10"/>
    <sheet name="CC" sheetId="32" r:id="rId11"/>
    <sheet name="Prior Year" sheetId="25" r:id="rId12"/>
    <sheet name="Contact" sheetId="18" r:id="rId13"/>
    <sheet name="Support" sheetId="28" r:id="rId14"/>
    <sheet name="Hospital" sheetId="29" r:id="rId15"/>
    <sheet name="Funds" sheetId="30" r:id="rId16"/>
    <sheet name="CostCenter" sheetId="31" r:id="rId17"/>
  </sheets>
  <definedNames>
    <definedName name="_Fill" localSheetId="0" hidden="1">data!$DR$772:$DR$817</definedName>
    <definedName name="_Fill" localSheetId="11" hidden="1">'Prior Year'!$DR$773:$DR$818</definedName>
    <definedName name="_Fill" hidden="1">#REF!</definedName>
    <definedName name="_xlnm._FilterDatabase" localSheetId="0" hidden="1">#REF!</definedName>
    <definedName name="_xlnm._FilterDatabase" localSheetId="11" hidden="1">#REF!</definedName>
    <definedName name="Cost_Center_Exp_Analysis" localSheetId="0">#REF!</definedName>
    <definedName name="Cost_Center_Exp_Analysis" localSheetId="11">#REF!</definedName>
    <definedName name="Cost_Center_Exp_Analysis">#REF!</definedName>
    <definedName name="Costcenter" localSheetId="16">CostCenter!$A$1:$AK$80</definedName>
    <definedName name="Costcenter">#REF!</definedName>
    <definedName name="_xlnm.Criteria" localSheetId="0">#REF!</definedName>
    <definedName name="_xlnm.Criteria" localSheetId="11">#REF!</definedName>
    <definedName name="Edit">#REF!</definedName>
    <definedName name="_xlnm.Extract" localSheetId="0">data!$A$433:$H$433</definedName>
    <definedName name="_xlnm.Extract" localSheetId="11">'Prior Year'!$A$434:$H$434</definedName>
    <definedName name="Funds" localSheetId="16">Funds!$A$1:$DH$2</definedName>
    <definedName name="Funds" localSheetId="15">Funds!$A$1:$DH$2</definedName>
    <definedName name="Funds">#REF!</definedName>
    <definedName name="Hospital" localSheetId="14">Hospital!$A$1:$BS$2</definedName>
    <definedName name="Hospital">#REF!</definedName>
    <definedName name="_xlnm.Print_Area" localSheetId="10">CC!$A$1:$I$384</definedName>
    <definedName name="_xlnm.Print_Area" localSheetId="0">#REF!</definedName>
    <definedName name="_xlnm.Print_Area" localSheetId="9">FS!$A$1:$D$179</definedName>
    <definedName name="_xlnm.Print_Area" localSheetId="4">INFO_PG1!$A$1:$G$40</definedName>
    <definedName name="_xlnm.Print_Area" localSheetId="5">INFO_PG2!$A$1:$G$33</definedName>
    <definedName name="_xlnm.Print_Area" localSheetId="11">#REF!</definedName>
    <definedName name="_xlnm.Print_Area" localSheetId="6">SS2_3_5_6!$A$1:$C$40</definedName>
    <definedName name="_xlnm.Print_Area" localSheetId="7">'SS4'!$A$1:$F$32</definedName>
    <definedName name="_xlnm.Print_Area" localSheetId="8">'SS8'!$A$1:$D$34</definedName>
    <definedName name="Support" localSheetId="16">Support!$A$1:$CF$2</definedName>
    <definedName name="Support" localSheetId="15">Support!$A$1:$CF$2</definedName>
    <definedName name="Support" localSheetId="14">Support!$A$1:$CF$2</definedName>
    <definedName name="Support" localSheetId="13">Support!$A$1:$CF$2</definedName>
    <definedName name="Sup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6" l="1"/>
  <c r="D9" i="4"/>
  <c r="D8" i="4"/>
  <c r="D7" i="4"/>
  <c r="D7" i="3"/>
  <c r="D8" i="3"/>
  <c r="D9" i="3"/>
  <c r="D6" i="3"/>
  <c r="C41" i="27"/>
  <c r="C35" i="27"/>
  <c r="CD77" i="24"/>
  <c r="CC69" i="24"/>
  <c r="I39" i="15"/>
  <c r="I37" i="15"/>
  <c r="I36" i="15"/>
  <c r="C380" i="24" l="1"/>
  <c r="C418" i="24"/>
  <c r="C399" i="24"/>
  <c r="C129" i="8"/>
  <c r="C216" i="24"/>
  <c r="C213" i="24"/>
  <c r="E8" i="6"/>
  <c r="E9" i="6"/>
  <c r="E10" i="6"/>
  <c r="E11" i="6"/>
  <c r="E12" i="6"/>
  <c r="E13" i="6"/>
  <c r="E14" i="6"/>
  <c r="E15" i="6"/>
  <c r="E7" i="6"/>
  <c r="D10" i="6"/>
  <c r="D12" i="6"/>
  <c r="D13" i="6"/>
  <c r="D14" i="6"/>
  <c r="D15" i="6"/>
  <c r="C127" i="24" l="1"/>
  <c r="D154" i="24"/>
  <c r="D128" i="24"/>
  <c r="D127" i="24"/>
  <c r="C155" i="24"/>
  <c r="D155" i="24" s="1"/>
  <c r="B155" i="24"/>
  <c r="D158" i="24"/>
  <c r="C250" i="24"/>
  <c r="C363" i="24"/>
  <c r="C414" i="24" l="1"/>
  <c r="D415" i="24" s="1"/>
  <c r="C229" i="24"/>
  <c r="C226" i="24"/>
  <c r="C215" i="24"/>
  <c r="D11" i="6" s="1"/>
  <c r="C288" i="24"/>
  <c r="C285" i="24"/>
  <c r="C334" i="24"/>
  <c r="C333" i="24"/>
  <c r="C323" i="24"/>
  <c r="AJ59" i="24" l="1"/>
  <c r="AE59" i="24"/>
  <c r="AC59" i="24"/>
  <c r="U59" i="24"/>
  <c r="R59" i="24"/>
  <c r="AO59" i="24"/>
  <c r="L59" i="24"/>
  <c r="CD83" i="24" l="1"/>
  <c r="E83" i="24"/>
  <c r="CE85" i="25" l="1"/>
  <c r="CE83" i="24"/>
  <c r="CE84" i="24"/>
  <c r="B28" i="27"/>
  <c r="H292" i="32" l="1"/>
  <c r="H356" i="32"/>
  <c r="H324" i="32"/>
  <c r="H228" i="32"/>
  <c r="H196" i="32"/>
  <c r="H132" i="32"/>
  <c r="H100" i="32"/>
  <c r="H68" i="32"/>
  <c r="A4" i="32"/>
  <c r="A36" i="32"/>
  <c r="A68" i="32"/>
  <c r="A100" i="32"/>
  <c r="A132" i="32"/>
  <c r="A164" i="32"/>
  <c r="A196" i="32"/>
  <c r="A228" i="32"/>
  <c r="A260" i="32"/>
  <c r="A292" i="32"/>
  <c r="A324" i="32"/>
  <c r="A356" i="32"/>
  <c r="A2" i="4"/>
  <c r="G3" i="4"/>
  <c r="D421" i="25"/>
  <c r="D420" i="24"/>
  <c r="D90" i="25"/>
  <c r="E90" i="25"/>
  <c r="F90" i="25"/>
  <c r="G90" i="25"/>
  <c r="H90" i="25"/>
  <c r="I90" i="25"/>
  <c r="J90" i="25"/>
  <c r="K90" i="25"/>
  <c r="L90" i="25"/>
  <c r="M90" i="25"/>
  <c r="N90" i="25"/>
  <c r="O90" i="25"/>
  <c r="P90" i="25"/>
  <c r="Q90" i="25"/>
  <c r="R90" i="25"/>
  <c r="S90" i="25"/>
  <c r="T90" i="25"/>
  <c r="U90" i="25"/>
  <c r="V90" i="25"/>
  <c r="W90" i="25"/>
  <c r="X90" i="25"/>
  <c r="Y90" i="25"/>
  <c r="Z90" i="25"/>
  <c r="AA90" i="25"/>
  <c r="AB90" i="25"/>
  <c r="AC90" i="25"/>
  <c r="AD90" i="25"/>
  <c r="AE90" i="25"/>
  <c r="AF90" i="25"/>
  <c r="AG90" i="25"/>
  <c r="AH90" i="25"/>
  <c r="AI90" i="25"/>
  <c r="AJ90" i="25"/>
  <c r="AK90" i="25"/>
  <c r="AL90" i="25"/>
  <c r="AM90" i="25"/>
  <c r="AN90" i="25"/>
  <c r="AO90" i="25"/>
  <c r="AP90" i="25"/>
  <c r="AQ90" i="25"/>
  <c r="AR90" i="25"/>
  <c r="AS90" i="25"/>
  <c r="AT90" i="25"/>
  <c r="AU90" i="25"/>
  <c r="AV90" i="25"/>
  <c r="C90" i="25"/>
  <c r="D89" i="24"/>
  <c r="AE3" i="31" s="1"/>
  <c r="E89" i="24"/>
  <c r="E26" i="32" s="1"/>
  <c r="F89" i="24"/>
  <c r="AE5" i="31" s="1"/>
  <c r="G89" i="24"/>
  <c r="H89" i="24"/>
  <c r="H26" i="32" s="1"/>
  <c r="I89" i="24"/>
  <c r="J89" i="24"/>
  <c r="AE9" i="31" s="1"/>
  <c r="K89" i="24"/>
  <c r="D58" i="32" s="1"/>
  <c r="L89" i="24"/>
  <c r="AE11" i="31" s="1"/>
  <c r="M89" i="24"/>
  <c r="F58" i="32" s="1"/>
  <c r="N89" i="24"/>
  <c r="G58" i="32" s="1"/>
  <c r="O89" i="24"/>
  <c r="P89" i="24"/>
  <c r="I58" i="32" s="1"/>
  <c r="Q89" i="24"/>
  <c r="C90" i="32" s="1"/>
  <c r="R89" i="24"/>
  <c r="AE17" i="31" s="1"/>
  <c r="S89" i="24"/>
  <c r="AE18" i="31" s="1"/>
  <c r="T89" i="24"/>
  <c r="AE19" i="31" s="1"/>
  <c r="U89" i="24"/>
  <c r="G90" i="32" s="1"/>
  <c r="V89" i="24"/>
  <c r="AE21" i="31" s="1"/>
  <c r="W89" i="24"/>
  <c r="X89" i="24"/>
  <c r="C122" i="32" s="1"/>
  <c r="Y89" i="24"/>
  <c r="D122" i="32" s="1"/>
  <c r="Z89" i="24"/>
  <c r="AE25" i="31" s="1"/>
  <c r="AA89" i="24"/>
  <c r="AE26" i="31" s="1"/>
  <c r="AB89" i="24"/>
  <c r="AE27" i="31" s="1"/>
  <c r="AC89" i="24"/>
  <c r="AE28" i="31" s="1"/>
  <c r="AD89" i="24"/>
  <c r="AE29" i="31" s="1"/>
  <c r="AE89" i="24"/>
  <c r="AF89" i="24"/>
  <c r="D154" i="32" s="1"/>
  <c r="AG89" i="24"/>
  <c r="E154" i="32" s="1"/>
  <c r="AH89" i="24"/>
  <c r="F154" i="32" s="1"/>
  <c r="AI89" i="24"/>
  <c r="AE34" i="31" s="1"/>
  <c r="AJ89" i="24"/>
  <c r="AE35" i="31" s="1"/>
  <c r="AK89" i="24"/>
  <c r="AE36" i="31" s="1"/>
  <c r="AL89" i="24"/>
  <c r="C186" i="32" s="1"/>
  <c r="AM89" i="24"/>
  <c r="AN89" i="24"/>
  <c r="E186" i="32" s="1"/>
  <c r="AO89" i="24"/>
  <c r="F186" i="32" s="1"/>
  <c r="AP89" i="24"/>
  <c r="AE41" i="31" s="1"/>
  <c r="AQ89" i="24"/>
  <c r="AE42" i="31" s="1"/>
  <c r="AR89" i="24"/>
  <c r="AE43" i="31" s="1"/>
  <c r="AS89" i="24"/>
  <c r="AE44" i="31" s="1"/>
  <c r="AT89" i="24"/>
  <c r="AE45" i="31" s="1"/>
  <c r="AU89" i="24"/>
  <c r="AV89" i="24"/>
  <c r="AE47" i="31" s="1"/>
  <c r="C89" i="24"/>
  <c r="AE2" i="31" s="1"/>
  <c r="AK80" i="31"/>
  <c r="AJ80" i="31"/>
  <c r="AI80" i="31"/>
  <c r="AH80" i="31"/>
  <c r="AG80" i="31"/>
  <c r="AD80" i="31"/>
  <c r="AC80" i="31"/>
  <c r="AB80" i="31"/>
  <c r="AA80" i="31"/>
  <c r="Z80" i="31"/>
  <c r="Y80" i="31"/>
  <c r="X80" i="31"/>
  <c r="W80" i="31"/>
  <c r="V80" i="31"/>
  <c r="U80" i="31"/>
  <c r="T80" i="31"/>
  <c r="S80" i="31"/>
  <c r="R80" i="31"/>
  <c r="Q80" i="31"/>
  <c r="P80" i="31"/>
  <c r="N80" i="31"/>
  <c r="L80" i="31"/>
  <c r="K80" i="31"/>
  <c r="J80" i="31"/>
  <c r="I80" i="31"/>
  <c r="G80" i="31"/>
  <c r="F80" i="31"/>
  <c r="C80" i="31"/>
  <c r="B80" i="31"/>
  <c r="A80" i="31"/>
  <c r="AK79" i="31"/>
  <c r="AJ79" i="31"/>
  <c r="AI79" i="31"/>
  <c r="AH79" i="31"/>
  <c r="AG79" i="31"/>
  <c r="AD79" i="31"/>
  <c r="AC79" i="31"/>
  <c r="AB79" i="31"/>
  <c r="AA79" i="31"/>
  <c r="Z79" i="31"/>
  <c r="Y79" i="31"/>
  <c r="X79" i="31"/>
  <c r="W79" i="31"/>
  <c r="V79" i="31"/>
  <c r="U79" i="31"/>
  <c r="T79" i="31"/>
  <c r="S79" i="31"/>
  <c r="R79" i="31"/>
  <c r="Q79" i="31"/>
  <c r="P79" i="31"/>
  <c r="N79" i="31"/>
  <c r="L79" i="31"/>
  <c r="K79" i="31"/>
  <c r="J79" i="31"/>
  <c r="I79" i="31"/>
  <c r="G79" i="31"/>
  <c r="F79" i="31"/>
  <c r="C79" i="31"/>
  <c r="A79" i="31"/>
  <c r="AK78" i="31"/>
  <c r="AJ78" i="31"/>
  <c r="AI78" i="31"/>
  <c r="AH78" i="31"/>
  <c r="AG78" i="31"/>
  <c r="AD78" i="31"/>
  <c r="AC78" i="31"/>
  <c r="AB78" i="31"/>
  <c r="AA78" i="31"/>
  <c r="Z78" i="31"/>
  <c r="Y78" i="31"/>
  <c r="X78" i="31"/>
  <c r="W78" i="31"/>
  <c r="V78" i="31"/>
  <c r="U78" i="31"/>
  <c r="T78" i="31"/>
  <c r="S78" i="31"/>
  <c r="R78" i="31"/>
  <c r="Q78" i="31"/>
  <c r="P78" i="31"/>
  <c r="N78" i="31"/>
  <c r="L78" i="31"/>
  <c r="K78" i="31"/>
  <c r="J78" i="31"/>
  <c r="I78" i="31"/>
  <c r="G78" i="31"/>
  <c r="F78" i="31"/>
  <c r="C78" i="31"/>
  <c r="B78" i="31"/>
  <c r="A78" i="31"/>
  <c r="AK77" i="31"/>
  <c r="AJ77" i="31"/>
  <c r="AI77" i="31"/>
  <c r="AH77" i="31"/>
  <c r="AG77" i="31"/>
  <c r="AD77" i="31"/>
  <c r="AC77" i="31"/>
  <c r="AB77" i="31"/>
  <c r="AA77" i="31"/>
  <c r="Z77" i="31"/>
  <c r="Y77" i="31"/>
  <c r="X77" i="31"/>
  <c r="W77" i="31"/>
  <c r="V77" i="31"/>
  <c r="U77" i="31"/>
  <c r="T77" i="31"/>
  <c r="S77" i="31"/>
  <c r="R77" i="31"/>
  <c r="Q77" i="31"/>
  <c r="P77" i="31"/>
  <c r="N77" i="31"/>
  <c r="L77" i="31"/>
  <c r="K77" i="31"/>
  <c r="J77" i="31"/>
  <c r="I77" i="31"/>
  <c r="G77" i="31"/>
  <c r="F77" i="31"/>
  <c r="C77" i="31"/>
  <c r="B77" i="31"/>
  <c r="A77" i="31"/>
  <c r="AK76" i="31"/>
  <c r="AJ76" i="31"/>
  <c r="AI76" i="31"/>
  <c r="AH76" i="31"/>
  <c r="AG76" i="31"/>
  <c r="AD76" i="31"/>
  <c r="AC76" i="31"/>
  <c r="AB76" i="31"/>
  <c r="AA76" i="31"/>
  <c r="Z76" i="31"/>
  <c r="Y76" i="31"/>
  <c r="X76" i="31"/>
  <c r="W76" i="31"/>
  <c r="V76" i="31"/>
  <c r="U76" i="31"/>
  <c r="T76" i="31"/>
  <c r="S76" i="31"/>
  <c r="R76" i="31"/>
  <c r="Q76" i="31"/>
  <c r="P76" i="31"/>
  <c r="N76" i="31"/>
  <c r="L76" i="31"/>
  <c r="K76" i="31"/>
  <c r="J76" i="31"/>
  <c r="I76" i="31"/>
  <c r="G76" i="31"/>
  <c r="F76" i="31"/>
  <c r="C76" i="31"/>
  <c r="B76" i="31"/>
  <c r="A76" i="31"/>
  <c r="AK75" i="31"/>
  <c r="AJ75" i="31"/>
  <c r="AI75" i="31"/>
  <c r="AH75" i="31"/>
  <c r="AG75" i="31"/>
  <c r="AD75" i="31"/>
  <c r="AC75" i="31"/>
  <c r="AB75" i="31"/>
  <c r="AA75" i="31"/>
  <c r="Z75" i="31"/>
  <c r="Y75" i="31"/>
  <c r="X75" i="31"/>
  <c r="W75" i="31"/>
  <c r="V75" i="31"/>
  <c r="U75" i="31"/>
  <c r="T75" i="31"/>
  <c r="S75" i="31"/>
  <c r="R75" i="31"/>
  <c r="Q75" i="31"/>
  <c r="P75" i="31"/>
  <c r="N75" i="31"/>
  <c r="L75" i="31"/>
  <c r="K75" i="31"/>
  <c r="J75" i="31"/>
  <c r="I75" i="31"/>
  <c r="G75" i="31"/>
  <c r="F75" i="31"/>
  <c r="C75" i="31"/>
  <c r="B75" i="31"/>
  <c r="A75" i="31"/>
  <c r="AK74" i="31"/>
  <c r="AJ74" i="31"/>
  <c r="AI74" i="31"/>
  <c r="AH74" i="31"/>
  <c r="AG74" i="31"/>
  <c r="AD74" i="31"/>
  <c r="AC74" i="31"/>
  <c r="AB74" i="31"/>
  <c r="AA74" i="31"/>
  <c r="Z74" i="31"/>
  <c r="Y74" i="31"/>
  <c r="X74" i="31"/>
  <c r="W74" i="31"/>
  <c r="V74" i="31"/>
  <c r="U74" i="31"/>
  <c r="T74" i="31"/>
  <c r="S74" i="31"/>
  <c r="R74" i="31"/>
  <c r="Q74" i="31"/>
  <c r="P74" i="31"/>
  <c r="N74" i="31"/>
  <c r="L74" i="31"/>
  <c r="K74" i="31"/>
  <c r="J74" i="31"/>
  <c r="I74" i="31"/>
  <c r="G74" i="31"/>
  <c r="F74" i="31"/>
  <c r="C74" i="31"/>
  <c r="B74" i="31"/>
  <c r="A74" i="31"/>
  <c r="AK73" i="31"/>
  <c r="AJ73" i="31"/>
  <c r="AI73" i="31"/>
  <c r="AH73" i="31"/>
  <c r="AG73" i="31"/>
  <c r="AD73" i="31"/>
  <c r="AC73" i="31"/>
  <c r="AB73" i="31"/>
  <c r="AA73" i="31"/>
  <c r="Z73" i="31"/>
  <c r="Y73" i="31"/>
  <c r="X73" i="31"/>
  <c r="W73" i="31"/>
  <c r="V73" i="31"/>
  <c r="U73" i="31"/>
  <c r="T73" i="31"/>
  <c r="S73" i="31"/>
  <c r="R73" i="31"/>
  <c r="Q73" i="31"/>
  <c r="P73" i="31"/>
  <c r="N73" i="31"/>
  <c r="L73" i="31"/>
  <c r="K73" i="31"/>
  <c r="J73" i="31"/>
  <c r="I73" i="31"/>
  <c r="G73" i="31"/>
  <c r="F73" i="31"/>
  <c r="C73" i="31"/>
  <c r="B73" i="31"/>
  <c r="A73" i="31"/>
  <c r="AK72" i="31"/>
  <c r="AJ72" i="31"/>
  <c r="AI72" i="31"/>
  <c r="AH72" i="31"/>
  <c r="AG72" i="31"/>
  <c r="AD72" i="31"/>
  <c r="AC72" i="31"/>
  <c r="AB72" i="31"/>
  <c r="AA72" i="31"/>
  <c r="Z72" i="31"/>
  <c r="Y72" i="31"/>
  <c r="X72" i="31"/>
  <c r="W72" i="31"/>
  <c r="V72" i="31"/>
  <c r="U72" i="31"/>
  <c r="T72" i="31"/>
  <c r="S72" i="31"/>
  <c r="R72" i="31"/>
  <c r="Q72" i="31"/>
  <c r="P72" i="31"/>
  <c r="N72" i="31"/>
  <c r="L72" i="31"/>
  <c r="K72" i="31"/>
  <c r="J72" i="31"/>
  <c r="I72" i="31"/>
  <c r="G72" i="31"/>
  <c r="F72" i="31"/>
  <c r="C72" i="31"/>
  <c r="B72" i="31"/>
  <c r="A72" i="31"/>
  <c r="AK71" i="31"/>
  <c r="AJ71" i="31"/>
  <c r="AI71" i="31"/>
  <c r="AH71" i="31"/>
  <c r="AG71" i="31"/>
  <c r="AD71" i="31"/>
  <c r="AC71" i="31"/>
  <c r="AB71" i="31"/>
  <c r="AA71" i="31"/>
  <c r="Z71" i="31"/>
  <c r="Y71" i="31"/>
  <c r="X71" i="31"/>
  <c r="W71" i="31"/>
  <c r="V71" i="31"/>
  <c r="U71" i="31"/>
  <c r="T71" i="31"/>
  <c r="S71" i="31"/>
  <c r="R71" i="31"/>
  <c r="Q71" i="31"/>
  <c r="P71" i="31"/>
  <c r="N71" i="31"/>
  <c r="L71" i="31"/>
  <c r="K71" i="31"/>
  <c r="J71" i="31"/>
  <c r="I71" i="31"/>
  <c r="G71" i="31"/>
  <c r="F71" i="31"/>
  <c r="C71" i="31"/>
  <c r="B71" i="31"/>
  <c r="A71" i="31"/>
  <c r="AK70" i="31"/>
  <c r="AJ70" i="31"/>
  <c r="AI70" i="31"/>
  <c r="AH70" i="31"/>
  <c r="AG70" i="31"/>
  <c r="AD70" i="31"/>
  <c r="AC70" i="31"/>
  <c r="AB70" i="31"/>
  <c r="AA70" i="31"/>
  <c r="Z70" i="31"/>
  <c r="Y70" i="31"/>
  <c r="X70" i="31"/>
  <c r="W70" i="31"/>
  <c r="V70" i="31"/>
  <c r="U70" i="31"/>
  <c r="T70" i="31"/>
  <c r="S70" i="31"/>
  <c r="R70" i="31"/>
  <c r="Q70" i="31"/>
  <c r="P70" i="31"/>
  <c r="N70" i="31"/>
  <c r="L70" i="31"/>
  <c r="K70" i="31"/>
  <c r="J70" i="31"/>
  <c r="I70" i="31"/>
  <c r="G70" i="31"/>
  <c r="F70" i="31"/>
  <c r="C70" i="31"/>
  <c r="B70" i="31"/>
  <c r="A70" i="31"/>
  <c r="AK69" i="31"/>
  <c r="AJ69" i="31"/>
  <c r="AI69" i="31"/>
  <c r="AH69" i="31"/>
  <c r="AG69" i="31"/>
  <c r="AD69" i="31"/>
  <c r="AC69" i="31"/>
  <c r="AB69" i="31"/>
  <c r="AA69" i="31"/>
  <c r="Z69" i="31"/>
  <c r="Y69" i="31"/>
  <c r="X69" i="31"/>
  <c r="W69" i="31"/>
  <c r="V69" i="31"/>
  <c r="U69" i="31"/>
  <c r="T69" i="31"/>
  <c r="S69" i="31"/>
  <c r="R69" i="31"/>
  <c r="Q69" i="31"/>
  <c r="P69" i="31"/>
  <c r="N69" i="31"/>
  <c r="L69" i="31"/>
  <c r="K69" i="31"/>
  <c r="J69" i="31"/>
  <c r="I69" i="31"/>
  <c r="G69" i="31"/>
  <c r="F69" i="31"/>
  <c r="C69" i="31"/>
  <c r="B69" i="31"/>
  <c r="A69" i="31"/>
  <c r="AK68" i="31"/>
  <c r="AJ68" i="31"/>
  <c r="AI68" i="31"/>
  <c r="AH68" i="31"/>
  <c r="AG68" i="31"/>
  <c r="AD68" i="31"/>
  <c r="AC68" i="31"/>
  <c r="AB68" i="31"/>
  <c r="AA68" i="31"/>
  <c r="Z68" i="31"/>
  <c r="Y68" i="31"/>
  <c r="X68" i="31"/>
  <c r="W68" i="31"/>
  <c r="V68" i="31"/>
  <c r="U68" i="31"/>
  <c r="T68" i="31"/>
  <c r="S68" i="31"/>
  <c r="R68" i="31"/>
  <c r="Q68" i="31"/>
  <c r="P68" i="31"/>
  <c r="N68" i="31"/>
  <c r="L68" i="31"/>
  <c r="K68" i="31"/>
  <c r="J68" i="31"/>
  <c r="I68" i="31"/>
  <c r="G68" i="31"/>
  <c r="F68" i="31"/>
  <c r="C68" i="31"/>
  <c r="B68" i="31"/>
  <c r="A68" i="31"/>
  <c r="AK67" i="31"/>
  <c r="AJ67" i="31"/>
  <c r="AI67" i="31"/>
  <c r="AH67" i="31"/>
  <c r="AG67" i="31"/>
  <c r="AD67" i="31"/>
  <c r="AC67" i="31"/>
  <c r="AB67" i="31"/>
  <c r="AA67" i="31"/>
  <c r="Z67" i="31"/>
  <c r="Y67" i="31"/>
  <c r="X67" i="31"/>
  <c r="W67" i="31"/>
  <c r="V67" i="31"/>
  <c r="U67" i="31"/>
  <c r="T67" i="31"/>
  <c r="S67" i="31"/>
  <c r="R67" i="31"/>
  <c r="Q67" i="31"/>
  <c r="P67" i="31"/>
  <c r="N67" i="31"/>
  <c r="L67" i="31"/>
  <c r="K67" i="31"/>
  <c r="J67" i="31"/>
  <c r="I67" i="31"/>
  <c r="G67" i="31"/>
  <c r="F67" i="31"/>
  <c r="C67" i="31"/>
  <c r="B67" i="31"/>
  <c r="A67" i="31"/>
  <c r="AK66" i="31"/>
  <c r="AJ66" i="31"/>
  <c r="AI66" i="31"/>
  <c r="AH66" i="31"/>
  <c r="AG66" i="31"/>
  <c r="AD66" i="31"/>
  <c r="AC66" i="31"/>
  <c r="AB66" i="31"/>
  <c r="AA66" i="31"/>
  <c r="Z66" i="31"/>
  <c r="Y66" i="31"/>
  <c r="X66" i="31"/>
  <c r="W66" i="31"/>
  <c r="V66" i="31"/>
  <c r="U66" i="31"/>
  <c r="T66" i="31"/>
  <c r="S66" i="31"/>
  <c r="R66" i="31"/>
  <c r="Q66" i="31"/>
  <c r="P66" i="31"/>
  <c r="N66" i="31"/>
  <c r="L66" i="31"/>
  <c r="K66" i="31"/>
  <c r="J66" i="31"/>
  <c r="I66" i="31"/>
  <c r="G66" i="31"/>
  <c r="F66" i="31"/>
  <c r="C66" i="31"/>
  <c r="B66" i="31"/>
  <c r="A66" i="31"/>
  <c r="AK65" i="31"/>
  <c r="AJ65" i="31"/>
  <c r="AI65" i="31"/>
  <c r="AH65" i="31"/>
  <c r="AG65" i="31"/>
  <c r="AD65" i="31"/>
  <c r="AC65" i="31"/>
  <c r="AB65" i="31"/>
  <c r="AA65" i="31"/>
  <c r="Z65" i="31"/>
  <c r="Y65" i="31"/>
  <c r="X65" i="31"/>
  <c r="W65" i="31"/>
  <c r="V65" i="31"/>
  <c r="U65" i="31"/>
  <c r="T65" i="31"/>
  <c r="S65" i="31"/>
  <c r="R65" i="31"/>
  <c r="Q65" i="31"/>
  <c r="P65" i="31"/>
  <c r="N65" i="31"/>
  <c r="L65" i="31"/>
  <c r="K65" i="31"/>
  <c r="J65" i="31"/>
  <c r="I65" i="31"/>
  <c r="G65" i="31"/>
  <c r="F65" i="31"/>
  <c r="C65" i="31"/>
  <c r="B65" i="31"/>
  <c r="A65" i="31"/>
  <c r="AK64" i="31"/>
  <c r="AJ64" i="31"/>
  <c r="AI64" i="31"/>
  <c r="AH64" i="31"/>
  <c r="AG64" i="31"/>
  <c r="AD64" i="31"/>
  <c r="AC64" i="31"/>
  <c r="AB64" i="31"/>
  <c r="AA64" i="31"/>
  <c r="Z64" i="31"/>
  <c r="Y64" i="31"/>
  <c r="X64" i="31"/>
  <c r="W64" i="31"/>
  <c r="V64" i="31"/>
  <c r="U64" i="31"/>
  <c r="T64" i="31"/>
  <c r="S64" i="31"/>
  <c r="R64" i="31"/>
  <c r="Q64" i="31"/>
  <c r="P64" i="31"/>
  <c r="N64" i="31"/>
  <c r="L64" i="31"/>
  <c r="K64" i="31"/>
  <c r="J64" i="31"/>
  <c r="I64" i="31"/>
  <c r="G64" i="31"/>
  <c r="F64" i="31"/>
  <c r="C64" i="31"/>
  <c r="B64" i="31"/>
  <c r="A64" i="31"/>
  <c r="AK63" i="31"/>
  <c r="AJ63" i="31"/>
  <c r="AI63" i="31"/>
  <c r="AH63" i="31"/>
  <c r="AG63" i="31"/>
  <c r="AD63" i="31"/>
  <c r="AC63" i="31"/>
  <c r="AB63" i="31"/>
  <c r="AA63" i="31"/>
  <c r="Z63" i="31"/>
  <c r="Y63" i="31"/>
  <c r="X63" i="31"/>
  <c r="W63" i="31"/>
  <c r="V63" i="31"/>
  <c r="U63" i="31"/>
  <c r="T63" i="31"/>
  <c r="S63" i="31"/>
  <c r="R63" i="31"/>
  <c r="Q63" i="31"/>
  <c r="P63" i="31"/>
  <c r="N63" i="31"/>
  <c r="L63" i="31"/>
  <c r="K63" i="31"/>
  <c r="J63" i="31"/>
  <c r="I63" i="31"/>
  <c r="G63" i="31"/>
  <c r="F63" i="31"/>
  <c r="C63" i="31"/>
  <c r="B63" i="31"/>
  <c r="A63" i="31"/>
  <c r="AK62" i="31"/>
  <c r="AJ62" i="31"/>
  <c r="AI62" i="31"/>
  <c r="AH62" i="31"/>
  <c r="AG62" i="31"/>
  <c r="AD62" i="31"/>
  <c r="AC62" i="31"/>
  <c r="AB62" i="31"/>
  <c r="AA62" i="31"/>
  <c r="Z62" i="31"/>
  <c r="Y62" i="31"/>
  <c r="X62" i="31"/>
  <c r="W62" i="31"/>
  <c r="V62" i="31"/>
  <c r="U62" i="31"/>
  <c r="T62" i="31"/>
  <c r="S62" i="31"/>
  <c r="R62" i="31"/>
  <c r="Q62" i="31"/>
  <c r="P62" i="31"/>
  <c r="N62" i="31"/>
  <c r="L62" i="31"/>
  <c r="K62" i="31"/>
  <c r="J62" i="31"/>
  <c r="I62" i="31"/>
  <c r="G62" i="31"/>
  <c r="F62" i="31"/>
  <c r="C62" i="31"/>
  <c r="B62" i="31"/>
  <c r="A62" i="31"/>
  <c r="AK61" i="31"/>
  <c r="AJ61" i="31"/>
  <c r="AI61" i="31"/>
  <c r="AH61" i="31"/>
  <c r="AG61" i="31"/>
  <c r="AD61" i="31"/>
  <c r="AC61" i="31"/>
  <c r="AB61" i="31"/>
  <c r="AA61" i="31"/>
  <c r="Z61" i="31"/>
  <c r="Y61" i="31"/>
  <c r="X61" i="31"/>
  <c r="W61" i="31"/>
  <c r="V61" i="31"/>
  <c r="U61" i="31"/>
  <c r="T61" i="31"/>
  <c r="S61" i="31"/>
  <c r="R61" i="31"/>
  <c r="Q61" i="31"/>
  <c r="P61" i="31"/>
  <c r="N61" i="31"/>
  <c r="L61" i="31"/>
  <c r="K61" i="31"/>
  <c r="J61" i="31"/>
  <c r="I61" i="31"/>
  <c r="G61" i="31"/>
  <c r="F61" i="31"/>
  <c r="C61" i="31"/>
  <c r="B61" i="31"/>
  <c r="A61" i="31"/>
  <c r="AK60" i="31"/>
  <c r="AJ60" i="31"/>
  <c r="AI60" i="31"/>
  <c r="AH60" i="31"/>
  <c r="AG60" i="31"/>
  <c r="AD60" i="31"/>
  <c r="AC60" i="31"/>
  <c r="AB60" i="31"/>
  <c r="AA60" i="31"/>
  <c r="Z60" i="31"/>
  <c r="Y60" i="31"/>
  <c r="X60" i="31"/>
  <c r="W60" i="31"/>
  <c r="V60" i="31"/>
  <c r="U60" i="31"/>
  <c r="T60" i="31"/>
  <c r="S60" i="31"/>
  <c r="R60" i="31"/>
  <c r="Q60" i="31"/>
  <c r="P60" i="31"/>
  <c r="N60" i="31"/>
  <c r="L60" i="31"/>
  <c r="K60" i="31"/>
  <c r="J60" i="31"/>
  <c r="I60" i="31"/>
  <c r="G60" i="31"/>
  <c r="F60" i="31"/>
  <c r="C60" i="31"/>
  <c r="B60" i="31"/>
  <c r="A60" i="31"/>
  <c r="AK59" i="31"/>
  <c r="AJ59" i="31"/>
  <c r="AI59" i="31"/>
  <c r="AH59" i="31"/>
  <c r="AG59" i="31"/>
  <c r="AD59" i="31"/>
  <c r="AC59" i="31"/>
  <c r="AB59" i="31"/>
  <c r="AA59" i="31"/>
  <c r="Z59" i="31"/>
  <c r="Y59" i="31"/>
  <c r="X59" i="31"/>
  <c r="W59" i="31"/>
  <c r="V59" i="31"/>
  <c r="U59" i="31"/>
  <c r="T59" i="31"/>
  <c r="S59" i="31"/>
  <c r="R59" i="31"/>
  <c r="Q59" i="31"/>
  <c r="P59" i="31"/>
  <c r="N59" i="31"/>
  <c r="L59" i="31"/>
  <c r="K59" i="31"/>
  <c r="J59" i="31"/>
  <c r="I59" i="31"/>
  <c r="G59" i="31"/>
  <c r="F59" i="31"/>
  <c r="C59" i="31"/>
  <c r="B59" i="31"/>
  <c r="A59" i="31"/>
  <c r="AK58" i="31"/>
  <c r="AJ58" i="31"/>
  <c r="AI58" i="31"/>
  <c r="AH58" i="31"/>
  <c r="AG58" i="31"/>
  <c r="AD58" i="31"/>
  <c r="AC58" i="31"/>
  <c r="AB58" i="31"/>
  <c r="AA58" i="31"/>
  <c r="Z58" i="31"/>
  <c r="Y58" i="31"/>
  <c r="X58" i="31"/>
  <c r="W58" i="31"/>
  <c r="V58" i="31"/>
  <c r="U58" i="31"/>
  <c r="T58" i="31"/>
  <c r="S58" i="31"/>
  <c r="R58" i="31"/>
  <c r="Q58" i="31"/>
  <c r="P58" i="31"/>
  <c r="N58" i="31"/>
  <c r="L58" i="31"/>
  <c r="K58" i="31"/>
  <c r="J58" i="31"/>
  <c r="I58" i="31"/>
  <c r="G58" i="31"/>
  <c r="F58" i="31"/>
  <c r="C58" i="31"/>
  <c r="B58" i="31"/>
  <c r="A58" i="31"/>
  <c r="AK57" i="31"/>
  <c r="AJ57" i="31"/>
  <c r="AI57" i="31"/>
  <c r="AH57" i="31"/>
  <c r="AG57" i="31"/>
  <c r="AD57" i="31"/>
  <c r="AC57" i="31"/>
  <c r="AB57" i="31"/>
  <c r="AA57" i="31"/>
  <c r="Z57" i="31"/>
  <c r="Y57" i="31"/>
  <c r="X57" i="31"/>
  <c r="W57" i="31"/>
  <c r="V57" i="31"/>
  <c r="U57" i="31"/>
  <c r="T57" i="31"/>
  <c r="S57" i="31"/>
  <c r="R57" i="31"/>
  <c r="Q57" i="31"/>
  <c r="P57" i="31"/>
  <c r="N57" i="31"/>
  <c r="L57" i="31"/>
  <c r="K57" i="31"/>
  <c r="J57" i="31"/>
  <c r="I57" i="31"/>
  <c r="G57" i="31"/>
  <c r="F57" i="31"/>
  <c r="C57" i="31"/>
  <c r="B57" i="31"/>
  <c r="A57" i="31"/>
  <c r="AK56" i="31"/>
  <c r="AJ56" i="31"/>
  <c r="AI56" i="31"/>
  <c r="AH56" i="31"/>
  <c r="AG56" i="31"/>
  <c r="AD56" i="31"/>
  <c r="AC56" i="31"/>
  <c r="AB56" i="31"/>
  <c r="AA56" i="31"/>
  <c r="Z56" i="31"/>
  <c r="Y56" i="31"/>
  <c r="X56" i="31"/>
  <c r="W56" i="31"/>
  <c r="V56" i="31"/>
  <c r="U56" i="31"/>
  <c r="T56" i="31"/>
  <c r="S56" i="31"/>
  <c r="R56" i="31"/>
  <c r="Q56" i="31"/>
  <c r="P56" i="31"/>
  <c r="N56" i="31"/>
  <c r="L56" i="31"/>
  <c r="K56" i="31"/>
  <c r="J56" i="31"/>
  <c r="I56" i="31"/>
  <c r="G56" i="31"/>
  <c r="F56" i="31"/>
  <c r="E56" i="31"/>
  <c r="C56" i="31"/>
  <c r="A56" i="31"/>
  <c r="AK55" i="31"/>
  <c r="AJ55" i="31"/>
  <c r="AI55" i="31"/>
  <c r="AH55" i="31"/>
  <c r="AG55" i="31"/>
  <c r="AD55" i="31"/>
  <c r="AC55" i="31"/>
  <c r="AB55" i="31"/>
  <c r="AA55" i="31"/>
  <c r="Z55" i="31"/>
  <c r="Y55" i="31"/>
  <c r="X55" i="31"/>
  <c r="W55" i="31"/>
  <c r="V55" i="31"/>
  <c r="U55" i="31"/>
  <c r="T55" i="31"/>
  <c r="S55" i="31"/>
  <c r="R55" i="31"/>
  <c r="Q55" i="31"/>
  <c r="P55" i="31"/>
  <c r="N55" i="31"/>
  <c r="L55" i="31"/>
  <c r="K55" i="31"/>
  <c r="J55" i="31"/>
  <c r="I55" i="31"/>
  <c r="G55" i="31"/>
  <c r="F55" i="31"/>
  <c r="C55" i="31"/>
  <c r="B55" i="31"/>
  <c r="A55" i="31"/>
  <c r="AK54" i="31"/>
  <c r="AJ54" i="31"/>
  <c r="AI54" i="31"/>
  <c r="AH54" i="31"/>
  <c r="AG54" i="31"/>
  <c r="AD54" i="31"/>
  <c r="AC54" i="31"/>
  <c r="AB54" i="31"/>
  <c r="AA54" i="31"/>
  <c r="Z54" i="31"/>
  <c r="Y54" i="31"/>
  <c r="X54" i="31"/>
  <c r="W54" i="31"/>
  <c r="V54" i="31"/>
  <c r="U54" i="31"/>
  <c r="T54" i="31"/>
  <c r="S54" i="31"/>
  <c r="R54" i="31"/>
  <c r="Q54" i="31"/>
  <c r="P54" i="31"/>
  <c r="N54" i="31"/>
  <c r="L54" i="31"/>
  <c r="K54" i="31"/>
  <c r="J54" i="31"/>
  <c r="I54" i="31"/>
  <c r="G54" i="31"/>
  <c r="F54" i="31"/>
  <c r="C54" i="31"/>
  <c r="A54" i="31"/>
  <c r="AK53" i="31"/>
  <c r="AJ53" i="31"/>
  <c r="AI53" i="31"/>
  <c r="AH53" i="31"/>
  <c r="AG53" i="31"/>
  <c r="AD53" i="31"/>
  <c r="AC53" i="31"/>
  <c r="AB53" i="31"/>
  <c r="AA53" i="31"/>
  <c r="Z53" i="31"/>
  <c r="Y53" i="31"/>
  <c r="X53" i="31"/>
  <c r="W53" i="31"/>
  <c r="V53" i="31"/>
  <c r="U53" i="31"/>
  <c r="T53" i="31"/>
  <c r="S53" i="31"/>
  <c r="R53" i="31"/>
  <c r="Q53" i="31"/>
  <c r="P53" i="31"/>
  <c r="N53" i="31"/>
  <c r="L53" i="31"/>
  <c r="K53" i="31"/>
  <c r="J53" i="31"/>
  <c r="I53" i="31"/>
  <c r="G53" i="31"/>
  <c r="F53" i="31"/>
  <c r="C53" i="31"/>
  <c r="B53" i="31"/>
  <c r="A53" i="31"/>
  <c r="AK52" i="31"/>
  <c r="AJ52" i="31"/>
  <c r="AI52" i="31"/>
  <c r="AH52" i="31"/>
  <c r="AG52" i="31"/>
  <c r="AD52" i="31"/>
  <c r="AC52" i="31"/>
  <c r="AB52" i="31"/>
  <c r="AA52" i="31"/>
  <c r="Z52" i="31"/>
  <c r="Y52" i="31"/>
  <c r="X52" i="31"/>
  <c r="W52" i="31"/>
  <c r="V52" i="31"/>
  <c r="U52" i="31"/>
  <c r="T52" i="31"/>
  <c r="S52" i="31"/>
  <c r="R52" i="31"/>
  <c r="Q52" i="31"/>
  <c r="P52" i="31"/>
  <c r="N52" i="31"/>
  <c r="L52" i="31"/>
  <c r="K52" i="31"/>
  <c r="J52" i="31"/>
  <c r="I52" i="31"/>
  <c r="G52" i="31"/>
  <c r="F52" i="31"/>
  <c r="E52" i="31"/>
  <c r="C52" i="31"/>
  <c r="B52" i="31"/>
  <c r="A52" i="31"/>
  <c r="AK51" i="31"/>
  <c r="AJ51" i="31"/>
  <c r="AI51" i="31"/>
  <c r="AH51" i="31"/>
  <c r="AG51" i="31"/>
  <c r="AD51" i="31"/>
  <c r="AC51" i="31"/>
  <c r="AB51" i="31"/>
  <c r="AA51" i="31"/>
  <c r="Z51" i="31"/>
  <c r="Y51" i="31"/>
  <c r="X51" i="31"/>
  <c r="W51" i="31"/>
  <c r="V51" i="31"/>
  <c r="U51" i="31"/>
  <c r="T51" i="31"/>
  <c r="S51" i="31"/>
  <c r="R51" i="31"/>
  <c r="Q51" i="31"/>
  <c r="P51" i="31"/>
  <c r="N51" i="31"/>
  <c r="L51" i="31"/>
  <c r="K51" i="31"/>
  <c r="J51" i="31"/>
  <c r="I51" i="31"/>
  <c r="G51" i="31"/>
  <c r="F51" i="31"/>
  <c r="E51" i="31"/>
  <c r="C51" i="31"/>
  <c r="A51" i="31"/>
  <c r="AK50" i="31"/>
  <c r="AJ50" i="31"/>
  <c r="AI50" i="31"/>
  <c r="AH50" i="31"/>
  <c r="AG50" i="31"/>
  <c r="AD50" i="31"/>
  <c r="AC50" i="31"/>
  <c r="AB50" i="31"/>
  <c r="AA50" i="31"/>
  <c r="Z50" i="31"/>
  <c r="Y50" i="31"/>
  <c r="X50" i="31"/>
  <c r="W50" i="31"/>
  <c r="V50" i="31"/>
  <c r="U50" i="31"/>
  <c r="T50" i="31"/>
  <c r="S50" i="31"/>
  <c r="R50" i="31"/>
  <c r="Q50" i="31"/>
  <c r="P50" i="31"/>
  <c r="N50" i="31"/>
  <c r="L50" i="31"/>
  <c r="K50" i="31"/>
  <c r="J50" i="31"/>
  <c r="I50" i="31"/>
  <c r="G50" i="31"/>
  <c r="F50" i="31"/>
  <c r="E50" i="31"/>
  <c r="C50" i="31"/>
  <c r="B50" i="31"/>
  <c r="A50" i="31"/>
  <c r="AK49" i="31"/>
  <c r="AJ49" i="31"/>
  <c r="AI49" i="31"/>
  <c r="AH49" i="31"/>
  <c r="AG49" i="31"/>
  <c r="AD49" i="31"/>
  <c r="AC49" i="31"/>
  <c r="AB49" i="31"/>
  <c r="AA49" i="31"/>
  <c r="Z49" i="31"/>
  <c r="Y49" i="31"/>
  <c r="X49" i="31"/>
  <c r="W49" i="31"/>
  <c r="V49" i="31"/>
  <c r="U49" i="31"/>
  <c r="T49" i="31"/>
  <c r="S49" i="31"/>
  <c r="R49" i="31"/>
  <c r="Q49" i="31"/>
  <c r="P49" i="31"/>
  <c r="N49" i="31"/>
  <c r="L49" i="31"/>
  <c r="K49" i="31"/>
  <c r="J49" i="31"/>
  <c r="I49" i="31"/>
  <c r="G49" i="31"/>
  <c r="F49" i="31"/>
  <c r="C49" i="31"/>
  <c r="B49" i="31"/>
  <c r="A49" i="31"/>
  <c r="AK48" i="31"/>
  <c r="AJ48" i="31"/>
  <c r="AI48" i="31"/>
  <c r="AH48" i="31"/>
  <c r="AG48" i="31"/>
  <c r="AD48" i="31"/>
  <c r="AC48" i="31"/>
  <c r="AB48" i="31"/>
  <c r="AA48" i="31"/>
  <c r="Z48" i="31"/>
  <c r="Y48" i="31"/>
  <c r="X48" i="31"/>
  <c r="W48" i="31"/>
  <c r="V48" i="31"/>
  <c r="U48" i="31"/>
  <c r="T48" i="31"/>
  <c r="S48" i="31"/>
  <c r="R48" i="31"/>
  <c r="Q48" i="31"/>
  <c r="P48" i="31"/>
  <c r="N48" i="31"/>
  <c r="L48" i="31"/>
  <c r="K48" i="31"/>
  <c r="J48" i="31"/>
  <c r="I48" i="31"/>
  <c r="G48" i="31"/>
  <c r="F48" i="31"/>
  <c r="C48" i="31"/>
  <c r="B48" i="31"/>
  <c r="A48" i="31"/>
  <c r="AK47" i="31"/>
  <c r="AJ47" i="31"/>
  <c r="AI47" i="31"/>
  <c r="AH47" i="31"/>
  <c r="AG47" i="31"/>
  <c r="AF47" i="31"/>
  <c r="AD47" i="31"/>
  <c r="AC47" i="31"/>
  <c r="AB47" i="31"/>
  <c r="AA47" i="31"/>
  <c r="Z47" i="31"/>
  <c r="Y47" i="31"/>
  <c r="X47" i="31"/>
  <c r="W47" i="31"/>
  <c r="V47" i="31"/>
  <c r="U47" i="31"/>
  <c r="T47" i="31"/>
  <c r="S47" i="31"/>
  <c r="R47" i="31"/>
  <c r="Q47" i="31"/>
  <c r="P47" i="31"/>
  <c r="N47" i="31"/>
  <c r="L47" i="31"/>
  <c r="K47" i="31"/>
  <c r="J47" i="31"/>
  <c r="I47" i="31"/>
  <c r="G47" i="31"/>
  <c r="F47" i="31"/>
  <c r="C47" i="31"/>
  <c r="B47" i="31"/>
  <c r="A47" i="31"/>
  <c r="AK46" i="31"/>
  <c r="AJ46" i="31"/>
  <c r="AI46" i="31"/>
  <c r="AH46" i="31"/>
  <c r="AG46" i="31"/>
  <c r="AF46" i="31"/>
  <c r="AE46" i="31"/>
  <c r="AD46" i="31"/>
  <c r="AC46" i="31"/>
  <c r="AB46" i="31"/>
  <c r="AA46" i="31"/>
  <c r="Z46" i="31"/>
  <c r="Y46" i="31"/>
  <c r="X46" i="31"/>
  <c r="W46" i="31"/>
  <c r="V46" i="31"/>
  <c r="U46" i="31"/>
  <c r="T46" i="31"/>
  <c r="S46" i="31"/>
  <c r="R46" i="31"/>
  <c r="Q46" i="31"/>
  <c r="P46" i="31"/>
  <c r="N46" i="31"/>
  <c r="L46" i="31"/>
  <c r="K46" i="31"/>
  <c r="J46" i="31"/>
  <c r="I46" i="31"/>
  <c r="G46" i="31"/>
  <c r="F46" i="31"/>
  <c r="E46" i="31"/>
  <c r="C46" i="31"/>
  <c r="B46" i="31"/>
  <c r="A46" i="31"/>
  <c r="AK45" i="31"/>
  <c r="AJ45" i="31"/>
  <c r="AI45" i="31"/>
  <c r="AH45" i="31"/>
  <c r="AG45" i="31"/>
  <c r="AF45" i="31"/>
  <c r="AD45" i="31"/>
  <c r="AC45" i="31"/>
  <c r="AB45" i="31"/>
  <c r="AA45" i="31"/>
  <c r="Z45" i="31"/>
  <c r="Y45" i="31"/>
  <c r="X45" i="31"/>
  <c r="W45" i="31"/>
  <c r="V45" i="31"/>
  <c r="U45" i="31"/>
  <c r="T45" i="31"/>
  <c r="S45" i="31"/>
  <c r="R45" i="31"/>
  <c r="Q45" i="31"/>
  <c r="P45" i="31"/>
  <c r="N45" i="31"/>
  <c r="L45" i="31"/>
  <c r="K45" i="31"/>
  <c r="J45" i="31"/>
  <c r="I45" i="31"/>
  <c r="G45" i="31"/>
  <c r="F45" i="31"/>
  <c r="E45" i="31"/>
  <c r="C45" i="31"/>
  <c r="B45" i="31"/>
  <c r="A45" i="31"/>
  <c r="AK44" i="31"/>
  <c r="AJ44" i="31"/>
  <c r="AI44" i="31"/>
  <c r="AH44" i="31"/>
  <c r="AG44" i="31"/>
  <c r="AF44" i="31"/>
  <c r="AD44" i="31"/>
  <c r="AC44" i="31"/>
  <c r="AB44" i="31"/>
  <c r="AA44" i="31"/>
  <c r="Z44" i="31"/>
  <c r="Y44" i="31"/>
  <c r="X44" i="31"/>
  <c r="W44" i="31"/>
  <c r="V44" i="31"/>
  <c r="U44" i="31"/>
  <c r="T44" i="31"/>
  <c r="S44" i="31"/>
  <c r="R44" i="31"/>
  <c r="Q44" i="31"/>
  <c r="P44" i="31"/>
  <c r="N44" i="31"/>
  <c r="L44" i="31"/>
  <c r="K44" i="31"/>
  <c r="J44" i="31"/>
  <c r="I44" i="31"/>
  <c r="G44" i="31"/>
  <c r="F44" i="31"/>
  <c r="E44" i="31"/>
  <c r="C44" i="31"/>
  <c r="B44" i="31"/>
  <c r="A44" i="31"/>
  <c r="AK43" i="31"/>
  <c r="AJ43" i="31"/>
  <c r="AI43" i="31"/>
  <c r="AH43" i="31"/>
  <c r="AG43" i="31"/>
  <c r="AF43" i="31"/>
  <c r="AD43" i="31"/>
  <c r="AC43" i="31"/>
  <c r="AB43" i="31"/>
  <c r="AA43" i="31"/>
  <c r="Z43" i="31"/>
  <c r="Y43" i="31"/>
  <c r="X43" i="31"/>
  <c r="W43" i="31"/>
  <c r="V43" i="31"/>
  <c r="U43" i="31"/>
  <c r="T43" i="31"/>
  <c r="S43" i="31"/>
  <c r="R43" i="31"/>
  <c r="Q43" i="31"/>
  <c r="P43" i="31"/>
  <c r="N43" i="31"/>
  <c r="L43" i="31"/>
  <c r="K43" i="31"/>
  <c r="J43" i="31"/>
  <c r="I43" i="31"/>
  <c r="G43" i="31"/>
  <c r="F43" i="31"/>
  <c r="E43" i="31"/>
  <c r="C43" i="31"/>
  <c r="A43" i="31"/>
  <c r="AK42" i="31"/>
  <c r="AJ42" i="31"/>
  <c r="AI42" i="31"/>
  <c r="AH42" i="31"/>
  <c r="AG42" i="31"/>
  <c r="AF42" i="31"/>
  <c r="AD42" i="31"/>
  <c r="AC42" i="31"/>
  <c r="AB42" i="31"/>
  <c r="AA42" i="31"/>
  <c r="Z42" i="31"/>
  <c r="Y42" i="31"/>
  <c r="X42" i="31"/>
  <c r="W42" i="31"/>
  <c r="V42" i="31"/>
  <c r="U42" i="31"/>
  <c r="T42" i="31"/>
  <c r="S42" i="31"/>
  <c r="R42" i="31"/>
  <c r="Q42" i="31"/>
  <c r="P42" i="31"/>
  <c r="N42" i="31"/>
  <c r="L42" i="31"/>
  <c r="K42" i="31"/>
  <c r="J42" i="31"/>
  <c r="I42" i="31"/>
  <c r="G42" i="31"/>
  <c r="F42" i="31"/>
  <c r="E42" i="31"/>
  <c r="C42" i="31"/>
  <c r="A42" i="31"/>
  <c r="AK41" i="31"/>
  <c r="AJ41" i="31"/>
  <c r="AI41" i="31"/>
  <c r="AH41" i="31"/>
  <c r="AG41" i="31"/>
  <c r="AF41" i="31"/>
  <c r="AD41" i="31"/>
  <c r="AC41" i="31"/>
  <c r="AB41" i="31"/>
  <c r="AA41" i="31"/>
  <c r="Z41" i="31"/>
  <c r="Y41" i="31"/>
  <c r="X41" i="31"/>
  <c r="W41" i="31"/>
  <c r="V41" i="31"/>
  <c r="U41" i="31"/>
  <c r="T41" i="31"/>
  <c r="S41" i="31"/>
  <c r="R41" i="31"/>
  <c r="Q41" i="31"/>
  <c r="P41" i="31"/>
  <c r="N41" i="31"/>
  <c r="L41" i="31"/>
  <c r="K41" i="31"/>
  <c r="J41" i="31"/>
  <c r="I41" i="31"/>
  <c r="G41" i="31"/>
  <c r="F41" i="31"/>
  <c r="E41" i="31"/>
  <c r="C41" i="31"/>
  <c r="A41" i="31"/>
  <c r="AK40" i="31"/>
  <c r="AJ40" i="31"/>
  <c r="AI40" i="31"/>
  <c r="AH40" i="31"/>
  <c r="AG40" i="31"/>
  <c r="AF40" i="31"/>
  <c r="AD40" i="31"/>
  <c r="AC40" i="31"/>
  <c r="AB40" i="31"/>
  <c r="AA40" i="31"/>
  <c r="Z40" i="31"/>
  <c r="Y40" i="31"/>
  <c r="X40" i="31"/>
  <c r="W40" i="31"/>
  <c r="V40" i="31"/>
  <c r="U40" i="31"/>
  <c r="T40" i="31"/>
  <c r="S40" i="31"/>
  <c r="R40" i="31"/>
  <c r="Q40" i="31"/>
  <c r="P40" i="31"/>
  <c r="N40" i="31"/>
  <c r="L40" i="31"/>
  <c r="K40" i="31"/>
  <c r="J40" i="31"/>
  <c r="I40" i="31"/>
  <c r="G40" i="31"/>
  <c r="F40" i="31"/>
  <c r="E40" i="31"/>
  <c r="C40" i="31"/>
  <c r="B40" i="31"/>
  <c r="A40" i="31"/>
  <c r="AK39" i="31"/>
  <c r="AJ39" i="31"/>
  <c r="AI39" i="31"/>
  <c r="AH39" i="31"/>
  <c r="AG39" i="31"/>
  <c r="AF39" i="31"/>
  <c r="AD39" i="31"/>
  <c r="AC39" i="31"/>
  <c r="AB39" i="31"/>
  <c r="AA39" i="31"/>
  <c r="Z39" i="31"/>
  <c r="Y39" i="31"/>
  <c r="X39" i="31"/>
  <c r="W39" i="31"/>
  <c r="V39" i="31"/>
  <c r="U39" i="31"/>
  <c r="T39" i="31"/>
  <c r="S39" i="31"/>
  <c r="R39" i="31"/>
  <c r="Q39" i="31"/>
  <c r="P39" i="31"/>
  <c r="N39" i="31"/>
  <c r="L39" i="31"/>
  <c r="K39" i="31"/>
  <c r="J39" i="31"/>
  <c r="I39" i="31"/>
  <c r="G39" i="31"/>
  <c r="F39" i="31"/>
  <c r="E39" i="31"/>
  <c r="C39" i="31"/>
  <c r="B39" i="31"/>
  <c r="A39" i="31"/>
  <c r="AK38" i="31"/>
  <c r="AJ38" i="31"/>
  <c r="AI38" i="31"/>
  <c r="AH38" i="31"/>
  <c r="AG38" i="31"/>
  <c r="AF38" i="31"/>
  <c r="AE38" i="31"/>
  <c r="AD38" i="31"/>
  <c r="AC38" i="31"/>
  <c r="AB38" i="31"/>
  <c r="AA38" i="31"/>
  <c r="Z38" i="31"/>
  <c r="Y38" i="31"/>
  <c r="X38" i="31"/>
  <c r="W38" i="31"/>
  <c r="V38" i="31"/>
  <c r="U38" i="31"/>
  <c r="T38" i="31"/>
  <c r="S38" i="31"/>
  <c r="R38" i="31"/>
  <c r="Q38" i="31"/>
  <c r="P38" i="31"/>
  <c r="N38" i="31"/>
  <c r="L38" i="31"/>
  <c r="K38" i="31"/>
  <c r="J38" i="31"/>
  <c r="I38" i="31"/>
  <c r="G38" i="31"/>
  <c r="F38" i="31"/>
  <c r="E38" i="31"/>
  <c r="C38" i="31"/>
  <c r="B38" i="31"/>
  <c r="A38" i="31"/>
  <c r="AK37" i="31"/>
  <c r="AJ37" i="31"/>
  <c r="AI37" i="31"/>
  <c r="AH37" i="31"/>
  <c r="AG37" i="31"/>
  <c r="AF37" i="31"/>
  <c r="AD37" i="31"/>
  <c r="AC37" i="31"/>
  <c r="AB37" i="31"/>
  <c r="AA37" i="31"/>
  <c r="Z37" i="31"/>
  <c r="Y37" i="31"/>
  <c r="X37" i="31"/>
  <c r="W37" i="31"/>
  <c r="V37" i="31"/>
  <c r="U37" i="31"/>
  <c r="T37" i="31"/>
  <c r="S37" i="31"/>
  <c r="R37" i="31"/>
  <c r="Q37" i="31"/>
  <c r="P37" i="31"/>
  <c r="N37" i="31"/>
  <c r="L37" i="31"/>
  <c r="K37" i="31"/>
  <c r="J37" i="31"/>
  <c r="I37" i="31"/>
  <c r="G37" i="31"/>
  <c r="F37" i="31"/>
  <c r="E37" i="31"/>
  <c r="C37" i="31"/>
  <c r="B37" i="31"/>
  <c r="A37" i="31"/>
  <c r="AK36" i="31"/>
  <c r="AJ36" i="31"/>
  <c r="AI36" i="31"/>
  <c r="AH36" i="31"/>
  <c r="AG36" i="31"/>
  <c r="AF36" i="31"/>
  <c r="AD36" i="31"/>
  <c r="AC36" i="31"/>
  <c r="AB36" i="31"/>
  <c r="AA36" i="31"/>
  <c r="Z36" i="31"/>
  <c r="Y36" i="31"/>
  <c r="X36" i="31"/>
  <c r="W36" i="31"/>
  <c r="V36" i="31"/>
  <c r="U36" i="31"/>
  <c r="T36" i="31"/>
  <c r="S36" i="31"/>
  <c r="R36" i="31"/>
  <c r="Q36" i="31"/>
  <c r="P36" i="31"/>
  <c r="N36" i="31"/>
  <c r="L36" i="31"/>
  <c r="K36" i="31"/>
  <c r="J36" i="31"/>
  <c r="I36" i="31"/>
  <c r="G36" i="31"/>
  <c r="F36" i="31"/>
  <c r="E36" i="31"/>
  <c r="C36" i="31"/>
  <c r="A36" i="31"/>
  <c r="AK35" i="31"/>
  <c r="AJ35" i="31"/>
  <c r="AI35" i="31"/>
  <c r="AH35" i="31"/>
  <c r="AG35" i="31"/>
  <c r="AF35" i="31"/>
  <c r="AD35" i="31"/>
  <c r="AC35" i="31"/>
  <c r="AB35" i="31"/>
  <c r="AA35" i="31"/>
  <c r="Z35" i="31"/>
  <c r="Y35" i="31"/>
  <c r="X35" i="31"/>
  <c r="W35" i="31"/>
  <c r="V35" i="31"/>
  <c r="U35" i="31"/>
  <c r="T35" i="31"/>
  <c r="S35" i="31"/>
  <c r="R35" i="31"/>
  <c r="Q35" i="31"/>
  <c r="P35" i="31"/>
  <c r="N35" i="31"/>
  <c r="L35" i="31"/>
  <c r="K35" i="31"/>
  <c r="J35" i="31"/>
  <c r="I35" i="31"/>
  <c r="G35" i="31"/>
  <c r="F35" i="31"/>
  <c r="E35" i="31"/>
  <c r="C35" i="31"/>
  <c r="A35" i="31"/>
  <c r="AK34" i="31"/>
  <c r="AJ34" i="31"/>
  <c r="AI34" i="31"/>
  <c r="AH34" i="31"/>
  <c r="AG34" i="31"/>
  <c r="AF34" i="31"/>
  <c r="AD34" i="31"/>
  <c r="AC34" i="31"/>
  <c r="AB34" i="31"/>
  <c r="AA34" i="31"/>
  <c r="Z34" i="31"/>
  <c r="Y34" i="31"/>
  <c r="X34" i="31"/>
  <c r="W34" i="31"/>
  <c r="V34" i="31"/>
  <c r="U34" i="31"/>
  <c r="T34" i="31"/>
  <c r="S34" i="31"/>
  <c r="R34" i="31"/>
  <c r="Q34" i="31"/>
  <c r="P34" i="31"/>
  <c r="N34" i="31"/>
  <c r="L34" i="31"/>
  <c r="K34" i="31"/>
  <c r="J34" i="31"/>
  <c r="I34" i="31"/>
  <c r="G34" i="31"/>
  <c r="F34" i="31"/>
  <c r="E34" i="31"/>
  <c r="C34" i="31"/>
  <c r="A34" i="31"/>
  <c r="AK33" i="31"/>
  <c r="AJ33" i="31"/>
  <c r="AI33" i="31"/>
  <c r="AH33" i="31"/>
  <c r="AG33" i="31"/>
  <c r="AF33" i="31"/>
  <c r="AD33" i="31"/>
  <c r="AC33" i="31"/>
  <c r="AB33" i="31"/>
  <c r="AA33" i="31"/>
  <c r="Z33" i="31"/>
  <c r="Y33" i="31"/>
  <c r="X33" i="31"/>
  <c r="W33" i="31"/>
  <c r="V33" i="31"/>
  <c r="U33" i="31"/>
  <c r="T33" i="31"/>
  <c r="S33" i="31"/>
  <c r="R33" i="31"/>
  <c r="Q33" i="31"/>
  <c r="P33" i="31"/>
  <c r="N33" i="31"/>
  <c r="L33" i="31"/>
  <c r="K33" i="31"/>
  <c r="J33" i="31"/>
  <c r="I33" i="31"/>
  <c r="G33" i="31"/>
  <c r="F33" i="31"/>
  <c r="E33" i="31"/>
  <c r="C33" i="31"/>
  <c r="A33" i="31"/>
  <c r="AK32" i="31"/>
  <c r="AJ32" i="31"/>
  <c r="AI32" i="31"/>
  <c r="AH32" i="31"/>
  <c r="AG32" i="31"/>
  <c r="AF32" i="31"/>
  <c r="AD32" i="31"/>
  <c r="AC32" i="31"/>
  <c r="AB32" i="31"/>
  <c r="AA32" i="31"/>
  <c r="Z32" i="31"/>
  <c r="Y32" i="31"/>
  <c r="X32" i="31"/>
  <c r="W32" i="31"/>
  <c r="V32" i="31"/>
  <c r="U32" i="31"/>
  <c r="T32" i="31"/>
  <c r="S32" i="31"/>
  <c r="R32" i="31"/>
  <c r="Q32" i="31"/>
  <c r="P32" i="31"/>
  <c r="N32" i="31"/>
  <c r="L32" i="31"/>
  <c r="K32" i="31"/>
  <c r="J32" i="31"/>
  <c r="I32" i="31"/>
  <c r="G32" i="31"/>
  <c r="F32" i="31"/>
  <c r="E32" i="31"/>
  <c r="C32" i="31"/>
  <c r="B32" i="31"/>
  <c r="A32" i="31"/>
  <c r="AK31" i="31"/>
  <c r="AJ31" i="31"/>
  <c r="AI31" i="31"/>
  <c r="AH31" i="31"/>
  <c r="AG31" i="31"/>
  <c r="AF31" i="31"/>
  <c r="AD31" i="31"/>
  <c r="AC31" i="31"/>
  <c r="AB31" i="31"/>
  <c r="AA31" i="31"/>
  <c r="Z31" i="31"/>
  <c r="Y31" i="31"/>
  <c r="X31" i="31"/>
  <c r="W31" i="31"/>
  <c r="V31" i="31"/>
  <c r="U31" i="31"/>
  <c r="T31" i="31"/>
  <c r="S31" i="31"/>
  <c r="R31" i="31"/>
  <c r="Q31" i="31"/>
  <c r="P31" i="31"/>
  <c r="N31" i="31"/>
  <c r="L31" i="31"/>
  <c r="K31" i="31"/>
  <c r="J31" i="31"/>
  <c r="I31" i="31"/>
  <c r="G31" i="31"/>
  <c r="F31" i="31"/>
  <c r="E31" i="31"/>
  <c r="C31" i="31"/>
  <c r="B31" i="31"/>
  <c r="A31" i="31"/>
  <c r="AK30" i="31"/>
  <c r="AJ30" i="31"/>
  <c r="AI30" i="31"/>
  <c r="AH30" i="31"/>
  <c r="AG30" i="31"/>
  <c r="AF30" i="31"/>
  <c r="AE30" i="31"/>
  <c r="AD30" i="31"/>
  <c r="AC30" i="31"/>
  <c r="AB30" i="31"/>
  <c r="AA30" i="31"/>
  <c r="Z30" i="31"/>
  <c r="Y30" i="31"/>
  <c r="X30" i="31"/>
  <c r="W30" i="31"/>
  <c r="V30" i="31"/>
  <c r="U30" i="31"/>
  <c r="T30" i="31"/>
  <c r="S30" i="31"/>
  <c r="R30" i="31"/>
  <c r="Q30" i="31"/>
  <c r="P30" i="31"/>
  <c r="N30" i="31"/>
  <c r="L30" i="31"/>
  <c r="K30" i="31"/>
  <c r="J30" i="31"/>
  <c r="I30" i="31"/>
  <c r="G30" i="31"/>
  <c r="F30" i="31"/>
  <c r="E30" i="31"/>
  <c r="C30" i="31"/>
  <c r="B30" i="31"/>
  <c r="A30" i="31"/>
  <c r="AK29" i="31"/>
  <c r="AJ29" i="31"/>
  <c r="AI29" i="31"/>
  <c r="AH29" i="31"/>
  <c r="AG29" i="31"/>
  <c r="AF29" i="31"/>
  <c r="AD29" i="31"/>
  <c r="AC29" i="31"/>
  <c r="AB29" i="31"/>
  <c r="AA29" i="31"/>
  <c r="Z29" i="31"/>
  <c r="Y29" i="31"/>
  <c r="X29" i="31"/>
  <c r="W29" i="31"/>
  <c r="V29" i="31"/>
  <c r="U29" i="31"/>
  <c r="T29" i="31"/>
  <c r="S29" i="31"/>
  <c r="R29" i="31"/>
  <c r="Q29" i="31"/>
  <c r="P29" i="31"/>
  <c r="N29" i="31"/>
  <c r="L29" i="31"/>
  <c r="K29" i="31"/>
  <c r="J29" i="31"/>
  <c r="I29" i="31"/>
  <c r="G29" i="31"/>
  <c r="F29" i="31"/>
  <c r="E29" i="31"/>
  <c r="C29" i="31"/>
  <c r="B29" i="31"/>
  <c r="A29" i="31"/>
  <c r="AK28" i="31"/>
  <c r="AJ28" i="31"/>
  <c r="AI28" i="31"/>
  <c r="AH28" i="31"/>
  <c r="AG28" i="31"/>
  <c r="AF28" i="31"/>
  <c r="AD28" i="31"/>
  <c r="AC28" i="31"/>
  <c r="AB28" i="31"/>
  <c r="AA28" i="31"/>
  <c r="Z28" i="31"/>
  <c r="Y28" i="31"/>
  <c r="X28" i="31"/>
  <c r="W28" i="31"/>
  <c r="V28" i="31"/>
  <c r="U28" i="31"/>
  <c r="T28" i="31"/>
  <c r="S28" i="31"/>
  <c r="R28" i="31"/>
  <c r="Q28" i="31"/>
  <c r="P28" i="31"/>
  <c r="N28" i="31"/>
  <c r="L28" i="31"/>
  <c r="K28" i="31"/>
  <c r="J28" i="31"/>
  <c r="I28" i="31"/>
  <c r="G28" i="31"/>
  <c r="F28" i="31"/>
  <c r="E28" i="31"/>
  <c r="C28" i="31"/>
  <c r="B28" i="31"/>
  <c r="A28" i="31"/>
  <c r="AK27" i="31"/>
  <c r="AJ27" i="31"/>
  <c r="AI27" i="31"/>
  <c r="AH27" i="31"/>
  <c r="AG27" i="31"/>
  <c r="AF27" i="31"/>
  <c r="AD27" i="31"/>
  <c r="AC27" i="31"/>
  <c r="AB27" i="31"/>
  <c r="AA27" i="31"/>
  <c r="Z27" i="31"/>
  <c r="Y27" i="31"/>
  <c r="X27" i="31"/>
  <c r="W27" i="31"/>
  <c r="V27" i="31"/>
  <c r="U27" i="31"/>
  <c r="T27" i="31"/>
  <c r="S27" i="31"/>
  <c r="R27" i="31"/>
  <c r="Q27" i="31"/>
  <c r="P27" i="31"/>
  <c r="N27" i="31"/>
  <c r="L27" i="31"/>
  <c r="K27" i="31"/>
  <c r="J27" i="31"/>
  <c r="I27" i="31"/>
  <c r="G27" i="31"/>
  <c r="F27" i="31"/>
  <c r="C27" i="31"/>
  <c r="B27" i="31"/>
  <c r="A27" i="31"/>
  <c r="AK26" i="31"/>
  <c r="AJ26" i="31"/>
  <c r="AI26" i="31"/>
  <c r="AH26" i="31"/>
  <c r="AG26" i="31"/>
  <c r="AF26" i="31"/>
  <c r="AD26" i="31"/>
  <c r="AC26" i="31"/>
  <c r="AB26" i="31"/>
  <c r="AA26" i="31"/>
  <c r="Z26" i="31"/>
  <c r="Y26" i="31"/>
  <c r="X26" i="31"/>
  <c r="W26" i="31"/>
  <c r="V26" i="31"/>
  <c r="U26" i="31"/>
  <c r="T26" i="31"/>
  <c r="S26" i="31"/>
  <c r="R26" i="31"/>
  <c r="Q26" i="31"/>
  <c r="P26" i="31"/>
  <c r="N26" i="31"/>
  <c r="L26" i="31"/>
  <c r="K26" i="31"/>
  <c r="J26" i="31"/>
  <c r="I26" i="31"/>
  <c r="G26" i="31"/>
  <c r="F26" i="31"/>
  <c r="E26" i="31"/>
  <c r="C26" i="31"/>
  <c r="B26" i="31"/>
  <c r="A26" i="31"/>
  <c r="AK25" i="31"/>
  <c r="AJ25" i="31"/>
  <c r="AI25" i="31"/>
  <c r="AH25" i="31"/>
  <c r="AG25" i="31"/>
  <c r="AF25" i="31"/>
  <c r="AD25" i="31"/>
  <c r="AC25" i="31"/>
  <c r="AB25" i="31"/>
  <c r="AA25" i="31"/>
  <c r="Z25" i="31"/>
  <c r="Y25" i="31"/>
  <c r="X25" i="31"/>
  <c r="W25" i="31"/>
  <c r="V25" i="31"/>
  <c r="U25" i="31"/>
  <c r="T25" i="31"/>
  <c r="S25" i="31"/>
  <c r="R25" i="31"/>
  <c r="Q25" i="31"/>
  <c r="P25" i="31"/>
  <c r="N25" i="31"/>
  <c r="L25" i="31"/>
  <c r="K25" i="31"/>
  <c r="J25" i="31"/>
  <c r="I25" i="31"/>
  <c r="G25" i="31"/>
  <c r="F25" i="31"/>
  <c r="E25" i="31"/>
  <c r="C25" i="31"/>
  <c r="B25" i="31"/>
  <c r="A25" i="31"/>
  <c r="AK24" i="31"/>
  <c r="AJ24" i="31"/>
  <c r="AI24" i="31"/>
  <c r="AH24" i="31"/>
  <c r="AG24" i="31"/>
  <c r="AF24" i="31"/>
  <c r="AD24" i="31"/>
  <c r="AC24" i="31"/>
  <c r="AB24" i="31"/>
  <c r="AA24" i="31"/>
  <c r="Z24" i="31"/>
  <c r="Y24" i="31"/>
  <c r="X24" i="31"/>
  <c r="W24" i="31"/>
  <c r="V24" i="31"/>
  <c r="U24" i="31"/>
  <c r="T24" i="31"/>
  <c r="S24" i="31"/>
  <c r="R24" i="31"/>
  <c r="Q24" i="31"/>
  <c r="P24" i="31"/>
  <c r="N24" i="31"/>
  <c r="L24" i="31"/>
  <c r="K24" i="31"/>
  <c r="J24" i="31"/>
  <c r="I24" i="31"/>
  <c r="G24" i="31"/>
  <c r="F24" i="31"/>
  <c r="E24" i="31"/>
  <c r="C24" i="31"/>
  <c r="A24" i="31"/>
  <c r="AK23" i="31"/>
  <c r="AJ23" i="31"/>
  <c r="AI23" i="31"/>
  <c r="AH23" i="31"/>
  <c r="AG23" i="31"/>
  <c r="AF23" i="31"/>
  <c r="AD23" i="31"/>
  <c r="AC23" i="31"/>
  <c r="AB23" i="31"/>
  <c r="AA23" i="31"/>
  <c r="Z23" i="31"/>
  <c r="Y23" i="31"/>
  <c r="X23" i="31"/>
  <c r="W23" i="31"/>
  <c r="V23" i="31"/>
  <c r="U23" i="31"/>
  <c r="T23" i="31"/>
  <c r="S23" i="31"/>
  <c r="R23" i="31"/>
  <c r="Q23" i="31"/>
  <c r="P23" i="31"/>
  <c r="N23" i="31"/>
  <c r="L23" i="31"/>
  <c r="K23" i="31"/>
  <c r="J23" i="31"/>
  <c r="I23" i="31"/>
  <c r="G23" i="31"/>
  <c r="F23" i="31"/>
  <c r="E23" i="31"/>
  <c r="C23" i="31"/>
  <c r="A23" i="31"/>
  <c r="AK22" i="31"/>
  <c r="AJ22" i="31"/>
  <c r="AI22" i="31"/>
  <c r="AH22" i="31"/>
  <c r="AG22" i="31"/>
  <c r="AF22" i="31"/>
  <c r="AE22" i="31"/>
  <c r="AD22" i="31"/>
  <c r="AC22" i="31"/>
  <c r="AB22" i="31"/>
  <c r="AA22" i="31"/>
  <c r="Z22" i="31"/>
  <c r="Y22" i="31"/>
  <c r="X22" i="31"/>
  <c r="W22" i="31"/>
  <c r="V22" i="31"/>
  <c r="U22" i="31"/>
  <c r="T22" i="31"/>
  <c r="S22" i="31"/>
  <c r="R22" i="31"/>
  <c r="Q22" i="31"/>
  <c r="P22" i="31"/>
  <c r="N22" i="31"/>
  <c r="L22" i="31"/>
  <c r="K22" i="31"/>
  <c r="J22" i="31"/>
  <c r="I22" i="31"/>
  <c r="G22" i="31"/>
  <c r="F22" i="31"/>
  <c r="E22" i="31"/>
  <c r="C22" i="31"/>
  <c r="B22" i="31"/>
  <c r="A22" i="31"/>
  <c r="AK21" i="31"/>
  <c r="AJ21" i="31"/>
  <c r="AI21" i="31"/>
  <c r="AH21" i="31"/>
  <c r="AG21" i="31"/>
  <c r="AF21" i="31"/>
  <c r="AD21" i="31"/>
  <c r="AC21" i="31"/>
  <c r="AB21" i="31"/>
  <c r="AA21" i="31"/>
  <c r="Z21" i="31"/>
  <c r="Y21" i="31"/>
  <c r="X21" i="31"/>
  <c r="W21" i="31"/>
  <c r="V21" i="31"/>
  <c r="U21" i="31"/>
  <c r="T21" i="31"/>
  <c r="S21" i="31"/>
  <c r="R21" i="31"/>
  <c r="Q21" i="31"/>
  <c r="P21" i="31"/>
  <c r="N21" i="31"/>
  <c r="L21" i="31"/>
  <c r="K21" i="31"/>
  <c r="J21" i="31"/>
  <c r="I21" i="31"/>
  <c r="G21" i="31"/>
  <c r="F21" i="31"/>
  <c r="E21" i="31"/>
  <c r="C21" i="31"/>
  <c r="B21" i="31"/>
  <c r="A21" i="31"/>
  <c r="AK20" i="31"/>
  <c r="AJ20" i="31"/>
  <c r="AI20" i="31"/>
  <c r="AH20" i="31"/>
  <c r="AG20" i="31"/>
  <c r="AF20" i="31"/>
  <c r="AD20" i="31"/>
  <c r="AC20" i="31"/>
  <c r="AB20" i="31"/>
  <c r="AA20" i="31"/>
  <c r="Z20" i="31"/>
  <c r="Y20" i="31"/>
  <c r="X20" i="31"/>
  <c r="W20" i="31"/>
  <c r="V20" i="31"/>
  <c r="U20" i="31"/>
  <c r="T20" i="31"/>
  <c r="S20" i="31"/>
  <c r="R20" i="31"/>
  <c r="Q20" i="31"/>
  <c r="P20" i="31"/>
  <c r="N20" i="31"/>
  <c r="L20" i="31"/>
  <c r="K20" i="31"/>
  <c r="J20" i="31"/>
  <c r="I20" i="31"/>
  <c r="G20" i="31"/>
  <c r="F20" i="31"/>
  <c r="E20" i="31"/>
  <c r="C20" i="31"/>
  <c r="B20" i="31"/>
  <c r="A20" i="31"/>
  <c r="AK19" i="31"/>
  <c r="AJ19" i="31"/>
  <c r="AI19" i="31"/>
  <c r="AH19" i="31"/>
  <c r="AG19" i="31"/>
  <c r="AF19" i="31"/>
  <c r="AD19" i="31"/>
  <c r="AC19" i="31"/>
  <c r="AB19" i="31"/>
  <c r="AA19" i="31"/>
  <c r="Z19" i="31"/>
  <c r="Y19" i="31"/>
  <c r="X19" i="31"/>
  <c r="W19" i="31"/>
  <c r="V19" i="31"/>
  <c r="U19" i="31"/>
  <c r="T19" i="31"/>
  <c r="S19" i="31"/>
  <c r="R19" i="31"/>
  <c r="Q19" i="31"/>
  <c r="P19" i="31"/>
  <c r="N19" i="31"/>
  <c r="L19" i="31"/>
  <c r="K19" i="31"/>
  <c r="J19" i="31"/>
  <c r="I19" i="31"/>
  <c r="G19" i="31"/>
  <c r="F19" i="31"/>
  <c r="C19" i="31"/>
  <c r="B19" i="31"/>
  <c r="A19" i="31"/>
  <c r="AK18" i="31"/>
  <c r="AJ18" i="31"/>
  <c r="AI18" i="31"/>
  <c r="AH18" i="31"/>
  <c r="AG18" i="31"/>
  <c r="AF18" i="31"/>
  <c r="AD18" i="31"/>
  <c r="AC18" i="31"/>
  <c r="AB18" i="31"/>
  <c r="AA18" i="31"/>
  <c r="Z18" i="31"/>
  <c r="Y18" i="31"/>
  <c r="X18" i="31"/>
  <c r="W18" i="31"/>
  <c r="V18" i="31"/>
  <c r="U18" i="31"/>
  <c r="T18" i="31"/>
  <c r="S18" i="31"/>
  <c r="R18" i="31"/>
  <c r="Q18" i="31"/>
  <c r="P18" i="31"/>
  <c r="N18" i="31"/>
  <c r="L18" i="31"/>
  <c r="K18" i="31"/>
  <c r="J18" i="31"/>
  <c r="I18" i="31"/>
  <c r="G18" i="31"/>
  <c r="F18" i="31"/>
  <c r="C18" i="31"/>
  <c r="B18" i="31"/>
  <c r="A18" i="31"/>
  <c r="AK17" i="31"/>
  <c r="AJ17" i="31"/>
  <c r="AI17" i="31"/>
  <c r="AH17" i="31"/>
  <c r="AG17" i="31"/>
  <c r="AF17" i="31"/>
  <c r="AD17" i="31"/>
  <c r="AC17" i="31"/>
  <c r="AB17" i="31"/>
  <c r="AA17" i="31"/>
  <c r="Z17" i="31"/>
  <c r="Y17" i="31"/>
  <c r="X17" i="31"/>
  <c r="W17" i="31"/>
  <c r="V17" i="31"/>
  <c r="U17" i="31"/>
  <c r="T17" i="31"/>
  <c r="S17" i="31"/>
  <c r="R17" i="31"/>
  <c r="Q17" i="31"/>
  <c r="P17" i="31"/>
  <c r="N17" i="31"/>
  <c r="L17" i="31"/>
  <c r="K17" i="31"/>
  <c r="J17" i="31"/>
  <c r="I17" i="31"/>
  <c r="G17" i="31"/>
  <c r="F17" i="31"/>
  <c r="E17" i="31"/>
  <c r="C17" i="31"/>
  <c r="B17" i="31"/>
  <c r="A17" i="31"/>
  <c r="AK16" i="31"/>
  <c r="AJ16" i="31"/>
  <c r="AI16" i="31"/>
  <c r="AH16" i="31"/>
  <c r="AG16" i="31"/>
  <c r="AF16" i="31"/>
  <c r="AD16" i="31"/>
  <c r="AC16" i="31"/>
  <c r="AB16" i="31"/>
  <c r="AA16" i="31"/>
  <c r="Z16" i="31"/>
  <c r="Y16" i="31"/>
  <c r="X16" i="31"/>
  <c r="W16" i="31"/>
  <c r="V16" i="31"/>
  <c r="U16" i="31"/>
  <c r="T16" i="31"/>
  <c r="S16" i="31"/>
  <c r="R16" i="31"/>
  <c r="Q16" i="31"/>
  <c r="P16" i="31"/>
  <c r="N16" i="31"/>
  <c r="L16" i="31"/>
  <c r="K16" i="31"/>
  <c r="J16" i="31"/>
  <c r="I16" i="31"/>
  <c r="G16" i="31"/>
  <c r="F16" i="31"/>
  <c r="E16" i="31"/>
  <c r="C16" i="31"/>
  <c r="B16" i="31"/>
  <c r="A16" i="31"/>
  <c r="AK15" i="31"/>
  <c r="AJ15" i="31"/>
  <c r="AI15" i="31"/>
  <c r="AH15" i="31"/>
  <c r="AG15" i="31"/>
  <c r="AF15" i="31"/>
  <c r="AD15" i="31"/>
  <c r="AC15" i="31"/>
  <c r="AB15" i="31"/>
  <c r="AA15" i="31"/>
  <c r="Z15" i="31"/>
  <c r="Y15" i="31"/>
  <c r="X15" i="31"/>
  <c r="W15" i="31"/>
  <c r="V15" i="31"/>
  <c r="U15" i="31"/>
  <c r="T15" i="31"/>
  <c r="S15" i="31"/>
  <c r="R15" i="31"/>
  <c r="Q15" i="31"/>
  <c r="P15" i="31"/>
  <c r="N15" i="31"/>
  <c r="L15" i="31"/>
  <c r="K15" i="31"/>
  <c r="J15" i="31"/>
  <c r="I15" i="31"/>
  <c r="G15" i="31"/>
  <c r="F15" i="31"/>
  <c r="E15" i="31"/>
  <c r="C15" i="31"/>
  <c r="B15" i="31"/>
  <c r="A15" i="31"/>
  <c r="AK14" i="31"/>
  <c r="AJ14" i="31"/>
  <c r="AI14" i="31"/>
  <c r="AH14" i="31"/>
  <c r="AG14" i="31"/>
  <c r="AF14" i="31"/>
  <c r="AE14" i="31"/>
  <c r="AD14" i="31"/>
  <c r="AC14" i="31"/>
  <c r="AB14" i="31"/>
  <c r="AA14" i="31"/>
  <c r="Z14" i="31"/>
  <c r="Y14" i="31"/>
  <c r="X14" i="31"/>
  <c r="W14" i="31"/>
  <c r="V14" i="31"/>
  <c r="U14" i="31"/>
  <c r="T14" i="31"/>
  <c r="S14" i="31"/>
  <c r="R14" i="31"/>
  <c r="Q14" i="31"/>
  <c r="P14" i="31"/>
  <c r="N14" i="31"/>
  <c r="L14" i="31"/>
  <c r="K14" i="31"/>
  <c r="J14" i="31"/>
  <c r="I14" i="31"/>
  <c r="G14" i="31"/>
  <c r="F14" i="31"/>
  <c r="E14" i="31"/>
  <c r="C14" i="31"/>
  <c r="A14" i="31"/>
  <c r="AK13" i="31"/>
  <c r="AJ13" i="31"/>
  <c r="AI13" i="31"/>
  <c r="AH13" i="31"/>
  <c r="AG13" i="31"/>
  <c r="AF13" i="31"/>
  <c r="AD13" i="31"/>
  <c r="AC13" i="31"/>
  <c r="AB13" i="31"/>
  <c r="AA13" i="31"/>
  <c r="Z13" i="31"/>
  <c r="Y13" i="31"/>
  <c r="X13" i="31"/>
  <c r="W13" i="31"/>
  <c r="V13" i="31"/>
  <c r="U13" i="31"/>
  <c r="T13" i="31"/>
  <c r="S13" i="31"/>
  <c r="R13" i="31"/>
  <c r="Q13" i="31"/>
  <c r="P13" i="31"/>
  <c r="N13" i="31"/>
  <c r="L13" i="31"/>
  <c r="K13" i="31"/>
  <c r="J13" i="31"/>
  <c r="I13" i="31"/>
  <c r="G13" i="31"/>
  <c r="F13" i="31"/>
  <c r="E13" i="31"/>
  <c r="C13" i="31"/>
  <c r="B13" i="31"/>
  <c r="A13" i="31"/>
  <c r="AK12" i="31"/>
  <c r="AJ12" i="31"/>
  <c r="AI12" i="31"/>
  <c r="AH12" i="31"/>
  <c r="AG12" i="31"/>
  <c r="AF12" i="31"/>
  <c r="AD12" i="31"/>
  <c r="AC12" i="31"/>
  <c r="AB12" i="31"/>
  <c r="AA12" i="31"/>
  <c r="Z12" i="31"/>
  <c r="Y12" i="31"/>
  <c r="X12" i="31"/>
  <c r="W12" i="31"/>
  <c r="V12" i="31"/>
  <c r="U12" i="31"/>
  <c r="T12" i="31"/>
  <c r="S12" i="31"/>
  <c r="R12" i="31"/>
  <c r="Q12" i="31"/>
  <c r="P12" i="31"/>
  <c r="N12" i="31"/>
  <c r="L12" i="31"/>
  <c r="K12" i="31"/>
  <c r="J12" i="31"/>
  <c r="I12" i="31"/>
  <c r="G12" i="31"/>
  <c r="F12" i="31"/>
  <c r="E12" i="31"/>
  <c r="C12" i="31"/>
  <c r="B12" i="31"/>
  <c r="A12" i="31"/>
  <c r="AK11" i="31"/>
  <c r="AJ11" i="31"/>
  <c r="AI11" i="31"/>
  <c r="AH11" i="31"/>
  <c r="AG11" i="31"/>
  <c r="AF11" i="31"/>
  <c r="AD11" i="31"/>
  <c r="AC11" i="31"/>
  <c r="AB11" i="31"/>
  <c r="AA11" i="31"/>
  <c r="Z11" i="31"/>
  <c r="Y11" i="31"/>
  <c r="X11" i="31"/>
  <c r="W11" i="31"/>
  <c r="V11" i="31"/>
  <c r="U11" i="31"/>
  <c r="T11" i="31"/>
  <c r="S11" i="31"/>
  <c r="R11" i="31"/>
  <c r="Q11" i="31"/>
  <c r="P11" i="31"/>
  <c r="N11" i="31"/>
  <c r="L11" i="31"/>
  <c r="K11" i="31"/>
  <c r="J11" i="31"/>
  <c r="I11" i="31"/>
  <c r="G11" i="31"/>
  <c r="F11" i="31"/>
  <c r="E11" i="31"/>
  <c r="C11" i="31"/>
  <c r="B11" i="31"/>
  <c r="A11" i="31"/>
  <c r="AK10" i="31"/>
  <c r="AJ10" i="31"/>
  <c r="AI10" i="31"/>
  <c r="AH10" i="31"/>
  <c r="AG10" i="31"/>
  <c r="AF10" i="31"/>
  <c r="AD10" i="31"/>
  <c r="AC10" i="31"/>
  <c r="AB10" i="31"/>
  <c r="AA10" i="31"/>
  <c r="Z10" i="31"/>
  <c r="Y10" i="31"/>
  <c r="X10" i="31"/>
  <c r="W10" i="31"/>
  <c r="V10" i="31"/>
  <c r="U10" i="31"/>
  <c r="T10" i="31"/>
  <c r="S10" i="31"/>
  <c r="R10" i="31"/>
  <c r="Q10" i="31"/>
  <c r="P10" i="31"/>
  <c r="N10" i="31"/>
  <c r="L10" i="31"/>
  <c r="K10" i="31"/>
  <c r="J10" i="31"/>
  <c r="I10" i="31"/>
  <c r="G10" i="31"/>
  <c r="F10" i="31"/>
  <c r="E10" i="31"/>
  <c r="C10" i="31"/>
  <c r="B10" i="31"/>
  <c r="A10" i="31"/>
  <c r="AK9" i="31"/>
  <c r="AJ9" i="31"/>
  <c r="AI9" i="31"/>
  <c r="AH9" i="31"/>
  <c r="AG9" i="31"/>
  <c r="AF9" i="31"/>
  <c r="AD9" i="31"/>
  <c r="AC9" i="31"/>
  <c r="AB9" i="31"/>
  <c r="AA9" i="31"/>
  <c r="Z9" i="31"/>
  <c r="Y9" i="31"/>
  <c r="X9" i="31"/>
  <c r="W9" i="31"/>
  <c r="V9" i="31"/>
  <c r="U9" i="31"/>
  <c r="T9" i="31"/>
  <c r="S9" i="31"/>
  <c r="R9" i="31"/>
  <c r="Q9" i="31"/>
  <c r="P9" i="31"/>
  <c r="N9" i="31"/>
  <c r="L9" i="31"/>
  <c r="K9" i="31"/>
  <c r="J9" i="31"/>
  <c r="I9" i="31"/>
  <c r="G9" i="31"/>
  <c r="F9" i="31"/>
  <c r="E9" i="31"/>
  <c r="C9" i="31"/>
  <c r="B9" i="31"/>
  <c r="A9" i="31"/>
  <c r="AK8" i="31"/>
  <c r="AJ8" i="31"/>
  <c r="AI8" i="31"/>
  <c r="AH8" i="31"/>
  <c r="AG8" i="31"/>
  <c r="AF8" i="31"/>
  <c r="AE8" i="31"/>
  <c r="AD8" i="31"/>
  <c r="AC8" i="31"/>
  <c r="AB8" i="31"/>
  <c r="AA8" i="31"/>
  <c r="Z8" i="31"/>
  <c r="Y8" i="31"/>
  <c r="X8" i="31"/>
  <c r="W8" i="31"/>
  <c r="V8" i="31"/>
  <c r="U8" i="31"/>
  <c r="T8" i="31"/>
  <c r="S8" i="31"/>
  <c r="R8" i="31"/>
  <c r="Q8" i="31"/>
  <c r="P8" i="31"/>
  <c r="N8" i="31"/>
  <c r="L8" i="31"/>
  <c r="K8" i="31"/>
  <c r="J8" i="31"/>
  <c r="I8" i="31"/>
  <c r="G8" i="31"/>
  <c r="F8" i="31"/>
  <c r="E8" i="31"/>
  <c r="C8" i="31"/>
  <c r="B8" i="31"/>
  <c r="A8" i="31"/>
  <c r="AK7" i="31"/>
  <c r="AJ7" i="31"/>
  <c r="AI7" i="31"/>
  <c r="AH7" i="31"/>
  <c r="AG7" i="31"/>
  <c r="AF7" i="31"/>
  <c r="AD7" i="31"/>
  <c r="AC7" i="31"/>
  <c r="AB7" i="31"/>
  <c r="AA7" i="31"/>
  <c r="Z7" i="31"/>
  <c r="Y7" i="31"/>
  <c r="X7" i="31"/>
  <c r="W7" i="31"/>
  <c r="V7" i="31"/>
  <c r="U7" i="31"/>
  <c r="T7" i="31"/>
  <c r="S7" i="31"/>
  <c r="R7" i="31"/>
  <c r="Q7" i="31"/>
  <c r="P7" i="31"/>
  <c r="N7" i="31"/>
  <c r="L7" i="31"/>
  <c r="K7" i="31"/>
  <c r="J7" i="31"/>
  <c r="I7" i="31"/>
  <c r="G7" i="31"/>
  <c r="F7" i="31"/>
  <c r="E7" i="31"/>
  <c r="C7" i="31"/>
  <c r="B7" i="31"/>
  <c r="A7" i="31"/>
  <c r="AK6" i="31"/>
  <c r="AJ6" i="31"/>
  <c r="AI6" i="31"/>
  <c r="AH6" i="31"/>
  <c r="AG6" i="31"/>
  <c r="AF6" i="31"/>
  <c r="AE6" i="31"/>
  <c r="AD6" i="31"/>
  <c r="AC6" i="31"/>
  <c r="AB6" i="31"/>
  <c r="AA6" i="31"/>
  <c r="Z6" i="31"/>
  <c r="Y6" i="31"/>
  <c r="X6" i="31"/>
  <c r="W6" i="31"/>
  <c r="V6" i="31"/>
  <c r="U6" i="31"/>
  <c r="T6" i="31"/>
  <c r="S6" i="31"/>
  <c r="R6" i="31"/>
  <c r="Q6" i="31"/>
  <c r="P6" i="31"/>
  <c r="N6" i="31"/>
  <c r="L6" i="31"/>
  <c r="K6" i="31"/>
  <c r="J6" i="31"/>
  <c r="I6" i="31"/>
  <c r="G6" i="31"/>
  <c r="F6" i="31"/>
  <c r="E6" i="31"/>
  <c r="C6" i="31"/>
  <c r="B6" i="31"/>
  <c r="A6" i="31"/>
  <c r="AK5" i="31"/>
  <c r="AJ5" i="31"/>
  <c r="AI5" i="31"/>
  <c r="AH5" i="31"/>
  <c r="AG5" i="31"/>
  <c r="AF5" i="31"/>
  <c r="AD5" i="31"/>
  <c r="AC5" i="31"/>
  <c r="AB5" i="31"/>
  <c r="AA5" i="31"/>
  <c r="Z5" i="31"/>
  <c r="Y5" i="31"/>
  <c r="X5" i="31"/>
  <c r="W5" i="31"/>
  <c r="V5" i="31"/>
  <c r="U5" i="31"/>
  <c r="T5" i="31"/>
  <c r="S5" i="31"/>
  <c r="R5" i="31"/>
  <c r="Q5" i="31"/>
  <c r="P5" i="31"/>
  <c r="N5" i="31"/>
  <c r="L5" i="31"/>
  <c r="K5" i="31"/>
  <c r="J5" i="31"/>
  <c r="I5" i="31"/>
  <c r="G5" i="31"/>
  <c r="F5" i="31"/>
  <c r="E5" i="31"/>
  <c r="C5" i="31"/>
  <c r="B5" i="31"/>
  <c r="A5" i="31"/>
  <c r="AK4" i="31"/>
  <c r="AJ4" i="31"/>
  <c r="AI4" i="31"/>
  <c r="AH4" i="31"/>
  <c r="AG4" i="31"/>
  <c r="AF4" i="31"/>
  <c r="AD4" i="31"/>
  <c r="AC4" i="31"/>
  <c r="AB4" i="31"/>
  <c r="AA4" i="31"/>
  <c r="Z4" i="31"/>
  <c r="Y4" i="31"/>
  <c r="X4" i="31"/>
  <c r="W4" i="31"/>
  <c r="V4" i="31"/>
  <c r="U4" i="31"/>
  <c r="T4" i="31"/>
  <c r="S4" i="31"/>
  <c r="R4" i="31"/>
  <c r="Q4" i="31"/>
  <c r="P4" i="31"/>
  <c r="N4" i="31"/>
  <c r="L4" i="31"/>
  <c r="K4" i="31"/>
  <c r="J4" i="31"/>
  <c r="I4" i="31"/>
  <c r="G4" i="31"/>
  <c r="F4" i="31"/>
  <c r="E4" i="31"/>
  <c r="C4" i="31"/>
  <c r="B4" i="31"/>
  <c r="A4" i="31"/>
  <c r="AK3" i="31"/>
  <c r="AJ3" i="31"/>
  <c r="AI3" i="31"/>
  <c r="AH3" i="31"/>
  <c r="AG3" i="31"/>
  <c r="AF3" i="31"/>
  <c r="AD3" i="31"/>
  <c r="AC3" i="31"/>
  <c r="AB3" i="31"/>
  <c r="AA3" i="31"/>
  <c r="Z3" i="31"/>
  <c r="Y3" i="31"/>
  <c r="X3" i="31"/>
  <c r="W3" i="31"/>
  <c r="V3" i="31"/>
  <c r="U3" i="31"/>
  <c r="T3" i="31"/>
  <c r="S3" i="31"/>
  <c r="R3" i="31"/>
  <c r="Q3" i="31"/>
  <c r="P3" i="31"/>
  <c r="N3" i="31"/>
  <c r="L3" i="31"/>
  <c r="K3" i="31"/>
  <c r="J3" i="31"/>
  <c r="I3" i="31"/>
  <c r="G3" i="31"/>
  <c r="F3" i="31"/>
  <c r="E3" i="31"/>
  <c r="C3" i="31"/>
  <c r="B3" i="31"/>
  <c r="A3" i="31"/>
  <c r="AK2" i="31"/>
  <c r="AJ2" i="31"/>
  <c r="AI2" i="31"/>
  <c r="AH2" i="31"/>
  <c r="AG2" i="31"/>
  <c r="AF2" i="31"/>
  <c r="AD2" i="31"/>
  <c r="AC2" i="31"/>
  <c r="AB2" i="31"/>
  <c r="AA2" i="31"/>
  <c r="Z2" i="31"/>
  <c r="Y2" i="31"/>
  <c r="X2" i="31"/>
  <c r="W2" i="31"/>
  <c r="V2" i="31"/>
  <c r="U2" i="31"/>
  <c r="T2" i="31"/>
  <c r="S2" i="31"/>
  <c r="R2" i="31"/>
  <c r="Q2" i="31"/>
  <c r="P2" i="31"/>
  <c r="N2" i="31"/>
  <c r="L2" i="31"/>
  <c r="K2" i="31"/>
  <c r="J2" i="31"/>
  <c r="I2" i="31"/>
  <c r="G2" i="31"/>
  <c r="F2" i="31"/>
  <c r="E2" i="31"/>
  <c r="C2" i="31"/>
  <c r="B2" i="31"/>
  <c r="A2" i="31"/>
  <c r="DH2" i="30"/>
  <c r="DG2" i="30"/>
  <c r="DE2" i="30"/>
  <c r="DD2" i="30"/>
  <c r="DC2" i="30"/>
  <c r="DB2" i="30"/>
  <c r="DA2" i="30"/>
  <c r="CZ2" i="30"/>
  <c r="CY2" i="30"/>
  <c r="CX2" i="30"/>
  <c r="CW2" i="30"/>
  <c r="CV2" i="30"/>
  <c r="CU2" i="30"/>
  <c r="CT2" i="30"/>
  <c r="CS2" i="30"/>
  <c r="CR2" i="30"/>
  <c r="CQ2" i="30"/>
  <c r="CO2" i="30"/>
  <c r="CN2" i="30"/>
  <c r="CM2" i="30"/>
  <c r="CL2" i="30"/>
  <c r="CK2" i="30"/>
  <c r="CJ2" i="30"/>
  <c r="CI2" i="30"/>
  <c r="CH2" i="30"/>
  <c r="CG2" i="30"/>
  <c r="CF2" i="30"/>
  <c r="CE2" i="30"/>
  <c r="CD2" i="30"/>
  <c r="CC2" i="30"/>
  <c r="CB2" i="30"/>
  <c r="CA2" i="30"/>
  <c r="BZ2" i="30"/>
  <c r="BY2" i="30"/>
  <c r="BX2" i="30"/>
  <c r="BW2" i="30"/>
  <c r="BV2" i="30"/>
  <c r="BU2" i="30"/>
  <c r="BT2" i="30"/>
  <c r="BS2" i="30"/>
  <c r="BR2" i="30"/>
  <c r="BP2" i="30"/>
  <c r="BO2" i="30"/>
  <c r="BN2" i="30"/>
  <c r="BJ2" i="30"/>
  <c r="BI2" i="30"/>
  <c r="BH2" i="30"/>
  <c r="BG2" i="30"/>
  <c r="BF2" i="30"/>
  <c r="BE2" i="30"/>
  <c r="BD2" i="30"/>
  <c r="BC2" i="30"/>
  <c r="BB2" i="30"/>
  <c r="BA2" i="30"/>
  <c r="AZ2" i="30"/>
  <c r="AY2" i="30"/>
  <c r="AX2" i="30"/>
  <c r="AW2" i="30"/>
  <c r="AV2" i="30"/>
  <c r="AU2" i="30"/>
  <c r="AT2" i="30"/>
  <c r="AS2" i="30"/>
  <c r="AR2" i="30"/>
  <c r="AQ2" i="30"/>
  <c r="AP2" i="30"/>
  <c r="AO2" i="30"/>
  <c r="AN2" i="30"/>
  <c r="AM2" i="30"/>
  <c r="AL2" i="30"/>
  <c r="AK2" i="30"/>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F2" i="30"/>
  <c r="E2" i="30"/>
  <c r="D2" i="30"/>
  <c r="B2" i="30"/>
  <c r="A2" i="30"/>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D2" i="29"/>
  <c r="B2" i="29"/>
  <c r="A2" i="29"/>
  <c r="CE2" i="28"/>
  <c r="CD2" i="28"/>
  <c r="CC2" i="28"/>
  <c r="CB2" i="28"/>
  <c r="CA2" i="28"/>
  <c r="BZ2" i="28"/>
  <c r="BY2" i="28"/>
  <c r="BX2" i="28"/>
  <c r="BW2" i="28"/>
  <c r="BV2" i="28"/>
  <c r="BU2" i="28"/>
  <c r="BT2" i="28"/>
  <c r="BS2" i="28"/>
  <c r="BR2" i="28"/>
  <c r="BQ2" i="28"/>
  <c r="BP2" i="28"/>
  <c r="BO2" i="28"/>
  <c r="BN2" i="28"/>
  <c r="BM2" i="28"/>
  <c r="BL2" i="28"/>
  <c r="BK2" i="28"/>
  <c r="BJ2" i="28"/>
  <c r="BI2" i="28"/>
  <c r="BH2" i="28"/>
  <c r="BG2" i="28"/>
  <c r="BF2" i="28"/>
  <c r="BE2" i="28"/>
  <c r="BD2" i="28"/>
  <c r="BC2" i="28"/>
  <c r="BB2" i="28"/>
  <c r="BA2" i="28"/>
  <c r="AZ2" i="28"/>
  <c r="AY2" i="28"/>
  <c r="AX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2" i="28"/>
  <c r="E2" i="28"/>
  <c r="D2" i="28"/>
  <c r="B2" i="28"/>
  <c r="A2" i="28"/>
  <c r="N2" i="18"/>
  <c r="M2" i="18"/>
  <c r="L2" i="18"/>
  <c r="K2" i="18"/>
  <c r="J2" i="18"/>
  <c r="I2" i="18"/>
  <c r="H2" i="18"/>
  <c r="G2" i="18"/>
  <c r="F2" i="18"/>
  <c r="E2" i="18"/>
  <c r="D2" i="18"/>
  <c r="C2" i="18"/>
  <c r="B2" i="18"/>
  <c r="A2" i="18"/>
  <c r="D416" i="25"/>
  <c r="D417" i="25" s="1"/>
  <c r="E415" i="25" s="1"/>
  <c r="D382" i="25"/>
  <c r="D384" i="25" s="1"/>
  <c r="D367" i="25"/>
  <c r="D361" i="25"/>
  <c r="D341" i="25"/>
  <c r="D340" i="25"/>
  <c r="D330" i="25"/>
  <c r="D325" i="25"/>
  <c r="D307" i="25"/>
  <c r="D300" i="25"/>
  <c r="D292" i="25"/>
  <c r="D294" i="25" s="1"/>
  <c r="D282" i="25"/>
  <c r="D277" i="25"/>
  <c r="D257" i="25"/>
  <c r="D253" i="25"/>
  <c r="D246" i="25"/>
  <c r="D238" i="25"/>
  <c r="D234" i="25"/>
  <c r="C234" i="25"/>
  <c r="B234" i="25"/>
  <c r="E233" i="25"/>
  <c r="E232" i="25"/>
  <c r="E231" i="25"/>
  <c r="E230" i="25"/>
  <c r="E229" i="25"/>
  <c r="E228" i="25"/>
  <c r="E227" i="25"/>
  <c r="E226" i="25"/>
  <c r="D221" i="25"/>
  <c r="C221" i="25"/>
  <c r="B221" i="25"/>
  <c r="E220" i="25"/>
  <c r="E219" i="25"/>
  <c r="E218" i="25"/>
  <c r="E217" i="25"/>
  <c r="E216" i="25"/>
  <c r="E215" i="25"/>
  <c r="E214" i="25"/>
  <c r="E213" i="25"/>
  <c r="E212" i="25"/>
  <c r="D207" i="25"/>
  <c r="D203" i="25"/>
  <c r="D198" i="25"/>
  <c r="D194" i="25"/>
  <c r="D190" i="25"/>
  <c r="E171" i="25"/>
  <c r="E170" i="25"/>
  <c r="E169" i="25"/>
  <c r="E168" i="25"/>
  <c r="E167" i="25"/>
  <c r="E165" i="25"/>
  <c r="E164" i="25"/>
  <c r="E163" i="25"/>
  <c r="E162" i="25"/>
  <c r="E161" i="25"/>
  <c r="E159" i="25"/>
  <c r="E158" i="25"/>
  <c r="E157" i="25"/>
  <c r="E156" i="25"/>
  <c r="E155" i="25"/>
  <c r="E144" i="25"/>
  <c r="CE95" i="25"/>
  <c r="L613" i="25" s="1"/>
  <c r="CF94" i="25"/>
  <c r="CE94" i="25"/>
  <c r="J613" i="25" s="1"/>
  <c r="CE93" i="25"/>
  <c r="I613" i="25" s="1"/>
  <c r="CE92" i="25"/>
  <c r="G613" i="25" s="1"/>
  <c r="CE91" i="25"/>
  <c r="D613" i="25" s="1"/>
  <c r="CE89" i="25"/>
  <c r="CE88" i="25"/>
  <c r="CE84" i="25"/>
  <c r="CE83" i="25"/>
  <c r="CE82" i="25"/>
  <c r="CE81" i="25"/>
  <c r="CE80" i="25"/>
  <c r="CE79" i="25"/>
  <c r="CE78" i="25"/>
  <c r="CE77" i="25"/>
  <c r="CE76" i="25"/>
  <c r="CE75" i="25"/>
  <c r="CE74" i="25"/>
  <c r="CE73" i="25"/>
  <c r="CE72" i="25"/>
  <c r="CE71" i="25"/>
  <c r="CD70" i="25"/>
  <c r="C616" i="25" s="1"/>
  <c r="CC70" i="25"/>
  <c r="CB70" i="25"/>
  <c r="CA70" i="25"/>
  <c r="BZ70" i="25"/>
  <c r="BY70" i="25"/>
  <c r="BX70" i="25"/>
  <c r="BW70" i="25"/>
  <c r="BV70" i="25"/>
  <c r="BU70" i="25"/>
  <c r="BT70" i="25"/>
  <c r="BS70" i="25"/>
  <c r="BR70" i="25"/>
  <c r="BQ70" i="25"/>
  <c r="BP70" i="25"/>
  <c r="BO70" i="25"/>
  <c r="BN70" i="25"/>
  <c r="BM70" i="25"/>
  <c r="BL70" i="25"/>
  <c r="BK70" i="25"/>
  <c r="BJ70" i="25"/>
  <c r="BI70" i="25"/>
  <c r="BH70" i="25"/>
  <c r="BG70" i="25"/>
  <c r="BF70" i="25"/>
  <c r="BE70" i="25"/>
  <c r="BD70" i="25"/>
  <c r="BC70" i="25"/>
  <c r="BB70" i="25"/>
  <c r="BA70" i="25"/>
  <c r="AZ70" i="25"/>
  <c r="AY70" i="25"/>
  <c r="AX70" i="25"/>
  <c r="AW70" i="25"/>
  <c r="AV70" i="25"/>
  <c r="AU70" i="25"/>
  <c r="AT70" i="25"/>
  <c r="AS70" i="25"/>
  <c r="AR70" i="25"/>
  <c r="AQ70" i="25"/>
  <c r="AP70" i="25"/>
  <c r="AO70" i="25"/>
  <c r="AN70" i="25"/>
  <c r="AM70" i="25"/>
  <c r="AL70" i="25"/>
  <c r="AK70" i="25"/>
  <c r="AJ70" i="25"/>
  <c r="AI70" i="25"/>
  <c r="AH70" i="25"/>
  <c r="AG70" i="25"/>
  <c r="AF70" i="25"/>
  <c r="AE70" i="25"/>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E70" i="25"/>
  <c r="D70" i="25"/>
  <c r="C70" i="25"/>
  <c r="CE69" i="25"/>
  <c r="CE67" i="25"/>
  <c r="CE66" i="25"/>
  <c r="CE65" i="25"/>
  <c r="F613" i="25" s="1"/>
  <c r="CE64" i="25"/>
  <c r="CE62" i="25"/>
  <c r="AP49" i="25" s="1"/>
  <c r="AP63" i="25" s="1"/>
  <c r="CE61" i="25"/>
  <c r="H613" i="25" s="1"/>
  <c r="B54" i="25"/>
  <c r="CE52" i="25"/>
  <c r="B50" i="25"/>
  <c r="CE48" i="25"/>
  <c r="D384" i="32"/>
  <c r="C384" i="32"/>
  <c r="D383" i="32"/>
  <c r="C383" i="32"/>
  <c r="D382" i="32"/>
  <c r="C382" i="32"/>
  <c r="C381" i="32"/>
  <c r="D380" i="32"/>
  <c r="C380" i="32"/>
  <c r="D378" i="32"/>
  <c r="C378" i="32"/>
  <c r="D377" i="32"/>
  <c r="C377" i="32"/>
  <c r="D376" i="32"/>
  <c r="C376" i="32"/>
  <c r="I374" i="32"/>
  <c r="E372" i="32"/>
  <c r="D372" i="32"/>
  <c r="C372" i="32"/>
  <c r="D370" i="32"/>
  <c r="C370" i="32"/>
  <c r="D368" i="32"/>
  <c r="C368" i="32"/>
  <c r="D367" i="32"/>
  <c r="C367" i="32"/>
  <c r="D366" i="32"/>
  <c r="C366" i="32"/>
  <c r="D365" i="32"/>
  <c r="C365" i="32"/>
  <c r="D363" i="32"/>
  <c r="C363" i="32"/>
  <c r="D362" i="32"/>
  <c r="C362" i="32"/>
  <c r="I352" i="32"/>
  <c r="H352" i="32"/>
  <c r="G352" i="32"/>
  <c r="F352" i="32"/>
  <c r="E352" i="32"/>
  <c r="D352" i="32"/>
  <c r="C352" i="32"/>
  <c r="I351" i="32"/>
  <c r="H351" i="32"/>
  <c r="G351" i="32"/>
  <c r="F351" i="32"/>
  <c r="E351" i="32"/>
  <c r="D351" i="32"/>
  <c r="C351" i="32"/>
  <c r="I350" i="32"/>
  <c r="H350" i="32"/>
  <c r="G350" i="32"/>
  <c r="F350" i="32"/>
  <c r="E350" i="32"/>
  <c r="D350" i="32"/>
  <c r="C350" i="32"/>
  <c r="I349" i="32"/>
  <c r="H349" i="32"/>
  <c r="G349" i="32"/>
  <c r="F349" i="32"/>
  <c r="E349" i="32"/>
  <c r="D349" i="32"/>
  <c r="C349" i="32"/>
  <c r="I348" i="32"/>
  <c r="H348" i="32"/>
  <c r="G348" i="32"/>
  <c r="F348" i="32"/>
  <c r="E348" i="32"/>
  <c r="D348" i="32"/>
  <c r="C348" i="32"/>
  <c r="I346" i="32"/>
  <c r="H346" i="32"/>
  <c r="G346" i="32"/>
  <c r="F346" i="32"/>
  <c r="E346" i="32"/>
  <c r="D346" i="32"/>
  <c r="C346" i="32"/>
  <c r="I345" i="32"/>
  <c r="H345" i="32"/>
  <c r="G345" i="32"/>
  <c r="F345" i="32"/>
  <c r="E345" i="32"/>
  <c r="D345" i="32"/>
  <c r="C345" i="32"/>
  <c r="I344" i="32"/>
  <c r="H344" i="32"/>
  <c r="G344" i="32"/>
  <c r="F344" i="32"/>
  <c r="E344" i="32"/>
  <c r="D344" i="32"/>
  <c r="C344" i="32"/>
  <c r="I340" i="32"/>
  <c r="H340" i="32"/>
  <c r="G340" i="32"/>
  <c r="F340" i="32"/>
  <c r="E340" i="32"/>
  <c r="D340" i="32"/>
  <c r="C340" i="32"/>
  <c r="I338" i="32"/>
  <c r="H338" i="32"/>
  <c r="G338" i="32"/>
  <c r="F338" i="32"/>
  <c r="E338" i="32"/>
  <c r="D338" i="32"/>
  <c r="C338" i="32"/>
  <c r="I336" i="32"/>
  <c r="H336" i="32"/>
  <c r="G336" i="32"/>
  <c r="F336" i="32"/>
  <c r="E336" i="32"/>
  <c r="D336" i="32"/>
  <c r="C336" i="32"/>
  <c r="I335" i="32"/>
  <c r="H335" i="32"/>
  <c r="G335" i="32"/>
  <c r="F335" i="32"/>
  <c r="E335" i="32"/>
  <c r="D335" i="32"/>
  <c r="C335" i="32"/>
  <c r="I334" i="32"/>
  <c r="H334" i="32"/>
  <c r="G334" i="32"/>
  <c r="F334" i="32"/>
  <c r="E334" i="32"/>
  <c r="D334" i="32"/>
  <c r="C334" i="32"/>
  <c r="I333" i="32"/>
  <c r="H333" i="32"/>
  <c r="G333" i="32"/>
  <c r="F333" i="32"/>
  <c r="E333" i="32"/>
  <c r="D333" i="32"/>
  <c r="C333" i="32"/>
  <c r="I331" i="32"/>
  <c r="H331" i="32"/>
  <c r="G331" i="32"/>
  <c r="F331" i="32"/>
  <c r="E331" i="32"/>
  <c r="D331" i="32"/>
  <c r="C331" i="32"/>
  <c r="I330" i="32"/>
  <c r="H330" i="32"/>
  <c r="G330" i="32"/>
  <c r="F330" i="32"/>
  <c r="E330" i="32"/>
  <c r="D330" i="32"/>
  <c r="C330" i="32"/>
  <c r="I320" i="32"/>
  <c r="H320" i="32"/>
  <c r="G320" i="32"/>
  <c r="F320" i="32"/>
  <c r="E320" i="32"/>
  <c r="D320" i="32"/>
  <c r="C320" i="32"/>
  <c r="I319" i="32"/>
  <c r="H319" i="32"/>
  <c r="G319" i="32"/>
  <c r="F319" i="32"/>
  <c r="E319" i="32"/>
  <c r="D319" i="32"/>
  <c r="C319" i="32"/>
  <c r="I318" i="32"/>
  <c r="H318" i="32"/>
  <c r="G318" i="32"/>
  <c r="F318" i="32"/>
  <c r="E318" i="32"/>
  <c r="D318" i="32"/>
  <c r="C318" i="32"/>
  <c r="I317" i="32"/>
  <c r="H317" i="32"/>
  <c r="G317" i="32"/>
  <c r="F317" i="32"/>
  <c r="E317" i="32"/>
  <c r="C317" i="32"/>
  <c r="I316" i="32"/>
  <c r="H316" i="32"/>
  <c r="G316" i="32"/>
  <c r="F316" i="32"/>
  <c r="E316" i="32"/>
  <c r="D316" i="32"/>
  <c r="C316" i="32"/>
  <c r="I314" i="32"/>
  <c r="H314" i="32"/>
  <c r="G314" i="32"/>
  <c r="F314" i="32"/>
  <c r="E314" i="32"/>
  <c r="D314" i="32"/>
  <c r="C314" i="32"/>
  <c r="I313" i="32"/>
  <c r="H313" i="32"/>
  <c r="G313" i="32"/>
  <c r="F313" i="32"/>
  <c r="E313" i="32"/>
  <c r="D313" i="32"/>
  <c r="C313" i="32"/>
  <c r="I312" i="32"/>
  <c r="H312" i="32"/>
  <c r="G312" i="32"/>
  <c r="F312" i="32"/>
  <c r="E312" i="32"/>
  <c r="D312" i="32"/>
  <c r="C312" i="32"/>
  <c r="I308" i="32"/>
  <c r="H308" i="32"/>
  <c r="G308" i="32"/>
  <c r="F308" i="32"/>
  <c r="E308" i="32"/>
  <c r="D308" i="32"/>
  <c r="C308" i="32"/>
  <c r="I306" i="32"/>
  <c r="H306" i="32"/>
  <c r="G306" i="32"/>
  <c r="F306" i="32"/>
  <c r="E306" i="32"/>
  <c r="D306" i="32"/>
  <c r="C306" i="32"/>
  <c r="I304" i="32"/>
  <c r="H304" i="32"/>
  <c r="G304" i="32"/>
  <c r="F304" i="32"/>
  <c r="E304" i="32"/>
  <c r="D304" i="32"/>
  <c r="C304" i="32"/>
  <c r="I303" i="32"/>
  <c r="H303" i="32"/>
  <c r="G303" i="32"/>
  <c r="F303" i="32"/>
  <c r="E303" i="32"/>
  <c r="D303" i="32"/>
  <c r="C303" i="32"/>
  <c r="I302" i="32"/>
  <c r="H302" i="32"/>
  <c r="G302" i="32"/>
  <c r="F302" i="32"/>
  <c r="E302" i="32"/>
  <c r="D302" i="32"/>
  <c r="C302" i="32"/>
  <c r="I301" i="32"/>
  <c r="H301" i="32"/>
  <c r="G301" i="32"/>
  <c r="F301" i="32"/>
  <c r="E301" i="32"/>
  <c r="D301" i="32"/>
  <c r="C301" i="32"/>
  <c r="I299" i="32"/>
  <c r="H299" i="32"/>
  <c r="G299" i="32"/>
  <c r="F299" i="32"/>
  <c r="E299" i="32"/>
  <c r="D299" i="32"/>
  <c r="C299" i="32"/>
  <c r="I298" i="32"/>
  <c r="H298" i="32"/>
  <c r="G298" i="32"/>
  <c r="F298" i="32"/>
  <c r="E298" i="32"/>
  <c r="D298" i="32"/>
  <c r="C298" i="32"/>
  <c r="I288" i="32"/>
  <c r="H288" i="32"/>
  <c r="G288" i="32"/>
  <c r="F288" i="32"/>
  <c r="E288" i="32"/>
  <c r="D288" i="32"/>
  <c r="C288" i="32"/>
  <c r="I287" i="32"/>
  <c r="H287" i="32"/>
  <c r="G287" i="32"/>
  <c r="F287" i="32"/>
  <c r="E287" i="32"/>
  <c r="D287" i="32"/>
  <c r="C287" i="32"/>
  <c r="I286" i="32"/>
  <c r="H286" i="32"/>
  <c r="G286" i="32"/>
  <c r="F286" i="32"/>
  <c r="E286" i="32"/>
  <c r="D286" i="32"/>
  <c r="C286" i="32"/>
  <c r="I285" i="32"/>
  <c r="H285" i="32"/>
  <c r="G285" i="32"/>
  <c r="F285" i="32"/>
  <c r="E285" i="32"/>
  <c r="D285" i="32"/>
  <c r="C285" i="32"/>
  <c r="I284" i="32"/>
  <c r="H284" i="32"/>
  <c r="G284" i="32"/>
  <c r="F284" i="32"/>
  <c r="E284" i="32"/>
  <c r="D284" i="32"/>
  <c r="C284" i="32"/>
  <c r="I282" i="32"/>
  <c r="H282" i="32"/>
  <c r="G282" i="32"/>
  <c r="F282" i="32"/>
  <c r="E282" i="32"/>
  <c r="D282" i="32"/>
  <c r="C282" i="32"/>
  <c r="I281" i="32"/>
  <c r="H281" i="32"/>
  <c r="G281" i="32"/>
  <c r="F281" i="32"/>
  <c r="E281" i="32"/>
  <c r="D281" i="32"/>
  <c r="C281" i="32"/>
  <c r="I280" i="32"/>
  <c r="H280" i="32"/>
  <c r="G280" i="32"/>
  <c r="F280" i="32"/>
  <c r="E280" i="32"/>
  <c r="D280" i="32"/>
  <c r="C280" i="32"/>
  <c r="I276" i="32"/>
  <c r="H276" i="32"/>
  <c r="G276" i="32"/>
  <c r="F276" i="32"/>
  <c r="E276" i="32"/>
  <c r="D276" i="32"/>
  <c r="C276" i="32"/>
  <c r="I274" i="32"/>
  <c r="H274" i="32"/>
  <c r="G274" i="32"/>
  <c r="F274" i="32"/>
  <c r="E274" i="32"/>
  <c r="D274" i="32"/>
  <c r="C274" i="32"/>
  <c r="I272" i="32"/>
  <c r="H272" i="32"/>
  <c r="G272" i="32"/>
  <c r="F272" i="32"/>
  <c r="E272" i="32"/>
  <c r="D272" i="32"/>
  <c r="C272" i="32"/>
  <c r="I271" i="32"/>
  <c r="H271" i="32"/>
  <c r="G271" i="32"/>
  <c r="F271" i="32"/>
  <c r="E271" i="32"/>
  <c r="D271" i="32"/>
  <c r="C271" i="32"/>
  <c r="I270" i="32"/>
  <c r="H270" i="32"/>
  <c r="G270" i="32"/>
  <c r="F270" i="32"/>
  <c r="E270" i="32"/>
  <c r="D270" i="32"/>
  <c r="C270" i="32"/>
  <c r="I269" i="32"/>
  <c r="H269" i="32"/>
  <c r="G269" i="32"/>
  <c r="F269" i="32"/>
  <c r="E269" i="32"/>
  <c r="D269" i="32"/>
  <c r="C269" i="32"/>
  <c r="I267" i="32"/>
  <c r="H267" i="32"/>
  <c r="G267" i="32"/>
  <c r="F267" i="32"/>
  <c r="E267" i="32"/>
  <c r="D267" i="32"/>
  <c r="C267" i="32"/>
  <c r="I266" i="32"/>
  <c r="H266" i="32"/>
  <c r="G266" i="32"/>
  <c r="F266" i="32"/>
  <c r="E266" i="32"/>
  <c r="D266" i="32"/>
  <c r="C266" i="32"/>
  <c r="I256" i="32"/>
  <c r="H256" i="32"/>
  <c r="G256" i="32"/>
  <c r="F256" i="32"/>
  <c r="E256" i="32"/>
  <c r="D256" i="32"/>
  <c r="C256" i="32"/>
  <c r="I255" i="32"/>
  <c r="H255" i="32"/>
  <c r="G255" i="32"/>
  <c r="F255" i="32"/>
  <c r="E255" i="32"/>
  <c r="D255" i="32"/>
  <c r="C255" i="32"/>
  <c r="I254" i="32"/>
  <c r="H254" i="32"/>
  <c r="G254" i="32"/>
  <c r="F254" i="32"/>
  <c r="E254" i="32"/>
  <c r="D254" i="32"/>
  <c r="C254" i="32"/>
  <c r="I253" i="32"/>
  <c r="G253" i="32"/>
  <c r="F253" i="32"/>
  <c r="E253" i="32"/>
  <c r="D253" i="32"/>
  <c r="C253" i="32"/>
  <c r="I252" i="32"/>
  <c r="H252" i="32"/>
  <c r="G252" i="32"/>
  <c r="F252" i="32"/>
  <c r="E252" i="32"/>
  <c r="D252" i="32"/>
  <c r="C252" i="32"/>
  <c r="I250" i="32"/>
  <c r="H250" i="32"/>
  <c r="G250" i="32"/>
  <c r="F250" i="32"/>
  <c r="E250" i="32"/>
  <c r="D250" i="32"/>
  <c r="C250" i="32"/>
  <c r="I249" i="32"/>
  <c r="H249" i="32"/>
  <c r="G249" i="32"/>
  <c r="F249" i="32"/>
  <c r="E249" i="32"/>
  <c r="D249" i="32"/>
  <c r="C249" i="32"/>
  <c r="I248" i="32"/>
  <c r="H248" i="32"/>
  <c r="G248" i="32"/>
  <c r="F248" i="32"/>
  <c r="E248" i="32"/>
  <c r="D248" i="32"/>
  <c r="C248" i="32"/>
  <c r="I244" i="32"/>
  <c r="H244" i="32"/>
  <c r="G244" i="32"/>
  <c r="F244" i="32"/>
  <c r="E244" i="32"/>
  <c r="D244" i="32"/>
  <c r="C244" i="32"/>
  <c r="I242" i="32"/>
  <c r="H242" i="32"/>
  <c r="G242" i="32"/>
  <c r="F242" i="32"/>
  <c r="E242" i="32"/>
  <c r="D242" i="32"/>
  <c r="C242" i="32"/>
  <c r="I240" i="32"/>
  <c r="H240" i="32"/>
  <c r="G240" i="32"/>
  <c r="F240" i="32"/>
  <c r="E240" i="32"/>
  <c r="D240" i="32"/>
  <c r="C240" i="32"/>
  <c r="I239" i="32"/>
  <c r="H239" i="32"/>
  <c r="G239" i="32"/>
  <c r="F239" i="32"/>
  <c r="E239" i="32"/>
  <c r="D239" i="32"/>
  <c r="C239" i="32"/>
  <c r="I238" i="32"/>
  <c r="H238" i="32"/>
  <c r="G238" i="32"/>
  <c r="F238" i="32"/>
  <c r="E238" i="32"/>
  <c r="D238" i="32"/>
  <c r="C238" i="32"/>
  <c r="I237" i="32"/>
  <c r="H237" i="32"/>
  <c r="G237" i="32"/>
  <c r="F237" i="32"/>
  <c r="E237" i="32"/>
  <c r="D237" i="32"/>
  <c r="C237" i="32"/>
  <c r="I235" i="32"/>
  <c r="H235" i="32"/>
  <c r="G235" i="32"/>
  <c r="F235" i="32"/>
  <c r="E235" i="32"/>
  <c r="D235" i="32"/>
  <c r="C235" i="32"/>
  <c r="I234" i="32"/>
  <c r="H234" i="32"/>
  <c r="G234" i="32"/>
  <c r="F234" i="32"/>
  <c r="E234" i="32"/>
  <c r="D234" i="32"/>
  <c r="C234" i="32"/>
  <c r="H233" i="32"/>
  <c r="D233" i="32"/>
  <c r="C233" i="32"/>
  <c r="I224" i="32"/>
  <c r="H224" i="32"/>
  <c r="G224" i="32"/>
  <c r="F224" i="32"/>
  <c r="E224" i="32"/>
  <c r="D224" i="32"/>
  <c r="C224" i="32"/>
  <c r="I223" i="32"/>
  <c r="H223" i="32"/>
  <c r="G223" i="32"/>
  <c r="F223" i="32"/>
  <c r="E223" i="32"/>
  <c r="D223" i="32"/>
  <c r="C223" i="32"/>
  <c r="I222" i="32"/>
  <c r="H222" i="32"/>
  <c r="G222" i="32"/>
  <c r="F222" i="32"/>
  <c r="E222" i="32"/>
  <c r="D222" i="32"/>
  <c r="C222" i="32"/>
  <c r="H221" i="32"/>
  <c r="G221" i="32"/>
  <c r="F221" i="32"/>
  <c r="E221" i="32"/>
  <c r="D221" i="32"/>
  <c r="C221" i="32"/>
  <c r="I220" i="32"/>
  <c r="H220" i="32"/>
  <c r="G220" i="32"/>
  <c r="F220" i="32"/>
  <c r="E220" i="32"/>
  <c r="D220" i="32"/>
  <c r="C220" i="32"/>
  <c r="I218" i="32"/>
  <c r="H218" i="32"/>
  <c r="G218" i="32"/>
  <c r="F218" i="32"/>
  <c r="E218" i="32"/>
  <c r="I217" i="32"/>
  <c r="H217" i="32"/>
  <c r="G217" i="32"/>
  <c r="F217" i="32"/>
  <c r="E217" i="32"/>
  <c r="D217" i="32"/>
  <c r="C217" i="32"/>
  <c r="I216" i="32"/>
  <c r="H216" i="32"/>
  <c r="G216" i="32"/>
  <c r="F216" i="32"/>
  <c r="E216" i="32"/>
  <c r="D216" i="32"/>
  <c r="C216" i="32"/>
  <c r="I212" i="32"/>
  <c r="H212" i="32"/>
  <c r="G212" i="32"/>
  <c r="F212" i="32"/>
  <c r="E212" i="32"/>
  <c r="D212" i="32"/>
  <c r="C212" i="32"/>
  <c r="I210" i="32"/>
  <c r="H210" i="32"/>
  <c r="G210" i="32"/>
  <c r="F210" i="32"/>
  <c r="E210" i="32"/>
  <c r="D210" i="32"/>
  <c r="C210" i="32"/>
  <c r="I208" i="32"/>
  <c r="H208" i="32"/>
  <c r="G208" i="32"/>
  <c r="F208" i="32"/>
  <c r="E208" i="32"/>
  <c r="D208" i="32"/>
  <c r="C208" i="32"/>
  <c r="I207" i="32"/>
  <c r="H207" i="32"/>
  <c r="G207" i="32"/>
  <c r="F207" i="32"/>
  <c r="E207" i="32"/>
  <c r="D207" i="32"/>
  <c r="C207" i="32"/>
  <c r="I206" i="32"/>
  <c r="H206" i="32"/>
  <c r="G206" i="32"/>
  <c r="F206" i="32"/>
  <c r="E206" i="32"/>
  <c r="D206" i="32"/>
  <c r="C206" i="32"/>
  <c r="I205" i="32"/>
  <c r="H205" i="32"/>
  <c r="G205" i="32"/>
  <c r="F205" i="32"/>
  <c r="E205" i="32"/>
  <c r="D205" i="32"/>
  <c r="C205" i="32"/>
  <c r="I203" i="32"/>
  <c r="H203" i="32"/>
  <c r="G203" i="32"/>
  <c r="F203" i="32"/>
  <c r="E203" i="32"/>
  <c r="D203" i="32"/>
  <c r="C203" i="32"/>
  <c r="I202" i="32"/>
  <c r="H202" i="32"/>
  <c r="G202" i="32"/>
  <c r="F202" i="32"/>
  <c r="E202" i="32"/>
  <c r="D202" i="32"/>
  <c r="C202" i="32"/>
  <c r="I201" i="32"/>
  <c r="E201" i="32"/>
  <c r="D201" i="32"/>
  <c r="C201" i="32"/>
  <c r="I192" i="32"/>
  <c r="H192" i="32"/>
  <c r="G192" i="32"/>
  <c r="F192" i="32"/>
  <c r="E192" i="32"/>
  <c r="D192" i="32"/>
  <c r="C192" i="32"/>
  <c r="I191" i="32"/>
  <c r="H191" i="32"/>
  <c r="G191" i="32"/>
  <c r="F191" i="32"/>
  <c r="E191" i="32"/>
  <c r="D191" i="32"/>
  <c r="C191" i="32"/>
  <c r="I190" i="32"/>
  <c r="H190" i="32"/>
  <c r="G190" i="32"/>
  <c r="F190" i="32"/>
  <c r="E190" i="32"/>
  <c r="D190" i="32"/>
  <c r="C190" i="32"/>
  <c r="I189" i="32"/>
  <c r="H189" i="32"/>
  <c r="G189" i="32"/>
  <c r="F189" i="32"/>
  <c r="E189" i="32"/>
  <c r="D189" i="32"/>
  <c r="C189" i="32"/>
  <c r="I188" i="32"/>
  <c r="H188" i="32"/>
  <c r="G188" i="32"/>
  <c r="F188" i="32"/>
  <c r="E188" i="32"/>
  <c r="D188" i="32"/>
  <c r="C188" i="32"/>
  <c r="D186" i="32"/>
  <c r="I185" i="32"/>
  <c r="H185" i="32"/>
  <c r="G185" i="32"/>
  <c r="F185" i="32"/>
  <c r="E185" i="32"/>
  <c r="D185" i="32"/>
  <c r="C185" i="32"/>
  <c r="I184" i="32"/>
  <c r="H184" i="32"/>
  <c r="G184" i="32"/>
  <c r="F184" i="32"/>
  <c r="E184" i="32"/>
  <c r="D184" i="32"/>
  <c r="C184" i="32"/>
  <c r="I180" i="32"/>
  <c r="H180" i="32"/>
  <c r="G180" i="32"/>
  <c r="F180" i="32"/>
  <c r="E180" i="32"/>
  <c r="D180" i="32"/>
  <c r="C180" i="32"/>
  <c r="I178" i="32"/>
  <c r="H178" i="32"/>
  <c r="G178" i="32"/>
  <c r="F178" i="32"/>
  <c r="E178" i="32"/>
  <c r="D178" i="32"/>
  <c r="C178" i="32"/>
  <c r="I176" i="32"/>
  <c r="H176" i="32"/>
  <c r="G176" i="32"/>
  <c r="F176" i="32"/>
  <c r="E176" i="32"/>
  <c r="D176" i="32"/>
  <c r="C176" i="32"/>
  <c r="I175" i="32"/>
  <c r="H175" i="32"/>
  <c r="G175" i="32"/>
  <c r="F175" i="32"/>
  <c r="E175" i="32"/>
  <c r="D175" i="32"/>
  <c r="C175" i="32"/>
  <c r="I174" i="32"/>
  <c r="H174" i="32"/>
  <c r="G174" i="32"/>
  <c r="F174" i="32"/>
  <c r="E174" i="32"/>
  <c r="D174" i="32"/>
  <c r="C174" i="32"/>
  <c r="I173" i="32"/>
  <c r="H173" i="32"/>
  <c r="G173" i="32"/>
  <c r="F173" i="32"/>
  <c r="E173" i="32"/>
  <c r="D173" i="32"/>
  <c r="C173" i="32"/>
  <c r="I171" i="32"/>
  <c r="H171" i="32"/>
  <c r="G171" i="32"/>
  <c r="F171" i="32"/>
  <c r="E171" i="32"/>
  <c r="D171" i="32"/>
  <c r="C171" i="32"/>
  <c r="I170" i="32"/>
  <c r="H170" i="32"/>
  <c r="G170" i="32"/>
  <c r="F170" i="32"/>
  <c r="E170" i="32"/>
  <c r="D170" i="32"/>
  <c r="C170" i="32"/>
  <c r="I169" i="32"/>
  <c r="H169" i="32"/>
  <c r="G169" i="32"/>
  <c r="F169" i="32"/>
  <c r="E169" i="32"/>
  <c r="D169" i="32"/>
  <c r="C169" i="32"/>
  <c r="I160" i="32"/>
  <c r="H160" i="32"/>
  <c r="G160" i="32"/>
  <c r="F160" i="32"/>
  <c r="E160" i="32"/>
  <c r="D160" i="32"/>
  <c r="C160" i="32"/>
  <c r="I159" i="32"/>
  <c r="H159" i="32"/>
  <c r="G159" i="32"/>
  <c r="F159" i="32"/>
  <c r="E159" i="32"/>
  <c r="D159" i="32"/>
  <c r="C159" i="32"/>
  <c r="I158" i="32"/>
  <c r="H158" i="32"/>
  <c r="G158" i="32"/>
  <c r="F158" i="32"/>
  <c r="E158" i="32"/>
  <c r="D158" i="32"/>
  <c r="C158" i="32"/>
  <c r="I157" i="32"/>
  <c r="H157" i="32"/>
  <c r="G157" i="32"/>
  <c r="F157" i="32"/>
  <c r="E157" i="32"/>
  <c r="D157" i="32"/>
  <c r="C157" i="32"/>
  <c r="I156" i="32"/>
  <c r="H156" i="32"/>
  <c r="G156" i="32"/>
  <c r="F156" i="32"/>
  <c r="E156" i="32"/>
  <c r="D156" i="32"/>
  <c r="C156" i="32"/>
  <c r="C154" i="32"/>
  <c r="I153" i="32"/>
  <c r="H153" i="32"/>
  <c r="G153" i="32"/>
  <c r="F153" i="32"/>
  <c r="E153" i="32"/>
  <c r="D153" i="32"/>
  <c r="C153" i="32"/>
  <c r="I152" i="32"/>
  <c r="H152" i="32"/>
  <c r="G152" i="32"/>
  <c r="F152" i="32"/>
  <c r="E152" i="32"/>
  <c r="D152" i="32"/>
  <c r="C152" i="32"/>
  <c r="I148" i="32"/>
  <c r="H148" i="32"/>
  <c r="G148" i="32"/>
  <c r="F148" i="32"/>
  <c r="E148" i="32"/>
  <c r="D148" i="32"/>
  <c r="C148" i="32"/>
  <c r="I146" i="32"/>
  <c r="H146" i="32"/>
  <c r="G146" i="32"/>
  <c r="F146" i="32"/>
  <c r="E146" i="32"/>
  <c r="D146" i="32"/>
  <c r="C146" i="32"/>
  <c r="I144" i="32"/>
  <c r="H144" i="32"/>
  <c r="G144" i="32"/>
  <c r="F144" i="32"/>
  <c r="E144" i="32"/>
  <c r="D144" i="32"/>
  <c r="C144" i="32"/>
  <c r="I143" i="32"/>
  <c r="H143" i="32"/>
  <c r="G143" i="32"/>
  <c r="F143" i="32"/>
  <c r="E143" i="32"/>
  <c r="D143" i="32"/>
  <c r="C143" i="32"/>
  <c r="I142" i="32"/>
  <c r="H142" i="32"/>
  <c r="G142" i="32"/>
  <c r="F142" i="32"/>
  <c r="E142" i="32"/>
  <c r="D142" i="32"/>
  <c r="C142" i="32"/>
  <c r="I141" i="32"/>
  <c r="H141" i="32"/>
  <c r="G141" i="32"/>
  <c r="F141" i="32"/>
  <c r="E141" i="32"/>
  <c r="D141" i="32"/>
  <c r="C141" i="32"/>
  <c r="I139" i="32"/>
  <c r="H139" i="32"/>
  <c r="G139" i="32"/>
  <c r="F139" i="32"/>
  <c r="E139" i="32"/>
  <c r="D139" i="32"/>
  <c r="C139" i="32"/>
  <c r="I138" i="32"/>
  <c r="H138" i="32"/>
  <c r="G138" i="32"/>
  <c r="F138" i="32"/>
  <c r="E138" i="32"/>
  <c r="D138" i="32"/>
  <c r="C138" i="32"/>
  <c r="I137" i="32"/>
  <c r="H137" i="32"/>
  <c r="G137" i="32"/>
  <c r="F137" i="32"/>
  <c r="E137" i="32"/>
  <c r="D137" i="32"/>
  <c r="C137" i="32"/>
  <c r="I128" i="32"/>
  <c r="H128" i="32"/>
  <c r="G128" i="32"/>
  <c r="F128" i="32"/>
  <c r="E128" i="32"/>
  <c r="D128" i="32"/>
  <c r="C128" i="32"/>
  <c r="I127" i="32"/>
  <c r="H127" i="32"/>
  <c r="G127" i="32"/>
  <c r="F127" i="32"/>
  <c r="E127" i="32"/>
  <c r="D127" i="32"/>
  <c r="C127" i="32"/>
  <c r="I126" i="32"/>
  <c r="H126" i="32"/>
  <c r="G126" i="32"/>
  <c r="F126" i="32"/>
  <c r="E126" i="32"/>
  <c r="D126" i="32"/>
  <c r="C126" i="32"/>
  <c r="I125" i="32"/>
  <c r="H125" i="32"/>
  <c r="G125" i="32"/>
  <c r="F125" i="32"/>
  <c r="E125" i="32"/>
  <c r="D125" i="32"/>
  <c r="C125" i="32"/>
  <c r="I124" i="32"/>
  <c r="H124" i="32"/>
  <c r="G124" i="32"/>
  <c r="F124" i="32"/>
  <c r="E124" i="32"/>
  <c r="D124" i="32"/>
  <c r="C124" i="32"/>
  <c r="I121" i="32"/>
  <c r="H121" i="32"/>
  <c r="G121" i="32"/>
  <c r="F121" i="32"/>
  <c r="E121" i="32"/>
  <c r="D121" i="32"/>
  <c r="C121" i="32"/>
  <c r="I120" i="32"/>
  <c r="H120" i="32"/>
  <c r="G120" i="32"/>
  <c r="F120" i="32"/>
  <c r="E120" i="32"/>
  <c r="D120" i="32"/>
  <c r="C120" i="32"/>
  <c r="I116" i="32"/>
  <c r="H116" i="32"/>
  <c r="G116" i="32"/>
  <c r="F116" i="32"/>
  <c r="E116" i="32"/>
  <c r="D116" i="32"/>
  <c r="C116" i="32"/>
  <c r="I114" i="32"/>
  <c r="H114" i="32"/>
  <c r="G114" i="32"/>
  <c r="F114" i="32"/>
  <c r="E114" i="32"/>
  <c r="D114" i="32"/>
  <c r="C114" i="32"/>
  <c r="I112" i="32"/>
  <c r="H112" i="32"/>
  <c r="G112" i="32"/>
  <c r="F112" i="32"/>
  <c r="E112" i="32"/>
  <c r="D112" i="32"/>
  <c r="C112" i="32"/>
  <c r="I111" i="32"/>
  <c r="H111" i="32"/>
  <c r="G111" i="32"/>
  <c r="F111" i="32"/>
  <c r="E111" i="32"/>
  <c r="D111" i="32"/>
  <c r="C111" i="32"/>
  <c r="I110" i="32"/>
  <c r="H110" i="32"/>
  <c r="G110" i="32"/>
  <c r="F110" i="32"/>
  <c r="E110" i="32"/>
  <c r="D110" i="32"/>
  <c r="C110" i="32"/>
  <c r="I109" i="32"/>
  <c r="H109" i="32"/>
  <c r="G109" i="32"/>
  <c r="F109" i="32"/>
  <c r="E109" i="32"/>
  <c r="D109" i="32"/>
  <c r="C109" i="32"/>
  <c r="I107" i="32"/>
  <c r="H107" i="32"/>
  <c r="G107" i="32"/>
  <c r="F107" i="32"/>
  <c r="E107" i="32"/>
  <c r="D107" i="32"/>
  <c r="C107" i="32"/>
  <c r="I106" i="32"/>
  <c r="H106" i="32"/>
  <c r="G106" i="32"/>
  <c r="F106" i="32"/>
  <c r="E106" i="32"/>
  <c r="D106" i="32"/>
  <c r="C106" i="32"/>
  <c r="I105" i="32"/>
  <c r="H105" i="32"/>
  <c r="F105" i="32"/>
  <c r="E105" i="32"/>
  <c r="D105" i="32"/>
  <c r="C105" i="32"/>
  <c r="I96" i="32"/>
  <c r="H96" i="32"/>
  <c r="G96" i="32"/>
  <c r="F96" i="32"/>
  <c r="E96" i="32"/>
  <c r="D96" i="32"/>
  <c r="C96" i="32"/>
  <c r="I95" i="32"/>
  <c r="H95" i="32"/>
  <c r="G95" i="32"/>
  <c r="F95" i="32"/>
  <c r="E95" i="32"/>
  <c r="D95" i="32"/>
  <c r="C95" i="32"/>
  <c r="I94" i="32"/>
  <c r="H94" i="32"/>
  <c r="G94" i="32"/>
  <c r="F94" i="32"/>
  <c r="E94" i="32"/>
  <c r="D94" i="32"/>
  <c r="C94" i="32"/>
  <c r="I93" i="32"/>
  <c r="H93" i="32"/>
  <c r="G93" i="32"/>
  <c r="F93" i="32"/>
  <c r="E93" i="32"/>
  <c r="D93" i="32"/>
  <c r="C93" i="32"/>
  <c r="I92" i="32"/>
  <c r="H92" i="32"/>
  <c r="G92" i="32"/>
  <c r="F92" i="32"/>
  <c r="E92" i="32"/>
  <c r="D92" i="32"/>
  <c r="C92" i="32"/>
  <c r="I90" i="32"/>
  <c r="H90" i="32"/>
  <c r="F90" i="32"/>
  <c r="I89" i="32"/>
  <c r="H89" i="32"/>
  <c r="G89" i="32"/>
  <c r="F89" i="32"/>
  <c r="E89" i="32"/>
  <c r="D89" i="32"/>
  <c r="C89" i="32"/>
  <c r="I88" i="32"/>
  <c r="H88" i="32"/>
  <c r="G88" i="32"/>
  <c r="F88" i="32"/>
  <c r="E88" i="32"/>
  <c r="D88" i="32"/>
  <c r="C88" i="32"/>
  <c r="I84" i="32"/>
  <c r="H84" i="32"/>
  <c r="G84" i="32"/>
  <c r="F84" i="32"/>
  <c r="E84" i="32"/>
  <c r="D84" i="32"/>
  <c r="C84" i="32"/>
  <c r="I82" i="32"/>
  <c r="H82" i="32"/>
  <c r="G82" i="32"/>
  <c r="F82" i="32"/>
  <c r="E82" i="32"/>
  <c r="D82" i="32"/>
  <c r="C82" i="32"/>
  <c r="I80" i="32"/>
  <c r="H80" i="32"/>
  <c r="G80" i="32"/>
  <c r="F80" i="32"/>
  <c r="E80" i="32"/>
  <c r="D80" i="32"/>
  <c r="C80" i="32"/>
  <c r="I79" i="32"/>
  <c r="H79" i="32"/>
  <c r="G79" i="32"/>
  <c r="F79" i="32"/>
  <c r="E79" i="32"/>
  <c r="D79" i="32"/>
  <c r="C79" i="32"/>
  <c r="I78" i="32"/>
  <c r="H78" i="32"/>
  <c r="G78" i="32"/>
  <c r="F78" i="32"/>
  <c r="E78" i="32"/>
  <c r="D78" i="32"/>
  <c r="C78" i="32"/>
  <c r="I77" i="32"/>
  <c r="H77" i="32"/>
  <c r="G77" i="32"/>
  <c r="F77" i="32"/>
  <c r="E77" i="32"/>
  <c r="D77" i="32"/>
  <c r="C77" i="32"/>
  <c r="I75" i="32"/>
  <c r="H75" i="32"/>
  <c r="G75" i="32"/>
  <c r="F75" i="32"/>
  <c r="E75" i="32"/>
  <c r="D75" i="32"/>
  <c r="C75" i="32"/>
  <c r="I74" i="32"/>
  <c r="H74" i="32"/>
  <c r="G74" i="32"/>
  <c r="F74" i="32"/>
  <c r="E74" i="32"/>
  <c r="D74" i="32"/>
  <c r="C74" i="32"/>
  <c r="I73" i="32"/>
  <c r="H73" i="32"/>
  <c r="G73" i="32"/>
  <c r="D73" i="32"/>
  <c r="C73" i="32"/>
  <c r="I64" i="32"/>
  <c r="H64" i="32"/>
  <c r="G64" i="32"/>
  <c r="F64" i="32"/>
  <c r="E64" i="32"/>
  <c r="D64" i="32"/>
  <c r="C64" i="32"/>
  <c r="I63" i="32"/>
  <c r="H63" i="32"/>
  <c r="G63" i="32"/>
  <c r="F63" i="32"/>
  <c r="E63" i="32"/>
  <c r="D63" i="32"/>
  <c r="C63" i="32"/>
  <c r="I62" i="32"/>
  <c r="H62" i="32"/>
  <c r="G62" i="32"/>
  <c r="F62" i="32"/>
  <c r="E62" i="32"/>
  <c r="D62" i="32"/>
  <c r="C62" i="32"/>
  <c r="I61" i="32"/>
  <c r="H61" i="32"/>
  <c r="G61" i="32"/>
  <c r="F61" i="32"/>
  <c r="E61" i="32"/>
  <c r="D61" i="32"/>
  <c r="C61" i="32"/>
  <c r="I60" i="32"/>
  <c r="H60" i="32"/>
  <c r="G60" i="32"/>
  <c r="F60" i="32"/>
  <c r="E60" i="32"/>
  <c r="D60" i="32"/>
  <c r="C60" i="32"/>
  <c r="H58" i="32"/>
  <c r="I57" i="32"/>
  <c r="H57" i="32"/>
  <c r="G57" i="32"/>
  <c r="F57" i="32"/>
  <c r="E57" i="32"/>
  <c r="D57" i="32"/>
  <c r="C57" i="32"/>
  <c r="I56" i="32"/>
  <c r="H56" i="32"/>
  <c r="G56" i="32"/>
  <c r="F56" i="32"/>
  <c r="E56" i="32"/>
  <c r="D56" i="32"/>
  <c r="C56" i="32"/>
  <c r="I52" i="32"/>
  <c r="H52" i="32"/>
  <c r="G52" i="32"/>
  <c r="F52" i="32"/>
  <c r="E52" i="32"/>
  <c r="D52" i="32"/>
  <c r="C52" i="32"/>
  <c r="I50" i="32"/>
  <c r="H50" i="32"/>
  <c r="G50" i="32"/>
  <c r="F50" i="32"/>
  <c r="E50" i="32"/>
  <c r="D50" i="32"/>
  <c r="C50" i="32"/>
  <c r="I48" i="32"/>
  <c r="H48" i="32"/>
  <c r="G48" i="32"/>
  <c r="F48" i="32"/>
  <c r="E48" i="32"/>
  <c r="D48" i="32"/>
  <c r="C48" i="32"/>
  <c r="I47" i="32"/>
  <c r="H47" i="32"/>
  <c r="G47" i="32"/>
  <c r="F47" i="32"/>
  <c r="E47" i="32"/>
  <c r="D47" i="32"/>
  <c r="C47" i="32"/>
  <c r="I46" i="32"/>
  <c r="H46" i="32"/>
  <c r="G46" i="32"/>
  <c r="F46" i="32"/>
  <c r="E46" i="32"/>
  <c r="D46" i="32"/>
  <c r="C46" i="32"/>
  <c r="I45" i="32"/>
  <c r="H45" i="32"/>
  <c r="G45" i="32"/>
  <c r="F45" i="32"/>
  <c r="E45" i="32"/>
  <c r="D45" i="32"/>
  <c r="C45" i="32"/>
  <c r="I43" i="32"/>
  <c r="H43" i="32"/>
  <c r="G43" i="32"/>
  <c r="F43" i="32"/>
  <c r="E43" i="32"/>
  <c r="D43" i="32"/>
  <c r="C43" i="32"/>
  <c r="I42" i="32"/>
  <c r="H42" i="32"/>
  <c r="G42" i="32"/>
  <c r="F42" i="32"/>
  <c r="E42" i="32"/>
  <c r="D42" i="32"/>
  <c r="C42" i="32"/>
  <c r="I41" i="32"/>
  <c r="H41" i="32"/>
  <c r="G41" i="32"/>
  <c r="F41" i="32"/>
  <c r="E41" i="32"/>
  <c r="D41" i="32"/>
  <c r="C41" i="32"/>
  <c r="I32" i="32"/>
  <c r="H32" i="32"/>
  <c r="G32" i="32"/>
  <c r="F32" i="32"/>
  <c r="E32" i="32"/>
  <c r="D32" i="32"/>
  <c r="C32" i="32"/>
  <c r="I31" i="32"/>
  <c r="H31" i="32"/>
  <c r="G31" i="32"/>
  <c r="F31" i="32"/>
  <c r="E31" i="32"/>
  <c r="D31" i="32"/>
  <c r="C31" i="32"/>
  <c r="I30" i="32"/>
  <c r="H30" i="32"/>
  <c r="G30" i="32"/>
  <c r="F30" i="32"/>
  <c r="E30" i="32"/>
  <c r="D30" i="32"/>
  <c r="C30" i="32"/>
  <c r="I29" i="32"/>
  <c r="H29" i="32"/>
  <c r="G29" i="32"/>
  <c r="F29" i="32"/>
  <c r="E29" i="32"/>
  <c r="D29" i="32"/>
  <c r="C29" i="32"/>
  <c r="I28" i="32"/>
  <c r="H28" i="32"/>
  <c r="G28" i="32"/>
  <c r="F28" i="32"/>
  <c r="E28" i="32"/>
  <c r="D28" i="32"/>
  <c r="C28" i="32"/>
  <c r="I26" i="32"/>
  <c r="G26" i="32"/>
  <c r="I25" i="32"/>
  <c r="H25" i="32"/>
  <c r="G25" i="32"/>
  <c r="F25" i="32"/>
  <c r="E25" i="32"/>
  <c r="D25" i="32"/>
  <c r="C25" i="32"/>
  <c r="I24" i="32"/>
  <c r="H24" i="32"/>
  <c r="G24" i="32"/>
  <c r="F24" i="32"/>
  <c r="E24" i="32"/>
  <c r="D24" i="32"/>
  <c r="C24" i="32"/>
  <c r="I20" i="32"/>
  <c r="H20" i="32"/>
  <c r="G20" i="32"/>
  <c r="F20" i="32"/>
  <c r="E20" i="32"/>
  <c r="D20" i="32"/>
  <c r="C20" i="32"/>
  <c r="I18" i="32"/>
  <c r="H18" i="32"/>
  <c r="E18" i="32"/>
  <c r="D18" i="32"/>
  <c r="C18" i="32"/>
  <c r="I16" i="32"/>
  <c r="H16" i="32"/>
  <c r="E16" i="32"/>
  <c r="D16" i="32"/>
  <c r="C16" i="32"/>
  <c r="I15" i="32"/>
  <c r="H15" i="32"/>
  <c r="G15" i="32"/>
  <c r="F15" i="32"/>
  <c r="E15" i="32"/>
  <c r="D15" i="32"/>
  <c r="C15" i="32"/>
  <c r="I14" i="32"/>
  <c r="H14" i="32"/>
  <c r="G14" i="32"/>
  <c r="F14" i="32"/>
  <c r="E14" i="32"/>
  <c r="D14" i="32"/>
  <c r="C14" i="32"/>
  <c r="I13" i="32"/>
  <c r="H13" i="32"/>
  <c r="G13" i="32"/>
  <c r="F13" i="32"/>
  <c r="E13" i="32"/>
  <c r="D13" i="32"/>
  <c r="C13" i="32"/>
  <c r="I11" i="32"/>
  <c r="H11" i="32"/>
  <c r="G11" i="32"/>
  <c r="F11" i="32"/>
  <c r="E11" i="32"/>
  <c r="D11" i="32"/>
  <c r="C11" i="32"/>
  <c r="I10" i="32"/>
  <c r="H10" i="32"/>
  <c r="G10" i="32"/>
  <c r="F10" i="32"/>
  <c r="E10" i="32"/>
  <c r="D10" i="32"/>
  <c r="C10" i="32"/>
  <c r="I9" i="32"/>
  <c r="H9" i="32"/>
  <c r="G9" i="32"/>
  <c r="F9" i="32"/>
  <c r="E9" i="32"/>
  <c r="C9" i="32"/>
  <c r="C175" i="8"/>
  <c r="C174" i="8"/>
  <c r="C166" i="8"/>
  <c r="C165" i="8"/>
  <c r="C164" i="8"/>
  <c r="C163" i="8"/>
  <c r="C162" i="8"/>
  <c r="C161" i="8"/>
  <c r="C160" i="8"/>
  <c r="C159" i="8"/>
  <c r="C158" i="8"/>
  <c r="C157" i="8"/>
  <c r="C156" i="8"/>
  <c r="C155" i="8"/>
  <c r="C154" i="8"/>
  <c r="C153" i="8"/>
  <c r="C151" i="8"/>
  <c r="C150" i="8"/>
  <c r="C149" i="8"/>
  <c r="C148" i="8"/>
  <c r="C147" i="8"/>
  <c r="C146" i="8"/>
  <c r="C145" i="8"/>
  <c r="C144" i="8"/>
  <c r="C143" i="8"/>
  <c r="C142" i="8"/>
  <c r="C141" i="8"/>
  <c r="C136" i="8"/>
  <c r="C135" i="8"/>
  <c r="C134" i="8"/>
  <c r="C133" i="8"/>
  <c r="C132" i="8"/>
  <c r="C131" i="8"/>
  <c r="C130" i="8"/>
  <c r="C128" i="8"/>
  <c r="C127" i="8"/>
  <c r="C126" i="8"/>
  <c r="C125" i="8"/>
  <c r="C119" i="8"/>
  <c r="C118" i="8"/>
  <c r="C117" i="8"/>
  <c r="C116" i="8"/>
  <c r="C108" i="8"/>
  <c r="A108" i="8"/>
  <c r="C102" i="8"/>
  <c r="C101" i="8"/>
  <c r="C98" i="8"/>
  <c r="C96" i="8"/>
  <c r="C94" i="8"/>
  <c r="C92" i="8"/>
  <c r="C89" i="8"/>
  <c r="C84" i="8"/>
  <c r="C83" i="8"/>
  <c r="C82" i="8"/>
  <c r="C81" i="8"/>
  <c r="C80" i="8"/>
  <c r="C79" i="8"/>
  <c r="C78" i="8"/>
  <c r="C77" i="8"/>
  <c r="C73" i="8"/>
  <c r="C72" i="8"/>
  <c r="C71" i="8"/>
  <c r="C67" i="8"/>
  <c r="C66" i="8"/>
  <c r="C65" i="8"/>
  <c r="C64" i="8"/>
  <c r="C63" i="8"/>
  <c r="C62" i="8"/>
  <c r="C61" i="8"/>
  <c r="C60" i="8"/>
  <c r="C59" i="8"/>
  <c r="C58" i="8"/>
  <c r="C55" i="8"/>
  <c r="A55" i="8"/>
  <c r="C48" i="8"/>
  <c r="C47" i="8"/>
  <c r="C46" i="8"/>
  <c r="C45" i="8"/>
  <c r="C41" i="8"/>
  <c r="C40" i="8"/>
  <c r="C39" i="8"/>
  <c r="C38" i="8"/>
  <c r="C34" i="8"/>
  <c r="C33" i="8"/>
  <c r="C32" i="8"/>
  <c r="C31" i="8"/>
  <c r="C30" i="8"/>
  <c r="C29" i="8"/>
  <c r="C28" i="8"/>
  <c r="C27" i="8"/>
  <c r="C26" i="8"/>
  <c r="C25" i="8"/>
  <c r="C21" i="8"/>
  <c r="C20" i="8"/>
  <c r="C19" i="8"/>
  <c r="C15" i="8"/>
  <c r="C14" i="8"/>
  <c r="C13" i="8"/>
  <c r="C12" i="8"/>
  <c r="C11" i="8"/>
  <c r="C10" i="8"/>
  <c r="C9" i="8"/>
  <c r="C8" i="8"/>
  <c r="C7" i="8"/>
  <c r="C6" i="8"/>
  <c r="C3" i="8"/>
  <c r="A3" i="8"/>
  <c r="D26" i="7"/>
  <c r="D24" i="7"/>
  <c r="D19" i="7"/>
  <c r="D18" i="7"/>
  <c r="D16" i="7"/>
  <c r="D12" i="7"/>
  <c r="D11" i="7"/>
  <c r="D10" i="7"/>
  <c r="D2" i="7"/>
  <c r="A2" i="7"/>
  <c r="E31" i="6"/>
  <c r="D31" i="6"/>
  <c r="C31" i="6"/>
  <c r="E30" i="6"/>
  <c r="D30" i="6"/>
  <c r="C30" i="6"/>
  <c r="E29" i="6"/>
  <c r="D29" i="6"/>
  <c r="C29" i="6"/>
  <c r="E28" i="6"/>
  <c r="D28" i="6"/>
  <c r="C28" i="6"/>
  <c r="E27" i="6"/>
  <c r="D27" i="6"/>
  <c r="C27" i="6"/>
  <c r="E26" i="6"/>
  <c r="D26" i="6"/>
  <c r="C26" i="6"/>
  <c r="E25" i="6"/>
  <c r="D25" i="6"/>
  <c r="C25" i="6"/>
  <c r="E24" i="6"/>
  <c r="D24" i="6"/>
  <c r="C24" i="6"/>
  <c r="C15" i="6"/>
  <c r="C14" i="6"/>
  <c r="C13" i="6"/>
  <c r="C12" i="6"/>
  <c r="C11" i="6"/>
  <c r="C10" i="6"/>
  <c r="C9" i="6"/>
  <c r="C8" i="6"/>
  <c r="C7" i="6"/>
  <c r="F3" i="6"/>
  <c r="A3" i="6"/>
  <c r="C39" i="5"/>
  <c r="C38" i="5"/>
  <c r="C33" i="5"/>
  <c r="C32" i="5"/>
  <c r="C31" i="5"/>
  <c r="C26" i="5"/>
  <c r="C25" i="5"/>
  <c r="C19" i="5"/>
  <c r="C18" i="5"/>
  <c r="C13" i="5"/>
  <c r="C12" i="5"/>
  <c r="C11" i="5"/>
  <c r="C10" i="5"/>
  <c r="C9" i="5"/>
  <c r="C8" i="5"/>
  <c r="C7" i="5"/>
  <c r="C6" i="5"/>
  <c r="C3" i="5"/>
  <c r="A3" i="5"/>
  <c r="C33" i="4"/>
  <c r="C32" i="4"/>
  <c r="G27" i="4"/>
  <c r="F27" i="4"/>
  <c r="E27" i="4"/>
  <c r="D27" i="4"/>
  <c r="C27" i="4"/>
  <c r="B27" i="4"/>
  <c r="G26" i="4"/>
  <c r="F26" i="4"/>
  <c r="E26" i="4"/>
  <c r="D26" i="4"/>
  <c r="C26" i="4"/>
  <c r="B26" i="4"/>
  <c r="G25" i="4"/>
  <c r="F25" i="4"/>
  <c r="E25" i="4"/>
  <c r="D25" i="4"/>
  <c r="C25" i="4"/>
  <c r="B25" i="4"/>
  <c r="E18" i="4"/>
  <c r="G18" i="4" s="1"/>
  <c r="D18" i="4"/>
  <c r="C18" i="4"/>
  <c r="B18" i="4"/>
  <c r="E17" i="4"/>
  <c r="G17" i="4" s="1"/>
  <c r="D17" i="4"/>
  <c r="C17" i="4"/>
  <c r="B17" i="4"/>
  <c r="E16" i="4"/>
  <c r="G16" i="4" s="1"/>
  <c r="D16" i="4"/>
  <c r="C16" i="4"/>
  <c r="B16" i="4"/>
  <c r="G9" i="4"/>
  <c r="F9" i="4"/>
  <c r="E9" i="4"/>
  <c r="C9" i="4"/>
  <c r="B9" i="4"/>
  <c r="G8" i="4"/>
  <c r="F8" i="4"/>
  <c r="E8" i="4"/>
  <c r="C8" i="4"/>
  <c r="B8" i="4"/>
  <c r="G7" i="4"/>
  <c r="F7" i="4"/>
  <c r="E7" i="4"/>
  <c r="C7" i="4"/>
  <c r="B7" i="4"/>
  <c r="D40" i="3"/>
  <c r="G37" i="3"/>
  <c r="G36" i="3"/>
  <c r="D36" i="3"/>
  <c r="D35" i="3"/>
  <c r="D34" i="3"/>
  <c r="G33" i="3"/>
  <c r="D33" i="3"/>
  <c r="G32" i="3"/>
  <c r="D32" i="3"/>
  <c r="G31" i="3"/>
  <c r="D31" i="3"/>
  <c r="G30" i="3"/>
  <c r="D30" i="3"/>
  <c r="G26" i="3"/>
  <c r="F26" i="3"/>
  <c r="G25" i="3"/>
  <c r="F25" i="3"/>
  <c r="G24" i="3"/>
  <c r="F24" i="3"/>
  <c r="G23" i="3"/>
  <c r="F23" i="3"/>
  <c r="A19" i="3"/>
  <c r="E18" i="3"/>
  <c r="E17" i="3"/>
  <c r="C17" i="3"/>
  <c r="A17" i="3"/>
  <c r="E16" i="3"/>
  <c r="C16" i="3"/>
  <c r="A16" i="3"/>
  <c r="D11" i="3"/>
  <c r="D10" i="3"/>
  <c r="D5" i="3"/>
  <c r="F4" i="3"/>
  <c r="B4" i="3"/>
  <c r="D25" i="17"/>
  <c r="D11" i="17"/>
  <c r="E69" i="15"/>
  <c r="D69" i="15"/>
  <c r="I68" i="15"/>
  <c r="I67" i="15"/>
  <c r="I66" i="15"/>
  <c r="E65" i="15"/>
  <c r="D65" i="15"/>
  <c r="E64" i="15"/>
  <c r="D64" i="15"/>
  <c r="E63" i="15"/>
  <c r="D63" i="15"/>
  <c r="I62" i="15"/>
  <c r="I61" i="15"/>
  <c r="I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3" i="15"/>
  <c r="D43" i="15"/>
  <c r="E42" i="15"/>
  <c r="D42" i="15"/>
  <c r="E41" i="15"/>
  <c r="D41" i="15"/>
  <c r="E39" i="15"/>
  <c r="D39" i="15"/>
  <c r="E38" i="15"/>
  <c r="D38" i="15"/>
  <c r="E37" i="15"/>
  <c r="D37" i="15"/>
  <c r="E36" i="15"/>
  <c r="D36" i="15"/>
  <c r="E35" i="15"/>
  <c r="D35" i="15"/>
  <c r="E34" i="15"/>
  <c r="D34" i="15"/>
  <c r="E33" i="15"/>
  <c r="D33" i="15"/>
  <c r="E30" i="15"/>
  <c r="D30" i="15"/>
  <c r="E29" i="15"/>
  <c r="D29" i="15"/>
  <c r="E28" i="15"/>
  <c r="D28" i="15"/>
  <c r="E27" i="15"/>
  <c r="D27" i="15"/>
  <c r="E26" i="15"/>
  <c r="D26" i="15"/>
  <c r="E25" i="15"/>
  <c r="D25" i="15"/>
  <c r="E24" i="15"/>
  <c r="D24" i="15"/>
  <c r="E23" i="15"/>
  <c r="D23" i="15"/>
  <c r="E22" i="15"/>
  <c r="D22" i="15"/>
  <c r="E21" i="15"/>
  <c r="D21" i="15"/>
  <c r="E20" i="15"/>
  <c r="D20" i="15"/>
  <c r="E19" i="15"/>
  <c r="D19" i="15"/>
  <c r="E18" i="15"/>
  <c r="D18" i="15"/>
  <c r="E17" i="15"/>
  <c r="D17" i="15"/>
  <c r="E16" i="15"/>
  <c r="D16" i="15"/>
  <c r="E15" i="15"/>
  <c r="D15" i="15"/>
  <c r="G12" i="15"/>
  <c r="F12" i="15"/>
  <c r="E12" i="15"/>
  <c r="D12" i="15"/>
  <c r="C12" i="15"/>
  <c r="B12" i="15"/>
  <c r="A12" i="15"/>
  <c r="E19" i="27"/>
  <c r="E20" i="27" s="1"/>
  <c r="E18" i="27"/>
  <c r="E17" i="27"/>
  <c r="CP2" i="30"/>
  <c r="D381" i="24"/>
  <c r="D366" i="24"/>
  <c r="C120" i="8" s="1"/>
  <c r="D340" i="24"/>
  <c r="C86" i="8" s="1"/>
  <c r="D339" i="24"/>
  <c r="D329" i="24"/>
  <c r="C74" i="8" s="1"/>
  <c r="D324" i="24"/>
  <c r="C68" i="8" s="1"/>
  <c r="D306" i="24"/>
  <c r="C49" i="8" s="1"/>
  <c r="D299" i="24"/>
  <c r="C42" i="8" s="1"/>
  <c r="D291" i="24"/>
  <c r="D293" i="24" s="1"/>
  <c r="C35" i="8" s="1"/>
  <c r="D281" i="24"/>
  <c r="C22" i="8" s="1"/>
  <c r="D276" i="24"/>
  <c r="C16" i="8" s="1"/>
  <c r="D256" i="24"/>
  <c r="D252" i="24"/>
  <c r="D245" i="24"/>
  <c r="D13" i="7" s="1"/>
  <c r="D237" i="24"/>
  <c r="D233" i="24"/>
  <c r="C233" i="24"/>
  <c r="B233" i="24"/>
  <c r="C32" i="6" s="1"/>
  <c r="E232" i="24"/>
  <c r="F31" i="6" s="1"/>
  <c r="E231" i="24"/>
  <c r="F30" i="6" s="1"/>
  <c r="E230" i="24"/>
  <c r="F29" i="6" s="1"/>
  <c r="E229" i="24"/>
  <c r="F28" i="6" s="1"/>
  <c r="E228" i="24"/>
  <c r="F27" i="6" s="1"/>
  <c r="E227" i="24"/>
  <c r="F26" i="6" s="1"/>
  <c r="E226" i="24"/>
  <c r="F25" i="6" s="1"/>
  <c r="E225" i="24"/>
  <c r="F24" i="6" s="1"/>
  <c r="D220" i="24"/>
  <c r="E16" i="6" s="1"/>
  <c r="C220" i="24"/>
  <c r="D16" i="6" s="1"/>
  <c r="B220" i="24"/>
  <c r="C16" i="6" s="1"/>
  <c r="E219" i="24"/>
  <c r="F15" i="6" s="1"/>
  <c r="E218" i="24"/>
  <c r="F14" i="6" s="1"/>
  <c r="E217" i="24"/>
  <c r="F13" i="6" s="1"/>
  <c r="E216" i="24"/>
  <c r="F12" i="6" s="1"/>
  <c r="E215" i="24"/>
  <c r="F11" i="6" s="1"/>
  <c r="E214" i="24"/>
  <c r="F10" i="6" s="1"/>
  <c r="E213" i="24"/>
  <c r="F9" i="6" s="1"/>
  <c r="E212" i="24"/>
  <c r="F8" i="6" s="1"/>
  <c r="E211" i="24"/>
  <c r="F7" i="6" s="1"/>
  <c r="D206" i="24"/>
  <c r="C40" i="5" s="1"/>
  <c r="D202" i="24"/>
  <c r="C34" i="5" s="1"/>
  <c r="D197" i="24"/>
  <c r="C27" i="5" s="1"/>
  <c r="D193" i="24"/>
  <c r="C20" i="5" s="1"/>
  <c r="D189" i="24"/>
  <c r="C14" i="5" s="1"/>
  <c r="E170" i="24"/>
  <c r="F28" i="4" s="1"/>
  <c r="E169" i="24"/>
  <c r="E168" i="24"/>
  <c r="D28" i="4" s="1"/>
  <c r="E167" i="24"/>
  <c r="C28" i="4" s="1"/>
  <c r="E166" i="24"/>
  <c r="B28" i="4" s="1"/>
  <c r="E164" i="24"/>
  <c r="E163" i="24"/>
  <c r="E19" i="4" s="1"/>
  <c r="G19" i="4" s="1"/>
  <c r="E162" i="24"/>
  <c r="D19" i="4" s="1"/>
  <c r="E161" i="24"/>
  <c r="C19" i="4" s="1"/>
  <c r="E160" i="24"/>
  <c r="B19" i="4" s="1"/>
  <c r="E158" i="24"/>
  <c r="F10" i="4" s="1"/>
  <c r="E157" i="24"/>
  <c r="E10" i="4" s="1"/>
  <c r="E156" i="24"/>
  <c r="D10" i="4" s="1"/>
  <c r="E155" i="24"/>
  <c r="C10" i="4" s="1"/>
  <c r="E154" i="24"/>
  <c r="B10" i="4" s="1"/>
  <c r="E143" i="24"/>
  <c r="G34" i="3" s="1"/>
  <c r="CE94" i="24"/>
  <c r="I384" i="32" s="1"/>
  <c r="CE93" i="24"/>
  <c r="CE92" i="24"/>
  <c r="I382" i="32" s="1"/>
  <c r="CE91" i="24"/>
  <c r="I381" i="32" s="1"/>
  <c r="CE90" i="24"/>
  <c r="CE88" i="24"/>
  <c r="CE87" i="24"/>
  <c r="I372" i="32"/>
  <c r="CE82" i="24"/>
  <c r="CE81" i="24"/>
  <c r="CE80" i="24"/>
  <c r="CE79" i="24"/>
  <c r="CE78" i="24"/>
  <c r="CE77" i="24"/>
  <c r="CE76" i="24"/>
  <c r="CE75" i="24"/>
  <c r="CE74" i="24"/>
  <c r="CE73" i="24"/>
  <c r="CE72" i="24"/>
  <c r="CE71" i="24"/>
  <c r="CE70" i="24"/>
  <c r="CD69" i="24"/>
  <c r="E371" i="32" s="1"/>
  <c r="CB69" i="24"/>
  <c r="CA69" i="24"/>
  <c r="BZ69" i="24"/>
  <c r="BY69" i="24"/>
  <c r="BX69" i="24"/>
  <c r="BW69" i="24"/>
  <c r="BV69" i="24"/>
  <c r="BU69" i="24"/>
  <c r="BT69" i="24"/>
  <c r="BS69" i="24"/>
  <c r="BR69" i="24"/>
  <c r="BQ69" i="24"/>
  <c r="BP69" i="24"/>
  <c r="BO69" i="24"/>
  <c r="BN69" i="24"/>
  <c r="BM69" i="24"/>
  <c r="BL69" i="24"/>
  <c r="BK69" i="24"/>
  <c r="BJ69" i="24"/>
  <c r="BI69" i="24"/>
  <c r="BH69" i="24"/>
  <c r="BG69" i="24"/>
  <c r="BF69" i="24"/>
  <c r="BE69" i="24"/>
  <c r="BD69" i="24"/>
  <c r="BC69" i="24"/>
  <c r="BB69" i="24"/>
  <c r="BA69" i="24"/>
  <c r="AZ69" i="24"/>
  <c r="AY69" i="24"/>
  <c r="AX69" i="24"/>
  <c r="AW69" i="24"/>
  <c r="AV69" i="24"/>
  <c r="AU69" i="24"/>
  <c r="AT69" i="24"/>
  <c r="AS69" i="24"/>
  <c r="AR69" i="24"/>
  <c r="AQ69" i="24"/>
  <c r="AP69" i="24"/>
  <c r="AO69" i="24"/>
  <c r="AN69" i="24"/>
  <c r="AM69" i="24"/>
  <c r="AL69" i="24"/>
  <c r="AK69" i="24"/>
  <c r="AJ69" i="24"/>
  <c r="AI69" i="24"/>
  <c r="AH69" i="24"/>
  <c r="AG69" i="24"/>
  <c r="AF69" i="24"/>
  <c r="AE69" i="24"/>
  <c r="AD69" i="24"/>
  <c r="AC69" i="24"/>
  <c r="AB69" i="24"/>
  <c r="AA69" i="24"/>
  <c r="Z69" i="24"/>
  <c r="Y69" i="24"/>
  <c r="X69" i="24"/>
  <c r="W69" i="24"/>
  <c r="V69" i="24"/>
  <c r="U69" i="24"/>
  <c r="O20" i="31" s="1"/>
  <c r="T69" i="24"/>
  <c r="S69" i="24"/>
  <c r="R69" i="24"/>
  <c r="Q69" i="24"/>
  <c r="O16" i="31" s="1"/>
  <c r="P69" i="24"/>
  <c r="O69" i="24"/>
  <c r="N69" i="24"/>
  <c r="M69" i="24"/>
  <c r="L69" i="24"/>
  <c r="K69" i="24"/>
  <c r="J69" i="24"/>
  <c r="I69" i="24"/>
  <c r="H69" i="24"/>
  <c r="O7" i="31" s="1"/>
  <c r="G69" i="24"/>
  <c r="F69" i="24"/>
  <c r="E69" i="24"/>
  <c r="D69" i="24"/>
  <c r="C69" i="24"/>
  <c r="CE68" i="24"/>
  <c r="I370" i="32" s="1"/>
  <c r="CE66" i="24"/>
  <c r="I368" i="32" s="1"/>
  <c r="CE65" i="24"/>
  <c r="I367" i="32" s="1"/>
  <c r="CE64" i="24"/>
  <c r="CE63" i="24"/>
  <c r="I365" i="32" s="1"/>
  <c r="CE61" i="24"/>
  <c r="I363" i="32" s="1"/>
  <c r="CE60" i="24"/>
  <c r="B53" i="24"/>
  <c r="CE51" i="24"/>
  <c r="B49" i="24"/>
  <c r="CE47" i="24"/>
  <c r="I383" i="32" l="1"/>
  <c r="CF93" i="24"/>
  <c r="I376" i="32"/>
  <c r="C358" i="24"/>
  <c r="I377" i="32"/>
  <c r="C359" i="24"/>
  <c r="CF90" i="24"/>
  <c r="CB52" i="24" s="1"/>
  <c r="CB67" i="24" s="1"/>
  <c r="E58" i="32"/>
  <c r="AU48" i="24"/>
  <c r="AU62" i="24" s="1"/>
  <c r="H46" i="31" s="1"/>
  <c r="G48" i="24"/>
  <c r="G62" i="24" s="1"/>
  <c r="G12" i="32" s="1"/>
  <c r="W48" i="24"/>
  <c r="W62" i="24" s="1"/>
  <c r="H22" i="31" s="1"/>
  <c r="BK48" i="24"/>
  <c r="BK62" i="24" s="1"/>
  <c r="H48" i="24"/>
  <c r="H62" i="24" s="1"/>
  <c r="H12" i="32" s="1"/>
  <c r="P48" i="24"/>
  <c r="P62" i="24" s="1"/>
  <c r="I44" i="32" s="1"/>
  <c r="X48" i="24"/>
  <c r="X62" i="24" s="1"/>
  <c r="C108" i="32" s="1"/>
  <c r="AF48" i="24"/>
  <c r="AF62" i="24" s="1"/>
  <c r="H31" i="31" s="1"/>
  <c r="AN48" i="24"/>
  <c r="AN62" i="24" s="1"/>
  <c r="E172" i="32" s="1"/>
  <c r="AV48" i="24"/>
  <c r="AV62" i="24" s="1"/>
  <c r="F204" i="32" s="1"/>
  <c r="BD48" i="24"/>
  <c r="BD62" i="24" s="1"/>
  <c r="G236" i="32" s="1"/>
  <c r="BL48" i="24"/>
  <c r="BL62" i="24" s="1"/>
  <c r="H63" i="31" s="1"/>
  <c r="BT48" i="24"/>
  <c r="BT62" i="24" s="1"/>
  <c r="I300" i="32" s="1"/>
  <c r="CB48" i="24"/>
  <c r="CB62" i="24" s="1"/>
  <c r="H79" i="31" s="1"/>
  <c r="AM48" i="24"/>
  <c r="AM62" i="24" s="1"/>
  <c r="H38" i="31" s="1"/>
  <c r="BS48" i="24"/>
  <c r="BS62" i="24" s="1"/>
  <c r="H70" i="31" s="1"/>
  <c r="Q48" i="24"/>
  <c r="Q62" i="24" s="1"/>
  <c r="H16" i="31" s="1"/>
  <c r="AO48" i="24"/>
  <c r="AO62" i="24" s="1"/>
  <c r="F172" i="32" s="1"/>
  <c r="AW48" i="24"/>
  <c r="AW62" i="24" s="1"/>
  <c r="H48" i="31" s="1"/>
  <c r="J48" i="24"/>
  <c r="J62" i="24" s="1"/>
  <c r="R48" i="24"/>
  <c r="R62" i="24" s="1"/>
  <c r="H17" i="31" s="1"/>
  <c r="Z48" i="24"/>
  <c r="Z62" i="24" s="1"/>
  <c r="E108" i="32" s="1"/>
  <c r="AH48" i="24"/>
  <c r="AH62" i="24" s="1"/>
  <c r="H33" i="31" s="1"/>
  <c r="AP48" i="24"/>
  <c r="AP62" i="24" s="1"/>
  <c r="H41" i="31" s="1"/>
  <c r="AX48" i="24"/>
  <c r="AX62" i="24" s="1"/>
  <c r="H204" i="32" s="1"/>
  <c r="BF48" i="24"/>
  <c r="BF62" i="24" s="1"/>
  <c r="H57" i="31" s="1"/>
  <c r="BN48" i="24"/>
  <c r="BN62" i="24" s="1"/>
  <c r="H65" i="31" s="1"/>
  <c r="BV48" i="24"/>
  <c r="BV62" i="24" s="1"/>
  <c r="H73" i="31" s="1"/>
  <c r="CD48" i="24"/>
  <c r="O48" i="24"/>
  <c r="O62" i="24" s="1"/>
  <c r="H14" i="31" s="1"/>
  <c r="BC48" i="24"/>
  <c r="BC62" i="24" s="1"/>
  <c r="H54" i="31" s="1"/>
  <c r="CA48" i="24"/>
  <c r="CA62" i="24" s="1"/>
  <c r="I332" i="32" s="1"/>
  <c r="AG48" i="24"/>
  <c r="AG62" i="24" s="1"/>
  <c r="H32" i="31" s="1"/>
  <c r="CC48" i="24"/>
  <c r="CC62" i="24" s="1"/>
  <c r="H80" i="31" s="1"/>
  <c r="C48" i="24"/>
  <c r="C62" i="24" s="1"/>
  <c r="K48" i="24"/>
  <c r="K62" i="24" s="1"/>
  <c r="S48" i="24"/>
  <c r="S62" i="24" s="1"/>
  <c r="E76" i="32" s="1"/>
  <c r="AA48" i="24"/>
  <c r="AA62" i="24" s="1"/>
  <c r="H26" i="31" s="1"/>
  <c r="AI48" i="24"/>
  <c r="AI62" i="24" s="1"/>
  <c r="H34" i="31" s="1"/>
  <c r="AQ48" i="24"/>
  <c r="AQ62" i="24" s="1"/>
  <c r="H42" i="31" s="1"/>
  <c r="AY48" i="24"/>
  <c r="AY62" i="24" s="1"/>
  <c r="I204" i="32" s="1"/>
  <c r="BG48" i="24"/>
  <c r="BG62" i="24" s="1"/>
  <c r="H58" i="31" s="1"/>
  <c r="BO48" i="24"/>
  <c r="BO62" i="24" s="1"/>
  <c r="H66" i="31" s="1"/>
  <c r="BW48" i="24"/>
  <c r="BW62" i="24" s="1"/>
  <c r="H74" i="31" s="1"/>
  <c r="I48" i="24"/>
  <c r="I62" i="24" s="1"/>
  <c r="H8" i="31" s="1"/>
  <c r="BU48" i="24"/>
  <c r="BU62" i="24" s="1"/>
  <c r="C332" i="32" s="1"/>
  <c r="D48" i="24"/>
  <c r="D62" i="24" s="1"/>
  <c r="H3" i="31" s="1"/>
  <c r="L48" i="24"/>
  <c r="L62" i="24" s="1"/>
  <c r="T48" i="24"/>
  <c r="T62" i="24" s="1"/>
  <c r="H19" i="31" s="1"/>
  <c r="AB48" i="24"/>
  <c r="AB62" i="24" s="1"/>
  <c r="H27" i="31" s="1"/>
  <c r="AJ48" i="24"/>
  <c r="AJ62" i="24" s="1"/>
  <c r="H140" i="32" s="1"/>
  <c r="AR48" i="24"/>
  <c r="AR62" i="24" s="1"/>
  <c r="AZ48" i="24"/>
  <c r="AZ62" i="24" s="1"/>
  <c r="BH48" i="24"/>
  <c r="BH62" i="24" s="1"/>
  <c r="H59" i="31" s="1"/>
  <c r="BP48" i="24"/>
  <c r="BP62" i="24" s="1"/>
  <c r="H67" i="31" s="1"/>
  <c r="BX48" i="24"/>
  <c r="BX62" i="24" s="1"/>
  <c r="H75" i="31" s="1"/>
  <c r="AE48" i="24"/>
  <c r="AE62" i="24" s="1"/>
  <c r="H30" i="31" s="1"/>
  <c r="BM48" i="24"/>
  <c r="BM62" i="24" s="1"/>
  <c r="H64" i="31" s="1"/>
  <c r="E48" i="24"/>
  <c r="E62" i="24" s="1"/>
  <c r="H4" i="31" s="1"/>
  <c r="M48" i="24"/>
  <c r="M62" i="24" s="1"/>
  <c r="H12" i="31" s="1"/>
  <c r="U48" i="24"/>
  <c r="U62" i="24" s="1"/>
  <c r="H20" i="31" s="1"/>
  <c r="AC48" i="24"/>
  <c r="AC62" i="24" s="1"/>
  <c r="H108" i="32" s="1"/>
  <c r="AK48" i="24"/>
  <c r="AK62" i="24" s="1"/>
  <c r="H36" i="31" s="1"/>
  <c r="AS48" i="24"/>
  <c r="AS62" i="24" s="1"/>
  <c r="C204" i="32" s="1"/>
  <c r="BA48" i="24"/>
  <c r="BA62" i="24" s="1"/>
  <c r="H52" i="31" s="1"/>
  <c r="BI48" i="24"/>
  <c r="BI62" i="24" s="1"/>
  <c r="H60" i="31" s="1"/>
  <c r="BQ48" i="24"/>
  <c r="BQ62" i="24" s="1"/>
  <c r="H68" i="31" s="1"/>
  <c r="BY48" i="24"/>
  <c r="BY62" i="24" s="1"/>
  <c r="Y48" i="24"/>
  <c r="Y62" i="24" s="1"/>
  <c r="H24" i="31" s="1"/>
  <c r="BE48" i="24"/>
  <c r="BE62" i="24" s="1"/>
  <c r="H56" i="31" s="1"/>
  <c r="F48" i="24"/>
  <c r="F62" i="24" s="1"/>
  <c r="H5" i="31" s="1"/>
  <c r="N48" i="24"/>
  <c r="N62" i="24" s="1"/>
  <c r="G44" i="32" s="1"/>
  <c r="V48" i="24"/>
  <c r="V62" i="24" s="1"/>
  <c r="H21" i="31" s="1"/>
  <c r="AD48" i="24"/>
  <c r="AD62" i="24" s="1"/>
  <c r="I108" i="32" s="1"/>
  <c r="AL48" i="24"/>
  <c r="AL62" i="24" s="1"/>
  <c r="C172" i="32" s="1"/>
  <c r="AT48" i="24"/>
  <c r="AT62" i="24" s="1"/>
  <c r="D204" i="32" s="1"/>
  <c r="BB48" i="24"/>
  <c r="BB62" i="24" s="1"/>
  <c r="E236" i="32" s="1"/>
  <c r="BJ48" i="24"/>
  <c r="BJ62" i="24" s="1"/>
  <c r="H61" i="31" s="1"/>
  <c r="BR48" i="24"/>
  <c r="BR62" i="24" s="1"/>
  <c r="H69" i="31" s="1"/>
  <c r="BZ48" i="24"/>
  <c r="BZ62" i="24" s="1"/>
  <c r="H77" i="31" s="1"/>
  <c r="CF91" i="25"/>
  <c r="G122" i="32"/>
  <c r="H154" i="32"/>
  <c r="D26" i="32"/>
  <c r="I186" i="32"/>
  <c r="G154" i="32"/>
  <c r="G186" i="32"/>
  <c r="AE10" i="31"/>
  <c r="D416" i="24"/>
  <c r="E414" i="24" s="1"/>
  <c r="AE37" i="31"/>
  <c r="I122" i="32"/>
  <c r="F26" i="32"/>
  <c r="AE13" i="31"/>
  <c r="D218" i="32"/>
  <c r="C26" i="32"/>
  <c r="AE16" i="31"/>
  <c r="AE24" i="31"/>
  <c r="AE40" i="31"/>
  <c r="AE32" i="31"/>
  <c r="I154" i="32"/>
  <c r="H122" i="32"/>
  <c r="AE12" i="31"/>
  <c r="C218" i="32"/>
  <c r="AE4" i="31"/>
  <c r="AE20" i="31"/>
  <c r="G10" i="4"/>
  <c r="CE69" i="24"/>
  <c r="I371" i="32" s="1"/>
  <c r="B14" i="31"/>
  <c r="B33" i="31"/>
  <c r="B34" i="31"/>
  <c r="B35" i="31"/>
  <c r="B36" i="31"/>
  <c r="B51" i="31"/>
  <c r="B56" i="31"/>
  <c r="H164" i="32"/>
  <c r="B79" i="31"/>
  <c r="H4" i="32"/>
  <c r="H260" i="32"/>
  <c r="B23" i="31"/>
  <c r="B24" i="31"/>
  <c r="B41" i="31"/>
  <c r="B42" i="31"/>
  <c r="B43" i="31"/>
  <c r="B54" i="31"/>
  <c r="H36" i="32"/>
  <c r="E381" i="25"/>
  <c r="D368" i="25"/>
  <c r="D385" i="25" s="1"/>
  <c r="D418" i="25" s="1"/>
  <c r="D422" i="25" s="1"/>
  <c r="D425" i="25" s="1"/>
  <c r="D309" i="25"/>
  <c r="D353" i="25" s="1"/>
  <c r="D259" i="25"/>
  <c r="CE90" i="25"/>
  <c r="K613" i="25" s="1"/>
  <c r="CF92" i="25"/>
  <c r="CD86" i="25"/>
  <c r="B94" i="15" s="1"/>
  <c r="F94" i="15" s="1"/>
  <c r="AE39" i="31"/>
  <c r="AE15" i="31"/>
  <c r="AE7" i="31"/>
  <c r="AE31" i="31"/>
  <c r="AE23" i="31"/>
  <c r="J612" i="24"/>
  <c r="C83" i="32"/>
  <c r="CE89" i="24"/>
  <c r="I378" i="32" s="1"/>
  <c r="H186" i="32"/>
  <c r="C58" i="32"/>
  <c r="D90" i="32"/>
  <c r="AE33" i="31"/>
  <c r="E90" i="32"/>
  <c r="E122" i="32"/>
  <c r="F122" i="32"/>
  <c r="E32" i="6"/>
  <c r="O6" i="31"/>
  <c r="O22" i="31"/>
  <c r="I83" i="32"/>
  <c r="O30" i="31"/>
  <c r="C147" i="32"/>
  <c r="O46" i="31"/>
  <c r="E211" i="32"/>
  <c r="O54" i="31"/>
  <c r="F243" i="32"/>
  <c r="O62" i="31"/>
  <c r="G275" i="32"/>
  <c r="O70" i="31"/>
  <c r="H307" i="32"/>
  <c r="E233" i="24"/>
  <c r="F32" i="6" s="1"/>
  <c r="I380" i="32"/>
  <c r="D612" i="24"/>
  <c r="H2" i="31"/>
  <c r="C12" i="32"/>
  <c r="H10" i="31"/>
  <c r="D44" i="32"/>
  <c r="O14" i="31"/>
  <c r="H51" i="32"/>
  <c r="O38" i="31"/>
  <c r="D179" i="32"/>
  <c r="O78" i="31"/>
  <c r="I339" i="32"/>
  <c r="H76" i="31"/>
  <c r="G332" i="32"/>
  <c r="BK2" i="30"/>
  <c r="I362" i="32"/>
  <c r="H612" i="24"/>
  <c r="E220" i="24"/>
  <c r="I612" i="24"/>
  <c r="I366" i="32"/>
  <c r="F612" i="24"/>
  <c r="BQ2" i="30"/>
  <c r="D383" i="24"/>
  <c r="DF2" i="30"/>
  <c r="C170" i="8"/>
  <c r="D22" i="7"/>
  <c r="D258" i="24"/>
  <c r="D27" i="7" s="1"/>
  <c r="H43" i="31"/>
  <c r="I172" i="32"/>
  <c r="I76" i="32"/>
  <c r="O2" i="31"/>
  <c r="C19" i="32"/>
  <c r="O18" i="31"/>
  <c r="E83" i="32"/>
  <c r="O42" i="31"/>
  <c r="H179" i="32"/>
  <c r="O58" i="31"/>
  <c r="C275" i="32"/>
  <c r="O74" i="31"/>
  <c r="E339" i="32"/>
  <c r="C85" i="8"/>
  <c r="D341" i="24"/>
  <c r="C87" i="8" s="1"/>
  <c r="H9" i="31"/>
  <c r="C44" i="32"/>
  <c r="H62" i="31"/>
  <c r="G268" i="32"/>
  <c r="O10" i="31"/>
  <c r="D51" i="32"/>
  <c r="O26" i="31"/>
  <c r="F115" i="32"/>
  <c r="O34" i="31"/>
  <c r="G147" i="32"/>
  <c r="O50" i="31"/>
  <c r="I211" i="32"/>
  <c r="O66" i="31"/>
  <c r="D307" i="32"/>
  <c r="H51" i="31"/>
  <c r="C236" i="32"/>
  <c r="O3" i="31"/>
  <c r="D19" i="32"/>
  <c r="O11" i="31"/>
  <c r="E51" i="32"/>
  <c r="O19" i="31"/>
  <c r="F83" i="32"/>
  <c r="O27" i="31"/>
  <c r="G115" i="32"/>
  <c r="O35" i="31"/>
  <c r="H147" i="32"/>
  <c r="O43" i="31"/>
  <c r="I179" i="32"/>
  <c r="O51" i="31"/>
  <c r="C243" i="32"/>
  <c r="O59" i="31"/>
  <c r="D275" i="32"/>
  <c r="O67" i="31"/>
  <c r="E307" i="32"/>
  <c r="O75" i="31"/>
  <c r="F339" i="32"/>
  <c r="E221" i="25"/>
  <c r="O4" i="31"/>
  <c r="E19" i="32"/>
  <c r="O12" i="31"/>
  <c r="F51" i="32"/>
  <c r="O28" i="31"/>
  <c r="H115" i="32"/>
  <c r="O36" i="31"/>
  <c r="I147" i="32"/>
  <c r="O44" i="31"/>
  <c r="C211" i="32"/>
  <c r="O52" i="31"/>
  <c r="D243" i="32"/>
  <c r="O60" i="31"/>
  <c r="E275" i="32"/>
  <c r="O68" i="31"/>
  <c r="F307" i="32"/>
  <c r="O76" i="31"/>
  <c r="G339" i="32"/>
  <c r="E28" i="4"/>
  <c r="G28" i="4"/>
  <c r="CF2" i="28"/>
  <c r="D5" i="7"/>
  <c r="O5" i="31"/>
  <c r="O13" i="31"/>
  <c r="G51" i="32"/>
  <c r="O21" i="31"/>
  <c r="H83" i="32"/>
  <c r="O29" i="31"/>
  <c r="I115" i="32"/>
  <c r="O37" i="31"/>
  <c r="C179" i="32"/>
  <c r="O45" i="31"/>
  <c r="D211" i="32"/>
  <c r="O53" i="31"/>
  <c r="E243" i="32"/>
  <c r="O61" i="31"/>
  <c r="F275" i="32"/>
  <c r="O69" i="31"/>
  <c r="G307" i="32"/>
  <c r="O77" i="31"/>
  <c r="H339" i="32"/>
  <c r="L612" i="24"/>
  <c r="O15" i="31"/>
  <c r="I51" i="32"/>
  <c r="O23" i="31"/>
  <c r="C115" i="32"/>
  <c r="O31" i="31"/>
  <c r="D147" i="32"/>
  <c r="O39" i="31"/>
  <c r="E179" i="32"/>
  <c r="O47" i="31"/>
  <c r="F211" i="32"/>
  <c r="O55" i="31"/>
  <c r="G243" i="32"/>
  <c r="H275" i="32"/>
  <c r="O63" i="31"/>
  <c r="O71" i="31"/>
  <c r="I307" i="32"/>
  <c r="O79" i="31"/>
  <c r="C371" i="32"/>
  <c r="D308" i="24"/>
  <c r="C615" i="24"/>
  <c r="H19" i="32"/>
  <c r="G83" i="32"/>
  <c r="CB49" i="25"/>
  <c r="CB63" i="25" s="1"/>
  <c r="BT49" i="25"/>
  <c r="BT63" i="25" s="1"/>
  <c r="BL49" i="25"/>
  <c r="BL63" i="25" s="1"/>
  <c r="BD49" i="25"/>
  <c r="BD63" i="25" s="1"/>
  <c r="AV49" i="25"/>
  <c r="AV63" i="25" s="1"/>
  <c r="AN49" i="25"/>
  <c r="AN63" i="25" s="1"/>
  <c r="AF49" i="25"/>
  <c r="AF63" i="25" s="1"/>
  <c r="X49" i="25"/>
  <c r="X63" i="25" s="1"/>
  <c r="P49" i="25"/>
  <c r="P63" i="25" s="1"/>
  <c r="H49" i="25"/>
  <c r="H63" i="25" s="1"/>
  <c r="CA49" i="25"/>
  <c r="CA63" i="25" s="1"/>
  <c r="BS49" i="25"/>
  <c r="BS63" i="25" s="1"/>
  <c r="BK49" i="25"/>
  <c r="BK63" i="25" s="1"/>
  <c r="BC49" i="25"/>
  <c r="BC63" i="25" s="1"/>
  <c r="AU49" i="25"/>
  <c r="AU63" i="25" s="1"/>
  <c r="AM49" i="25"/>
  <c r="AM63" i="25" s="1"/>
  <c r="AE49" i="25"/>
  <c r="AE63" i="25" s="1"/>
  <c r="W49" i="25"/>
  <c r="W63" i="25" s="1"/>
  <c r="O49" i="25"/>
  <c r="O63" i="25" s="1"/>
  <c r="G49" i="25"/>
  <c r="G63" i="25" s="1"/>
  <c r="BZ49" i="25"/>
  <c r="BZ63" i="25" s="1"/>
  <c r="BR49" i="25"/>
  <c r="BR63" i="25" s="1"/>
  <c r="BJ49" i="25"/>
  <c r="BJ63" i="25" s="1"/>
  <c r="BB49" i="25"/>
  <c r="BB63" i="25" s="1"/>
  <c r="AT49" i="25"/>
  <c r="AT63" i="25" s="1"/>
  <c r="AL49" i="25"/>
  <c r="AL63" i="25" s="1"/>
  <c r="AD49" i="25"/>
  <c r="AD63" i="25" s="1"/>
  <c r="V49" i="25"/>
  <c r="V63" i="25" s="1"/>
  <c r="N49" i="25"/>
  <c r="N63" i="25" s="1"/>
  <c r="F49" i="25"/>
  <c r="F63" i="25" s="1"/>
  <c r="BX49" i="25"/>
  <c r="BX63" i="25" s="1"/>
  <c r="BP49" i="25"/>
  <c r="BP63" i="25" s="1"/>
  <c r="BH49" i="25"/>
  <c r="BH63" i="25" s="1"/>
  <c r="AZ49" i="25"/>
  <c r="AZ63" i="25" s="1"/>
  <c r="AR49" i="25"/>
  <c r="AR63" i="25" s="1"/>
  <c r="AJ49" i="25"/>
  <c r="AJ63" i="25" s="1"/>
  <c r="AB49" i="25"/>
  <c r="AB63" i="25" s="1"/>
  <c r="T49" i="25"/>
  <c r="T63" i="25" s="1"/>
  <c r="L49" i="25"/>
  <c r="L63" i="25" s="1"/>
  <c r="D49" i="25"/>
  <c r="D63" i="25" s="1"/>
  <c r="BW49" i="25"/>
  <c r="BW63" i="25" s="1"/>
  <c r="BO49" i="25"/>
  <c r="BO63" i="25" s="1"/>
  <c r="BG49" i="25"/>
  <c r="BG63" i="25" s="1"/>
  <c r="AY49" i="25"/>
  <c r="AY63" i="25" s="1"/>
  <c r="AQ49" i="25"/>
  <c r="AQ63" i="25" s="1"/>
  <c r="AI49" i="25"/>
  <c r="AI63" i="25" s="1"/>
  <c r="AA49" i="25"/>
  <c r="AA63" i="25" s="1"/>
  <c r="S49" i="25"/>
  <c r="S63" i="25" s="1"/>
  <c r="K49" i="25"/>
  <c r="K63" i="25" s="1"/>
  <c r="C49" i="25"/>
  <c r="CC49" i="25"/>
  <c r="CC63" i="25" s="1"/>
  <c r="BF49" i="25"/>
  <c r="BF63" i="25" s="1"/>
  <c r="AK49" i="25"/>
  <c r="AK63" i="25" s="1"/>
  <c r="Q49" i="25"/>
  <c r="Q63" i="25" s="1"/>
  <c r="BY49" i="25"/>
  <c r="BY63" i="25" s="1"/>
  <c r="BE49" i="25"/>
  <c r="BE63" i="25" s="1"/>
  <c r="AH49" i="25"/>
  <c r="AH63" i="25" s="1"/>
  <c r="M49" i="25"/>
  <c r="M63" i="25" s="1"/>
  <c r="BQ49" i="25"/>
  <c r="BQ63" i="25" s="1"/>
  <c r="AW49" i="25"/>
  <c r="AW63" i="25" s="1"/>
  <c r="Z49" i="25"/>
  <c r="Z63" i="25" s="1"/>
  <c r="E49" i="25"/>
  <c r="E63" i="25" s="1"/>
  <c r="BN49" i="25"/>
  <c r="BN63" i="25" s="1"/>
  <c r="AS49" i="25"/>
  <c r="AS63" i="25" s="1"/>
  <c r="Y49" i="25"/>
  <c r="Y63" i="25" s="1"/>
  <c r="BI49" i="25"/>
  <c r="BI63" i="25" s="1"/>
  <c r="R49" i="25"/>
  <c r="R63" i="25" s="1"/>
  <c r="BA49" i="25"/>
  <c r="BA63" i="25" s="1"/>
  <c r="J49" i="25"/>
  <c r="J63" i="25" s="1"/>
  <c r="AX49" i="25"/>
  <c r="AX63" i="25" s="1"/>
  <c r="I49" i="25"/>
  <c r="I63" i="25" s="1"/>
  <c r="CD49" i="25"/>
  <c r="AO49" i="25"/>
  <c r="AO63" i="25" s="1"/>
  <c r="BV49" i="25"/>
  <c r="BV63" i="25" s="1"/>
  <c r="AG49" i="25"/>
  <c r="AG63" i="25" s="1"/>
  <c r="U49" i="25"/>
  <c r="U63" i="25" s="1"/>
  <c r="BU49" i="25"/>
  <c r="BU63" i="25" s="1"/>
  <c r="BM49" i="25"/>
  <c r="BM63" i="25" s="1"/>
  <c r="O8" i="31"/>
  <c r="I19" i="32"/>
  <c r="O24" i="31"/>
  <c r="D115" i="32"/>
  <c r="O32" i="31"/>
  <c r="E147" i="32"/>
  <c r="O40" i="31"/>
  <c r="F179" i="32"/>
  <c r="O48" i="31"/>
  <c r="G211" i="32"/>
  <c r="O56" i="31"/>
  <c r="H243" i="32"/>
  <c r="O64" i="31"/>
  <c r="I275" i="32"/>
  <c r="O72" i="31"/>
  <c r="C339" i="32"/>
  <c r="O80" i="31"/>
  <c r="D371" i="32"/>
  <c r="G612" i="24"/>
  <c r="O9" i="31"/>
  <c r="C51" i="32"/>
  <c r="D83" i="32"/>
  <c r="O17" i="31"/>
  <c r="O25" i="31"/>
  <c r="E115" i="32"/>
  <c r="O33" i="31"/>
  <c r="F147" i="32"/>
  <c r="O41" i="31"/>
  <c r="G179" i="32"/>
  <c r="O49" i="31"/>
  <c r="H211" i="32"/>
  <c r="O57" i="31"/>
  <c r="I243" i="32"/>
  <c r="O65" i="31"/>
  <c r="C307" i="32"/>
  <c r="O73" i="31"/>
  <c r="D339" i="32"/>
  <c r="CD85" i="24"/>
  <c r="CF91" i="24"/>
  <c r="D32" i="6"/>
  <c r="AC49" i="25"/>
  <c r="AC63" i="25" s="1"/>
  <c r="E234" i="25"/>
  <c r="CE70" i="25"/>
  <c r="D342" i="25"/>
  <c r="D351" i="25" s="1"/>
  <c r="C52" i="24" l="1"/>
  <c r="G204" i="32"/>
  <c r="C112" i="8"/>
  <c r="BM2" i="30"/>
  <c r="BL2" i="30"/>
  <c r="D360" i="24"/>
  <c r="C111" i="8"/>
  <c r="H35" i="31"/>
  <c r="D12" i="17"/>
  <c r="X52" i="24"/>
  <c r="X67" i="24" s="1"/>
  <c r="L52" i="24"/>
  <c r="L67" i="24" s="1"/>
  <c r="BX52" i="24"/>
  <c r="BX67" i="24" s="1"/>
  <c r="M75" i="31" s="1"/>
  <c r="AV52" i="24"/>
  <c r="AV67" i="24" s="1"/>
  <c r="D76" i="32"/>
  <c r="F300" i="32"/>
  <c r="H18" i="31"/>
  <c r="H7" i="31"/>
  <c r="C300" i="32"/>
  <c r="H39" i="31"/>
  <c r="D300" i="32"/>
  <c r="H71" i="31"/>
  <c r="I12" i="32"/>
  <c r="H45" i="31"/>
  <c r="G76" i="32"/>
  <c r="F44" i="32"/>
  <c r="H55" i="31"/>
  <c r="E12" i="32"/>
  <c r="H268" i="32"/>
  <c r="H53" i="31"/>
  <c r="E332" i="32"/>
  <c r="D332" i="32"/>
  <c r="H23" i="31"/>
  <c r="H37" i="31"/>
  <c r="L86" i="25"/>
  <c r="C678" i="25" s="1"/>
  <c r="BZ53" i="25"/>
  <c r="BZ68" i="25" s="1"/>
  <c r="BZ86" i="25" s="1"/>
  <c r="BR53" i="25"/>
  <c r="BR68" i="25" s="1"/>
  <c r="BR86" i="25" s="1"/>
  <c r="BJ53" i="25"/>
  <c r="BJ68" i="25" s="1"/>
  <c r="BJ86" i="25" s="1"/>
  <c r="BB53" i="25"/>
  <c r="BB68" i="25" s="1"/>
  <c r="BB86" i="25" s="1"/>
  <c r="C633" i="25" s="1"/>
  <c r="AT53" i="25"/>
  <c r="AT68" i="25" s="1"/>
  <c r="AT86" i="25" s="1"/>
  <c r="AL53" i="25"/>
  <c r="AL68" i="25" s="1"/>
  <c r="AL86" i="25" s="1"/>
  <c r="AD53" i="25"/>
  <c r="AD68" i="25" s="1"/>
  <c r="AD86" i="25" s="1"/>
  <c r="C696" i="25" s="1"/>
  <c r="V53" i="25"/>
  <c r="V68" i="25" s="1"/>
  <c r="V86" i="25" s="1"/>
  <c r="C688" i="25" s="1"/>
  <c r="N53" i="25"/>
  <c r="N68" i="25" s="1"/>
  <c r="N86" i="25" s="1"/>
  <c r="F53" i="25"/>
  <c r="F68" i="25" s="1"/>
  <c r="F86" i="25" s="1"/>
  <c r="BV53" i="25"/>
  <c r="BV68" i="25" s="1"/>
  <c r="BV86" i="25" s="1"/>
  <c r="BY53" i="25"/>
  <c r="BY68" i="25" s="1"/>
  <c r="BY86" i="25" s="1"/>
  <c r="BQ53" i="25"/>
  <c r="BQ68" i="25" s="1"/>
  <c r="BQ86" i="25" s="1"/>
  <c r="BI53" i="25"/>
  <c r="BI68" i="25" s="1"/>
  <c r="BI86" i="25" s="1"/>
  <c r="BA53" i="25"/>
  <c r="BA68" i="25" s="1"/>
  <c r="BA86" i="25" s="1"/>
  <c r="C631" i="25" s="1"/>
  <c r="AS53" i="25"/>
  <c r="AS68" i="25" s="1"/>
  <c r="AS86" i="25" s="1"/>
  <c r="AK53" i="25"/>
  <c r="AK68" i="25" s="1"/>
  <c r="AK86" i="25" s="1"/>
  <c r="AC53" i="25"/>
  <c r="AC68" i="25" s="1"/>
  <c r="AC86" i="25" s="1"/>
  <c r="U53" i="25"/>
  <c r="U68" i="25" s="1"/>
  <c r="U86" i="25" s="1"/>
  <c r="M53" i="25"/>
  <c r="M68" i="25" s="1"/>
  <c r="M86" i="25" s="1"/>
  <c r="E53" i="25"/>
  <c r="E68" i="25" s="1"/>
  <c r="E86" i="25" s="1"/>
  <c r="C671" i="25" s="1"/>
  <c r="BN53" i="25"/>
  <c r="BN68" i="25" s="1"/>
  <c r="BN86" i="25" s="1"/>
  <c r="AH53" i="25"/>
  <c r="AH68" i="25" s="1"/>
  <c r="AH86" i="25" s="1"/>
  <c r="R53" i="25"/>
  <c r="R68" i="25" s="1"/>
  <c r="R86" i="25" s="1"/>
  <c r="BM53" i="25"/>
  <c r="BM68" i="25" s="1"/>
  <c r="BM86" i="25" s="1"/>
  <c r="AO53" i="25"/>
  <c r="AO68" i="25" s="1"/>
  <c r="AO86" i="25" s="1"/>
  <c r="Q53" i="25"/>
  <c r="Q68" i="25" s="1"/>
  <c r="Q86" i="25" s="1"/>
  <c r="BX53" i="25"/>
  <c r="BX68" i="25" s="1"/>
  <c r="BX86" i="25" s="1"/>
  <c r="BP53" i="25"/>
  <c r="BP68" i="25" s="1"/>
  <c r="BP86" i="25" s="1"/>
  <c r="BH53" i="25"/>
  <c r="BH68" i="25" s="1"/>
  <c r="BH86" i="25" s="1"/>
  <c r="B72" i="15" s="1"/>
  <c r="AZ53" i="25"/>
  <c r="AZ68" i="25" s="1"/>
  <c r="AZ86" i="25" s="1"/>
  <c r="C629" i="25" s="1"/>
  <c r="AR53" i="25"/>
  <c r="AR68" i="25" s="1"/>
  <c r="AR86" i="25" s="1"/>
  <c r="AJ53" i="25"/>
  <c r="AJ68" i="25" s="1"/>
  <c r="AJ86" i="25" s="1"/>
  <c r="AB53" i="25"/>
  <c r="AB68" i="25" s="1"/>
  <c r="AB86" i="25" s="1"/>
  <c r="T53" i="25"/>
  <c r="T68" i="25" s="1"/>
  <c r="T86" i="25" s="1"/>
  <c r="L53" i="25"/>
  <c r="L68" i="25" s="1"/>
  <c r="D53" i="25"/>
  <c r="D68" i="25" s="1"/>
  <c r="D86" i="25" s="1"/>
  <c r="CD53" i="25"/>
  <c r="BF53" i="25"/>
  <c r="BF68" i="25" s="1"/>
  <c r="BF86" i="25" s="1"/>
  <c r="B70" i="15" s="1"/>
  <c r="AX53" i="25"/>
  <c r="AX68" i="25" s="1"/>
  <c r="AX86" i="25" s="1"/>
  <c r="Z53" i="25"/>
  <c r="Z68" i="25" s="1"/>
  <c r="Z86" i="25" s="1"/>
  <c r="J53" i="25"/>
  <c r="J68" i="25" s="1"/>
  <c r="J86" i="25" s="1"/>
  <c r="Y53" i="25"/>
  <c r="Y68" i="25" s="1"/>
  <c r="Y86" i="25" s="1"/>
  <c r="BW53" i="25"/>
  <c r="BW68" i="25" s="1"/>
  <c r="BW86" i="25" s="1"/>
  <c r="BO53" i="25"/>
  <c r="BO68" i="25" s="1"/>
  <c r="BO86" i="25" s="1"/>
  <c r="C628" i="25" s="1"/>
  <c r="BG53" i="25"/>
  <c r="BG68" i="25" s="1"/>
  <c r="BG86" i="25" s="1"/>
  <c r="AY53" i="25"/>
  <c r="AY68" i="25" s="1"/>
  <c r="AY86" i="25" s="1"/>
  <c r="AQ53" i="25"/>
  <c r="AQ68" i="25" s="1"/>
  <c r="AQ86" i="25" s="1"/>
  <c r="AI53" i="25"/>
  <c r="AI68" i="25" s="1"/>
  <c r="AI86" i="25" s="1"/>
  <c r="AA53" i="25"/>
  <c r="AA68" i="25" s="1"/>
  <c r="AA86" i="25" s="1"/>
  <c r="C693" i="25" s="1"/>
  <c r="S53" i="25"/>
  <c r="S68" i="25" s="1"/>
  <c r="S86" i="25" s="1"/>
  <c r="K53" i="25"/>
  <c r="K68" i="25" s="1"/>
  <c r="K86" i="25" s="1"/>
  <c r="C677" i="25" s="1"/>
  <c r="C53" i="25"/>
  <c r="AP53" i="25"/>
  <c r="AP68" i="25" s="1"/>
  <c r="AP86" i="25" s="1"/>
  <c r="C708" i="25" s="1"/>
  <c r="CC53" i="25"/>
  <c r="CC68" i="25" s="1"/>
  <c r="CC86" i="25" s="1"/>
  <c r="BU53" i="25"/>
  <c r="BU68" i="25" s="1"/>
  <c r="BU86" i="25" s="1"/>
  <c r="BE53" i="25"/>
  <c r="BE68" i="25" s="1"/>
  <c r="BE86" i="25" s="1"/>
  <c r="AW53" i="25"/>
  <c r="AW68" i="25" s="1"/>
  <c r="AW86" i="25" s="1"/>
  <c r="AG53" i="25"/>
  <c r="AG68" i="25" s="1"/>
  <c r="AG86" i="25" s="1"/>
  <c r="I53" i="25"/>
  <c r="I68" i="25" s="1"/>
  <c r="I86" i="25" s="1"/>
  <c r="CB53" i="25"/>
  <c r="CB68" i="25" s="1"/>
  <c r="CB86" i="25" s="1"/>
  <c r="BT53" i="25"/>
  <c r="BT68" i="25" s="1"/>
  <c r="BT86" i="25" s="1"/>
  <c r="BL53" i="25"/>
  <c r="BL68" i="25" s="1"/>
  <c r="BL86" i="25" s="1"/>
  <c r="BD53" i="25"/>
  <c r="BD68" i="25" s="1"/>
  <c r="BD86" i="25" s="1"/>
  <c r="AV53" i="25"/>
  <c r="AV68" i="25" s="1"/>
  <c r="AV86" i="25" s="1"/>
  <c r="AN53" i="25"/>
  <c r="AN68" i="25" s="1"/>
  <c r="AN86" i="25" s="1"/>
  <c r="AF53" i="25"/>
  <c r="AF68" i="25" s="1"/>
  <c r="AF86" i="25" s="1"/>
  <c r="X53" i="25"/>
  <c r="X68" i="25" s="1"/>
  <c r="X86" i="25" s="1"/>
  <c r="P53" i="25"/>
  <c r="P68" i="25" s="1"/>
  <c r="P86" i="25" s="1"/>
  <c r="H53" i="25"/>
  <c r="H68" i="25" s="1"/>
  <c r="H86" i="25" s="1"/>
  <c r="CA53" i="25"/>
  <c r="CA68" i="25" s="1"/>
  <c r="CA86" i="25" s="1"/>
  <c r="BS53" i="25"/>
  <c r="BS68" i="25" s="1"/>
  <c r="BS86" i="25" s="1"/>
  <c r="BK53" i="25"/>
  <c r="BK68" i="25" s="1"/>
  <c r="BK86" i="25" s="1"/>
  <c r="BC53" i="25"/>
  <c r="BC68" i="25" s="1"/>
  <c r="BC86" i="25" s="1"/>
  <c r="AU53" i="25"/>
  <c r="AU68" i="25" s="1"/>
  <c r="AU86" i="25" s="1"/>
  <c r="AM53" i="25"/>
  <c r="AM68" i="25" s="1"/>
  <c r="AM86" i="25" s="1"/>
  <c r="AE53" i="25"/>
  <c r="AE68" i="25" s="1"/>
  <c r="AE86" i="25" s="1"/>
  <c r="W53" i="25"/>
  <c r="W68" i="25" s="1"/>
  <c r="W86" i="25" s="1"/>
  <c r="O53" i="25"/>
  <c r="O68" i="25" s="1"/>
  <c r="O86" i="25" s="1"/>
  <c r="G53" i="25"/>
  <c r="G68" i="25" s="1"/>
  <c r="G86" i="25" s="1"/>
  <c r="C167" i="8"/>
  <c r="H40" i="31"/>
  <c r="H6" i="31"/>
  <c r="H49" i="31"/>
  <c r="H76" i="32"/>
  <c r="H50" i="31"/>
  <c r="H28" i="31"/>
  <c r="H78" i="31"/>
  <c r="H47" i="31"/>
  <c r="C140" i="32"/>
  <c r="H29" i="31"/>
  <c r="E204" i="32"/>
  <c r="E140" i="32"/>
  <c r="F76" i="32"/>
  <c r="C76" i="32"/>
  <c r="D236" i="32"/>
  <c r="H72" i="31"/>
  <c r="D108" i="32"/>
  <c r="H15" i="31"/>
  <c r="H25" i="31"/>
  <c r="F108" i="32"/>
  <c r="C364" i="32"/>
  <c r="H44" i="32"/>
  <c r="D268" i="32"/>
  <c r="H236" i="32"/>
  <c r="F268" i="32"/>
  <c r="F236" i="32"/>
  <c r="X85" i="24"/>
  <c r="C689" i="24" s="1"/>
  <c r="F140" i="32"/>
  <c r="F12" i="32"/>
  <c r="D172" i="32"/>
  <c r="H44" i="31"/>
  <c r="BT52" i="24"/>
  <c r="BT67" i="24" s="1"/>
  <c r="BT85" i="24" s="1"/>
  <c r="C84" i="15" s="1"/>
  <c r="G84" i="15" s="1"/>
  <c r="D12" i="32"/>
  <c r="E300" i="32"/>
  <c r="I140" i="32"/>
  <c r="G140" i="32"/>
  <c r="H13" i="31"/>
  <c r="G300" i="32"/>
  <c r="E52" i="24"/>
  <c r="E67" i="24" s="1"/>
  <c r="M4" i="31" s="1"/>
  <c r="AB52" i="24"/>
  <c r="AB67" i="24" s="1"/>
  <c r="G113" i="32" s="1"/>
  <c r="CA52" i="24"/>
  <c r="CA67" i="24" s="1"/>
  <c r="M78" i="31" s="1"/>
  <c r="CE62" i="24"/>
  <c r="I364" i="32" s="1"/>
  <c r="BE52" i="24"/>
  <c r="BE67" i="24" s="1"/>
  <c r="M56" i="31" s="1"/>
  <c r="BL52" i="24"/>
  <c r="BL67" i="24" s="1"/>
  <c r="H273" i="32" s="1"/>
  <c r="S52" i="24"/>
  <c r="S67" i="24" s="1"/>
  <c r="M18" i="31" s="1"/>
  <c r="AD52" i="24"/>
  <c r="AD67" i="24" s="1"/>
  <c r="M29" i="31" s="1"/>
  <c r="BJ52" i="24"/>
  <c r="BJ67" i="24" s="1"/>
  <c r="F273" i="32" s="1"/>
  <c r="BW52" i="24"/>
  <c r="BW67" i="24" s="1"/>
  <c r="BW85" i="24" s="1"/>
  <c r="C87" i="15" s="1"/>
  <c r="G87" i="15" s="1"/>
  <c r="F332" i="32"/>
  <c r="I268" i="32"/>
  <c r="D364" i="32"/>
  <c r="AL52" i="24"/>
  <c r="AL67" i="24" s="1"/>
  <c r="M37" i="31" s="1"/>
  <c r="BM52" i="24"/>
  <c r="BM67" i="24" s="1"/>
  <c r="BM85" i="24" s="1"/>
  <c r="I277" i="32" s="1"/>
  <c r="E44" i="32"/>
  <c r="C268" i="32"/>
  <c r="D140" i="32"/>
  <c r="AV85" i="24"/>
  <c r="C60" i="15" s="1"/>
  <c r="H11" i="31"/>
  <c r="H172" i="32"/>
  <c r="G172" i="32"/>
  <c r="G108" i="32"/>
  <c r="H300" i="32"/>
  <c r="H332" i="32"/>
  <c r="E268" i="32"/>
  <c r="O52" i="24"/>
  <c r="O67" i="24" s="1"/>
  <c r="O85" i="24" s="1"/>
  <c r="C680" i="24" s="1"/>
  <c r="AH52" i="24"/>
  <c r="AH67" i="24" s="1"/>
  <c r="AH85" i="24" s="1"/>
  <c r="C699" i="24" s="1"/>
  <c r="I236" i="32"/>
  <c r="CE48" i="24"/>
  <c r="W52" i="24"/>
  <c r="W67" i="24" s="1"/>
  <c r="I81" i="32" s="1"/>
  <c r="AP52" i="24"/>
  <c r="AP67" i="24" s="1"/>
  <c r="AP85" i="24" s="1"/>
  <c r="G181" i="32" s="1"/>
  <c r="AU52" i="24"/>
  <c r="AU67" i="24" s="1"/>
  <c r="AU85" i="24" s="1"/>
  <c r="C712" i="24" s="1"/>
  <c r="K52" i="24"/>
  <c r="K67" i="24" s="1"/>
  <c r="K85" i="24" s="1"/>
  <c r="D26" i="17"/>
  <c r="K612" i="24"/>
  <c r="B54" i="15"/>
  <c r="F54" i="15" s="1"/>
  <c r="D350" i="24"/>
  <c r="M79" i="31"/>
  <c r="C369" i="32"/>
  <c r="CB85" i="24"/>
  <c r="M47" i="31"/>
  <c r="F209" i="32"/>
  <c r="BA52" i="24"/>
  <c r="BA67" i="24" s="1"/>
  <c r="AR52" i="24"/>
  <c r="AR67" i="24" s="1"/>
  <c r="BH52" i="24"/>
  <c r="BH67" i="24" s="1"/>
  <c r="AT52" i="24"/>
  <c r="AT67" i="24" s="1"/>
  <c r="AE52" i="24"/>
  <c r="AE67" i="24" s="1"/>
  <c r="I52" i="24"/>
  <c r="I67" i="24" s="1"/>
  <c r="BU52" i="24"/>
  <c r="BU67" i="24" s="1"/>
  <c r="AX52" i="24"/>
  <c r="AX67" i="24" s="1"/>
  <c r="AA52" i="24"/>
  <c r="AA67" i="24" s="1"/>
  <c r="C50" i="8"/>
  <c r="D352" i="24"/>
  <c r="C103" i="8" s="1"/>
  <c r="F337" i="32"/>
  <c r="AF52" i="24"/>
  <c r="AF67" i="24" s="1"/>
  <c r="BQ52" i="24"/>
  <c r="BQ67" i="24" s="1"/>
  <c r="AS52" i="24"/>
  <c r="AS67" i="24" s="1"/>
  <c r="U52" i="24"/>
  <c r="U67" i="24" s="1"/>
  <c r="P52" i="24"/>
  <c r="P67" i="24" s="1"/>
  <c r="BB52" i="24"/>
  <c r="BB67" i="24" s="1"/>
  <c r="AM52" i="24"/>
  <c r="AM67" i="24" s="1"/>
  <c r="Q52" i="24"/>
  <c r="Q67" i="24" s="1"/>
  <c r="CC52" i="24"/>
  <c r="CC67" i="24" s="1"/>
  <c r="BF52" i="24"/>
  <c r="BF67" i="24" s="1"/>
  <c r="AI52" i="24"/>
  <c r="AI67" i="24" s="1"/>
  <c r="M52" i="24"/>
  <c r="M67" i="24" s="1"/>
  <c r="AJ52" i="24"/>
  <c r="AJ67" i="24" s="1"/>
  <c r="BY52" i="24"/>
  <c r="BY67" i="24" s="1"/>
  <c r="BD52" i="24"/>
  <c r="BD67" i="24" s="1"/>
  <c r="AK52" i="24"/>
  <c r="AK67" i="24" s="1"/>
  <c r="E373" i="32"/>
  <c r="C94" i="15"/>
  <c r="AZ52" i="24"/>
  <c r="AZ67" i="24" s="1"/>
  <c r="BP52" i="24"/>
  <c r="BP67" i="24" s="1"/>
  <c r="C137" i="8"/>
  <c r="E380" i="24"/>
  <c r="F52" i="24"/>
  <c r="F67" i="24" s="1"/>
  <c r="BR52" i="24"/>
  <c r="BR67" i="24" s="1"/>
  <c r="BC52" i="24"/>
  <c r="BC67" i="24" s="1"/>
  <c r="AG52" i="24"/>
  <c r="AG67" i="24" s="1"/>
  <c r="J52" i="24"/>
  <c r="J67" i="24" s="1"/>
  <c r="BV52" i="24"/>
  <c r="BV67" i="24" s="1"/>
  <c r="AY52" i="24"/>
  <c r="AY67" i="24" s="1"/>
  <c r="AN52" i="24"/>
  <c r="AN67" i="24" s="1"/>
  <c r="M23" i="31"/>
  <c r="C113" i="32"/>
  <c r="CE49" i="25"/>
  <c r="C63" i="25"/>
  <c r="Y52" i="24"/>
  <c r="Y67" i="24" s="1"/>
  <c r="BN52" i="24"/>
  <c r="BN67" i="24" s="1"/>
  <c r="AC52" i="24"/>
  <c r="AC67" i="24" s="1"/>
  <c r="D52" i="24"/>
  <c r="D67" i="24" s="1"/>
  <c r="BI52" i="24"/>
  <c r="BI67" i="24" s="1"/>
  <c r="N52" i="24"/>
  <c r="N67" i="24" s="1"/>
  <c r="BZ52" i="24"/>
  <c r="BZ67" i="24" s="1"/>
  <c r="BK52" i="24"/>
  <c r="BK67" i="24" s="1"/>
  <c r="AO52" i="24"/>
  <c r="AO67" i="24" s="1"/>
  <c r="R52" i="24"/>
  <c r="R67" i="24" s="1"/>
  <c r="CD52" i="24"/>
  <c r="BG52" i="24"/>
  <c r="BG67" i="24" s="1"/>
  <c r="M11" i="31"/>
  <c r="E49" i="32"/>
  <c r="AQ52" i="24"/>
  <c r="AQ67" i="24" s="1"/>
  <c r="H52" i="24"/>
  <c r="H67" i="24" s="1"/>
  <c r="T52" i="24"/>
  <c r="T67" i="24" s="1"/>
  <c r="V52" i="24"/>
  <c r="V67" i="24" s="1"/>
  <c r="G52" i="24"/>
  <c r="G67" i="24" s="1"/>
  <c r="BS52" i="24"/>
  <c r="BS67" i="24" s="1"/>
  <c r="AW52" i="24"/>
  <c r="AW67" i="24" s="1"/>
  <c r="Z52" i="24"/>
  <c r="Z67" i="24" s="1"/>
  <c r="BO52" i="24"/>
  <c r="BO67" i="24" s="1"/>
  <c r="L85" i="24"/>
  <c r="C113" i="8" l="1"/>
  <c r="D367" i="24"/>
  <c r="BX85" i="24"/>
  <c r="E85" i="24"/>
  <c r="C17" i="15" s="1"/>
  <c r="G17" i="15" s="1"/>
  <c r="S85" i="24"/>
  <c r="E17" i="32"/>
  <c r="M61" i="31"/>
  <c r="C691" i="25"/>
  <c r="B37" i="15"/>
  <c r="B52" i="15"/>
  <c r="C706" i="25"/>
  <c r="C705" i="25"/>
  <c r="B51" i="15"/>
  <c r="H51" i="15" s="1"/>
  <c r="I51" i="15" s="1"/>
  <c r="B93" i="15"/>
  <c r="C621" i="25"/>
  <c r="B35" i="15"/>
  <c r="F35" i="15" s="1"/>
  <c r="C689" i="25"/>
  <c r="C638" i="25"/>
  <c r="B76" i="15"/>
  <c r="B58" i="15"/>
  <c r="C712" i="25"/>
  <c r="B23" i="15"/>
  <c r="C637" i="25"/>
  <c r="B34" i="15"/>
  <c r="F34" i="15" s="1"/>
  <c r="C630" i="25"/>
  <c r="C623" i="25"/>
  <c r="B92" i="15"/>
  <c r="F92" i="15" s="1"/>
  <c r="C622" i="25"/>
  <c r="B80" i="15"/>
  <c r="H80" i="15" s="1"/>
  <c r="I80" i="15" s="1"/>
  <c r="B21" i="15"/>
  <c r="F21" i="15" s="1"/>
  <c r="C675" i="25"/>
  <c r="B87" i="15"/>
  <c r="F87" i="15" s="1"/>
  <c r="C644" i="25"/>
  <c r="B89" i="15"/>
  <c r="F89" i="15" s="1"/>
  <c r="C646" i="25"/>
  <c r="B44" i="15"/>
  <c r="H44" i="15" s="1"/>
  <c r="I44" i="15" s="1"/>
  <c r="C698" i="25"/>
  <c r="B32" i="15"/>
  <c r="F32" i="15" s="1"/>
  <c r="C686" i="25"/>
  <c r="B74" i="15"/>
  <c r="H74" i="15" s="1"/>
  <c r="I74" i="15" s="1"/>
  <c r="C618" i="25"/>
  <c r="C634" i="25"/>
  <c r="B67" i="15"/>
  <c r="B40" i="15"/>
  <c r="C694" i="25"/>
  <c r="B82" i="15"/>
  <c r="F82" i="15" s="1"/>
  <c r="C627" i="25"/>
  <c r="B60" i="15"/>
  <c r="C714" i="25"/>
  <c r="C692" i="25"/>
  <c r="B38" i="15"/>
  <c r="F38" i="15" s="1"/>
  <c r="C647" i="25"/>
  <c r="B90" i="15"/>
  <c r="F90" i="15" s="1"/>
  <c r="B19" i="15"/>
  <c r="F19" i="15" s="1"/>
  <c r="C673" i="25"/>
  <c r="C640" i="25"/>
  <c r="B83" i="15"/>
  <c r="F83" i="15" s="1"/>
  <c r="C642" i="25"/>
  <c r="B85" i="15"/>
  <c r="F85" i="15" s="1"/>
  <c r="C709" i="25"/>
  <c r="B55" i="15"/>
  <c r="H55" i="15" s="1"/>
  <c r="I55" i="15" s="1"/>
  <c r="B62" i="15"/>
  <c r="C617" i="25"/>
  <c r="C710" i="25"/>
  <c r="B56" i="15"/>
  <c r="B30" i="15"/>
  <c r="C684" i="25"/>
  <c r="C711" i="25"/>
  <c r="B57" i="15"/>
  <c r="H57" i="15" s="1"/>
  <c r="I57" i="15" s="1"/>
  <c r="B28" i="15"/>
  <c r="F28" i="15" s="1"/>
  <c r="C682" i="25"/>
  <c r="C624" i="25"/>
  <c r="B81" i="15"/>
  <c r="F81" i="15" s="1"/>
  <c r="C645" i="25"/>
  <c r="B88" i="15"/>
  <c r="F88" i="15" s="1"/>
  <c r="B59" i="15"/>
  <c r="F59" i="15" s="1"/>
  <c r="C713" i="25"/>
  <c r="B31" i="15"/>
  <c r="C685" i="25"/>
  <c r="C687" i="25"/>
  <c r="B33" i="15"/>
  <c r="B61" i="15"/>
  <c r="C632" i="25"/>
  <c r="B53" i="15"/>
  <c r="F53" i="15" s="1"/>
  <c r="C707" i="25"/>
  <c r="C672" i="25"/>
  <c r="B18" i="15"/>
  <c r="H18" i="15" s="1"/>
  <c r="I18" i="15" s="1"/>
  <c r="C636" i="25"/>
  <c r="B75" i="15"/>
  <c r="F75" i="15" s="1"/>
  <c r="C701" i="25"/>
  <c r="B47" i="15"/>
  <c r="F47" i="15" s="1"/>
  <c r="C702" i="25"/>
  <c r="B48" i="15"/>
  <c r="F48" i="15" s="1"/>
  <c r="B49" i="15"/>
  <c r="F49" i="15" s="1"/>
  <c r="C703" i="25"/>
  <c r="C625" i="25"/>
  <c r="B68" i="15"/>
  <c r="B27" i="15"/>
  <c r="F27" i="15" s="1"/>
  <c r="C681" i="25"/>
  <c r="B91" i="15"/>
  <c r="F91" i="15" s="1"/>
  <c r="H91" i="15" s="1"/>
  <c r="I91" i="15" s="1"/>
  <c r="C648" i="25"/>
  <c r="C626" i="25"/>
  <c r="B63" i="15"/>
  <c r="F63" i="15" s="1"/>
  <c r="C700" i="25"/>
  <c r="B46" i="15"/>
  <c r="H46" i="15" s="1"/>
  <c r="I46" i="15" s="1"/>
  <c r="C697" i="25"/>
  <c r="B43" i="15"/>
  <c r="F43" i="15" s="1"/>
  <c r="C670" i="25"/>
  <c r="B16" i="15"/>
  <c r="F16" i="15" s="1"/>
  <c r="C690" i="25"/>
  <c r="B36" i="15"/>
  <c r="F36" i="15" s="1"/>
  <c r="B25" i="15"/>
  <c r="C679" i="25"/>
  <c r="C699" i="25"/>
  <c r="B45" i="15"/>
  <c r="F45" i="15" s="1"/>
  <c r="C683" i="25"/>
  <c r="B29" i="15"/>
  <c r="F29" i="15" s="1"/>
  <c r="C643" i="25"/>
  <c r="B86" i="15"/>
  <c r="F86" i="15" s="1"/>
  <c r="C676" i="25"/>
  <c r="B22" i="15"/>
  <c r="C695" i="25"/>
  <c r="B41" i="15"/>
  <c r="F41" i="15" s="1"/>
  <c r="C615" i="25"/>
  <c r="B69" i="15"/>
  <c r="F69" i="15" s="1"/>
  <c r="C639" i="25"/>
  <c r="B77" i="15"/>
  <c r="F77" i="15" s="1"/>
  <c r="C680" i="25"/>
  <c r="B26" i="15"/>
  <c r="H26" i="15" s="1"/>
  <c r="I26" i="15" s="1"/>
  <c r="C674" i="25"/>
  <c r="B20" i="15"/>
  <c r="H20" i="15" s="1"/>
  <c r="I20" i="15" s="1"/>
  <c r="B84" i="15"/>
  <c r="F84" i="15" s="1"/>
  <c r="C641" i="25"/>
  <c r="C619" i="25"/>
  <c r="B71" i="15"/>
  <c r="B78" i="15"/>
  <c r="F78" i="15" s="1"/>
  <c r="C620" i="25"/>
  <c r="B73" i="15"/>
  <c r="C635" i="25"/>
  <c r="C704" i="25"/>
  <c r="B50" i="15"/>
  <c r="F50" i="15" s="1"/>
  <c r="B65" i="15"/>
  <c r="F65" i="15" s="1"/>
  <c r="B66" i="15"/>
  <c r="B24" i="15"/>
  <c r="F24" i="15" s="1"/>
  <c r="H24" i="15" s="1"/>
  <c r="I24" i="15" s="1"/>
  <c r="B42" i="15"/>
  <c r="F42" i="15" s="1"/>
  <c r="B17" i="15"/>
  <c r="F17" i="15" s="1"/>
  <c r="B39" i="15"/>
  <c r="F39" i="15" s="1"/>
  <c r="B79" i="15"/>
  <c r="F79" i="15" s="1"/>
  <c r="B64" i="15"/>
  <c r="F64" i="15" s="1"/>
  <c r="C68" i="25"/>
  <c r="CE68" i="25" s="1"/>
  <c r="CE53" i="25"/>
  <c r="M63" i="31"/>
  <c r="BL85" i="24"/>
  <c r="C637" i="24" s="1"/>
  <c r="M22" i="31"/>
  <c r="AD85" i="24"/>
  <c r="BJ85" i="24"/>
  <c r="C617" i="24" s="1"/>
  <c r="M71" i="31"/>
  <c r="M27" i="31"/>
  <c r="AB85" i="24"/>
  <c r="C693" i="24" s="1"/>
  <c r="E81" i="32"/>
  <c r="E337" i="32"/>
  <c r="AL85" i="24"/>
  <c r="C181" i="32" s="1"/>
  <c r="I305" i="32"/>
  <c r="C36" i="15"/>
  <c r="G36" i="15" s="1"/>
  <c r="D49" i="32"/>
  <c r="C117" i="32"/>
  <c r="M74" i="31"/>
  <c r="M10" i="31"/>
  <c r="C640" i="24"/>
  <c r="I309" i="32"/>
  <c r="F145" i="32"/>
  <c r="I113" i="32"/>
  <c r="C27" i="15"/>
  <c r="G27" i="15" s="1"/>
  <c r="H53" i="32"/>
  <c r="C713" i="24"/>
  <c r="CA85" i="24"/>
  <c r="I341" i="32" s="1"/>
  <c r="M14" i="31"/>
  <c r="F213" i="32"/>
  <c r="I337" i="32"/>
  <c r="H49" i="32"/>
  <c r="C643" i="24"/>
  <c r="E341" i="32"/>
  <c r="BE85" i="24"/>
  <c r="H245" i="32" s="1"/>
  <c r="H241" i="32"/>
  <c r="F149" i="32"/>
  <c r="M33" i="31"/>
  <c r="C46" i="15"/>
  <c r="G46" i="15" s="1"/>
  <c r="C177" i="32"/>
  <c r="C638" i="24"/>
  <c r="C77" i="15"/>
  <c r="G77" i="15" s="1"/>
  <c r="E209" i="32"/>
  <c r="M46" i="31"/>
  <c r="C707" i="24"/>
  <c r="G177" i="32"/>
  <c r="W85" i="24"/>
  <c r="C35" i="15" s="1"/>
  <c r="G35" i="15" s="1"/>
  <c r="C54" i="15"/>
  <c r="G54" i="15" s="1"/>
  <c r="M41" i="31"/>
  <c r="C59" i="15"/>
  <c r="G59" i="15" s="1"/>
  <c r="I273" i="32"/>
  <c r="E213" i="32"/>
  <c r="M64" i="31"/>
  <c r="M70" i="31"/>
  <c r="H305" i="32"/>
  <c r="BS85" i="24"/>
  <c r="M55" i="31"/>
  <c r="G241" i="32"/>
  <c r="BD85" i="24"/>
  <c r="M6" i="31"/>
  <c r="G85" i="24"/>
  <c r="M54" i="31"/>
  <c r="F241" i="32"/>
  <c r="BC85" i="24"/>
  <c r="M80" i="31"/>
  <c r="D369" i="32"/>
  <c r="CC85" i="24"/>
  <c r="E53" i="32"/>
  <c r="C24" i="15"/>
  <c r="G24" i="15" s="1"/>
  <c r="C677" i="24"/>
  <c r="M21" i="31"/>
  <c r="H81" i="32"/>
  <c r="V85" i="24"/>
  <c r="F33" i="15"/>
  <c r="M28" i="31"/>
  <c r="H113" i="32"/>
  <c r="AC85" i="24"/>
  <c r="F93" i="15"/>
  <c r="M69" i="31"/>
  <c r="G305" i="32"/>
  <c r="BR85" i="24"/>
  <c r="M35" i="31"/>
  <c r="H145" i="32"/>
  <c r="AJ85" i="24"/>
  <c r="F76" i="15"/>
  <c r="M16" i="31"/>
  <c r="C81" i="32"/>
  <c r="Q85" i="24"/>
  <c r="H23" i="15"/>
  <c r="I23" i="15" s="1"/>
  <c r="F23" i="15"/>
  <c r="M59" i="31"/>
  <c r="D273" i="32"/>
  <c r="BH85" i="24"/>
  <c r="M60" i="31"/>
  <c r="E273" i="32"/>
  <c r="BI85" i="24"/>
  <c r="M32" i="31"/>
  <c r="E145" i="32"/>
  <c r="AG85" i="24"/>
  <c r="M68" i="31"/>
  <c r="F305" i="32"/>
  <c r="BQ85" i="24"/>
  <c r="F56" i="15"/>
  <c r="M76" i="31"/>
  <c r="G337" i="32"/>
  <c r="BY85" i="24"/>
  <c r="M31" i="31"/>
  <c r="D145" i="32"/>
  <c r="AF85" i="24"/>
  <c r="M45" i="31"/>
  <c r="D209" i="32"/>
  <c r="AT85" i="24"/>
  <c r="H84" i="15"/>
  <c r="I84" i="15" s="1"/>
  <c r="H277" i="32"/>
  <c r="M19" i="31"/>
  <c r="F81" i="32"/>
  <c r="T85" i="24"/>
  <c r="M17" i="31"/>
  <c r="D81" i="32"/>
  <c r="R85" i="24"/>
  <c r="M5" i="31"/>
  <c r="F85" i="24"/>
  <c r="H47" i="15"/>
  <c r="I47" i="15" s="1"/>
  <c r="M12" i="31"/>
  <c r="F49" i="32"/>
  <c r="M85" i="24"/>
  <c r="M38" i="31"/>
  <c r="D177" i="32"/>
  <c r="AM85" i="24"/>
  <c r="M43" i="31"/>
  <c r="I177" i="32"/>
  <c r="AR85" i="24"/>
  <c r="M65" i="31"/>
  <c r="C305" i="32"/>
  <c r="BN85" i="24"/>
  <c r="H27" i="15"/>
  <c r="I27" i="15" s="1"/>
  <c r="M30" i="31"/>
  <c r="C145" i="32"/>
  <c r="AE85" i="24"/>
  <c r="M3" i="31"/>
  <c r="D17" i="32"/>
  <c r="D85" i="24"/>
  <c r="M66" i="31"/>
  <c r="D305" i="32"/>
  <c r="BO85" i="24"/>
  <c r="H19" i="15"/>
  <c r="I19" i="15" s="1"/>
  <c r="M53" i="31"/>
  <c r="E241" i="32"/>
  <c r="BB85" i="24"/>
  <c r="F37" i="15"/>
  <c r="C67" i="24"/>
  <c r="CE52" i="24"/>
  <c r="E85" i="32"/>
  <c r="C31" i="15"/>
  <c r="G31" i="15" s="1"/>
  <c r="C684" i="24"/>
  <c r="F70" i="15"/>
  <c r="F30" i="15"/>
  <c r="M62" i="31"/>
  <c r="G273" i="32"/>
  <c r="BK85" i="24"/>
  <c r="H85" i="15"/>
  <c r="I85" i="15" s="1"/>
  <c r="M50" i="31"/>
  <c r="I209" i="32"/>
  <c r="AY85" i="24"/>
  <c r="G94" i="15"/>
  <c r="H94" i="15" s="1"/>
  <c r="I94" i="15" s="1"/>
  <c r="H21" i="15"/>
  <c r="I21" i="15" s="1"/>
  <c r="M15" i="31"/>
  <c r="I49" i="32"/>
  <c r="P85" i="24"/>
  <c r="M49" i="31"/>
  <c r="H209" i="32"/>
  <c r="AX85" i="24"/>
  <c r="M52" i="31"/>
  <c r="D241" i="32"/>
  <c r="BA85" i="24"/>
  <c r="M57" i="31"/>
  <c r="I241" i="32"/>
  <c r="BF85" i="24"/>
  <c r="M24" i="31"/>
  <c r="D113" i="32"/>
  <c r="Y85" i="24"/>
  <c r="F52" i="15"/>
  <c r="H52" i="15"/>
  <c r="I52" i="15" s="1"/>
  <c r="M40" i="31"/>
  <c r="F177" i="32"/>
  <c r="AO85" i="24"/>
  <c r="M39" i="31"/>
  <c r="E177" i="32"/>
  <c r="AN85" i="24"/>
  <c r="F51" i="15"/>
  <c r="M26" i="31"/>
  <c r="F113" i="32"/>
  <c r="AA85" i="24"/>
  <c r="M25" i="31"/>
  <c r="E113" i="32"/>
  <c r="Z85" i="24"/>
  <c r="M77" i="31"/>
  <c r="H337" i="32"/>
  <c r="BZ85" i="24"/>
  <c r="M73" i="31"/>
  <c r="D337" i="32"/>
  <c r="BV85" i="24"/>
  <c r="M67" i="31"/>
  <c r="E305" i="32"/>
  <c r="BP85" i="24"/>
  <c r="M20" i="31"/>
  <c r="G81" i="32"/>
  <c r="U85" i="24"/>
  <c r="M72" i="31"/>
  <c r="C337" i="32"/>
  <c r="BU85" i="24"/>
  <c r="F72" i="15"/>
  <c r="M51" i="31"/>
  <c r="C241" i="32"/>
  <c r="AZ85" i="24"/>
  <c r="F57" i="15"/>
  <c r="M58" i="31"/>
  <c r="C273" i="32"/>
  <c r="BG85" i="24"/>
  <c r="E21" i="32"/>
  <c r="M42" i="31"/>
  <c r="H177" i="32"/>
  <c r="AQ85" i="24"/>
  <c r="F73" i="15"/>
  <c r="F58" i="15"/>
  <c r="H58" i="15"/>
  <c r="I58" i="15" s="1"/>
  <c r="M48" i="31"/>
  <c r="G209" i="32"/>
  <c r="AW85" i="24"/>
  <c r="M7" i="31"/>
  <c r="H17" i="32"/>
  <c r="H85" i="24"/>
  <c r="C42" i="15"/>
  <c r="G42" i="15" s="1"/>
  <c r="C695" i="24"/>
  <c r="I117" i="32"/>
  <c r="D53" i="32"/>
  <c r="C23" i="15"/>
  <c r="G23" i="15" s="1"/>
  <c r="C676" i="24"/>
  <c r="M13" i="31"/>
  <c r="G49" i="32"/>
  <c r="N85" i="24"/>
  <c r="F341" i="32"/>
  <c r="C88" i="15"/>
  <c r="G88" i="15" s="1"/>
  <c r="C644" i="24"/>
  <c r="F44" i="15"/>
  <c r="C86" i="25"/>
  <c r="CE63" i="25"/>
  <c r="M9" i="31"/>
  <c r="C49" i="32"/>
  <c r="J85" i="24"/>
  <c r="M36" i="31"/>
  <c r="I145" i="32"/>
  <c r="AK85" i="24"/>
  <c r="M34" i="31"/>
  <c r="G145" i="32"/>
  <c r="AI85" i="24"/>
  <c r="M44" i="31"/>
  <c r="C209" i="32"/>
  <c r="AS85" i="24"/>
  <c r="D616" i="25"/>
  <c r="M8" i="31"/>
  <c r="I17" i="32"/>
  <c r="I85" i="24"/>
  <c r="C92" i="15"/>
  <c r="G92" i="15" s="1"/>
  <c r="C373" i="32"/>
  <c r="C622" i="24"/>
  <c r="C74" i="15" l="1"/>
  <c r="G74" i="15" s="1"/>
  <c r="C670" i="24"/>
  <c r="H59" i="15"/>
  <c r="I59" i="15" s="1"/>
  <c r="D384" i="24"/>
  <c r="C121" i="8"/>
  <c r="H54" i="15"/>
  <c r="H36" i="15"/>
  <c r="F71" i="15"/>
  <c r="C649" i="25"/>
  <c r="M717" i="25" s="1"/>
  <c r="F55" i="15"/>
  <c r="H16" i="15"/>
  <c r="I16" i="15" s="1"/>
  <c r="F80" i="15"/>
  <c r="F20" i="15"/>
  <c r="H77" i="15"/>
  <c r="I77" i="15" s="1"/>
  <c r="F22" i="15"/>
  <c r="H83" i="15"/>
  <c r="I83" i="15" s="1"/>
  <c r="H81" i="15"/>
  <c r="I81" i="15" s="1"/>
  <c r="F26" i="15"/>
  <c r="H87" i="15"/>
  <c r="I87" i="15" s="1"/>
  <c r="F46" i="15"/>
  <c r="F74" i="15"/>
  <c r="F18" i="15"/>
  <c r="F25" i="15"/>
  <c r="C76" i="15"/>
  <c r="G76" i="15" s="1"/>
  <c r="C40" i="15"/>
  <c r="G40" i="15" s="1"/>
  <c r="C614" i="24"/>
  <c r="D615" i="24" s="1"/>
  <c r="F277" i="32"/>
  <c r="G117" i="32"/>
  <c r="C688" i="24"/>
  <c r="C703" i="24"/>
  <c r="C50" i="15"/>
  <c r="G50" i="15" s="1"/>
  <c r="C647" i="24"/>
  <c r="C69" i="15"/>
  <c r="G69" i="15" s="1"/>
  <c r="I85" i="32"/>
  <c r="C91" i="15"/>
  <c r="G91" i="15" s="1"/>
  <c r="H35" i="15"/>
  <c r="H50" i="15"/>
  <c r="I50" i="15" s="1"/>
  <c r="H149" i="32"/>
  <c r="C48" i="15"/>
  <c r="C701" i="24"/>
  <c r="C213" i="32"/>
  <c r="C57" i="15"/>
  <c r="G57" i="15" s="1"/>
  <c r="C710" i="24"/>
  <c r="C49" i="15"/>
  <c r="I149" i="32"/>
  <c r="C702" i="24"/>
  <c r="H21" i="32"/>
  <c r="C20" i="15"/>
  <c r="G20" i="15" s="1"/>
  <c r="C673" i="24"/>
  <c r="C71" i="15"/>
  <c r="G71" i="15" s="1"/>
  <c r="C277" i="32"/>
  <c r="C618" i="24"/>
  <c r="C341" i="32"/>
  <c r="C85" i="15"/>
  <c r="G85" i="15" s="1"/>
  <c r="C641" i="24"/>
  <c r="D245" i="32"/>
  <c r="C65" i="15"/>
  <c r="C630" i="24"/>
  <c r="C56" i="15"/>
  <c r="C709" i="24"/>
  <c r="I181" i="32"/>
  <c r="F309" i="32"/>
  <c r="C81" i="15"/>
  <c r="G81" i="15" s="1"/>
  <c r="C623" i="24"/>
  <c r="G21" i="32"/>
  <c r="C19" i="15"/>
  <c r="G19" i="15" s="1"/>
  <c r="C672" i="24"/>
  <c r="F117" i="32"/>
  <c r="C39" i="15"/>
  <c r="C692" i="24"/>
  <c r="I53" i="32"/>
  <c r="C28" i="15"/>
  <c r="C681" i="24"/>
  <c r="H92" i="15"/>
  <c r="I92" i="15" s="1"/>
  <c r="G85" i="32"/>
  <c r="C686" i="24"/>
  <c r="C33" i="15"/>
  <c r="H42" i="15"/>
  <c r="I42" i="15" s="1"/>
  <c r="D149" i="32"/>
  <c r="C44" i="15"/>
  <c r="G44" i="15" s="1"/>
  <c r="C697" i="24"/>
  <c r="D277" i="32"/>
  <c r="C72" i="15"/>
  <c r="C636" i="24"/>
  <c r="H341" i="32"/>
  <c r="C90" i="15"/>
  <c r="C646" i="24"/>
  <c r="M2" i="31"/>
  <c r="CE67" i="24"/>
  <c r="I369" i="32" s="1"/>
  <c r="C17" i="32"/>
  <c r="C85" i="24"/>
  <c r="H88" i="15"/>
  <c r="I88" i="15" s="1"/>
  <c r="C669" i="25"/>
  <c r="C716" i="25" s="1"/>
  <c r="B15" i="15"/>
  <c r="CE86" i="25"/>
  <c r="C717" i="25" s="1"/>
  <c r="C66" i="15"/>
  <c r="G66" i="15" s="1"/>
  <c r="E245" i="32"/>
  <c r="C632" i="24"/>
  <c r="C149" i="32"/>
  <c r="C43" i="15"/>
  <c r="C696" i="24"/>
  <c r="H181" i="32"/>
  <c r="C55" i="15"/>
  <c r="G55" i="15" s="1"/>
  <c r="C708" i="24"/>
  <c r="G149" i="32"/>
  <c r="C47" i="15"/>
  <c r="G47" i="15" s="1"/>
  <c r="C700" i="24"/>
  <c r="G213" i="32"/>
  <c r="C61" i="15"/>
  <c r="C631" i="24"/>
  <c r="E309" i="32"/>
  <c r="C80" i="15"/>
  <c r="G80" i="15" s="1"/>
  <c r="C621" i="24"/>
  <c r="E117" i="32"/>
  <c r="C38" i="15"/>
  <c r="C691" i="24"/>
  <c r="C52" i="15"/>
  <c r="G52" i="15" s="1"/>
  <c r="E181" i="32"/>
  <c r="C705" i="24"/>
  <c r="I245" i="32"/>
  <c r="C70" i="15"/>
  <c r="C629" i="24"/>
  <c r="H213" i="32"/>
  <c r="C616" i="24"/>
  <c r="C62" i="15"/>
  <c r="I213" i="32"/>
  <c r="C63" i="15"/>
  <c r="C625" i="24"/>
  <c r="C309" i="32"/>
  <c r="C78" i="15"/>
  <c r="C619" i="24"/>
  <c r="D181" i="32"/>
  <c r="C51" i="15"/>
  <c r="G51" i="15" s="1"/>
  <c r="C704" i="24"/>
  <c r="F21" i="32"/>
  <c r="C18" i="15"/>
  <c r="G18" i="15" s="1"/>
  <c r="C671" i="24"/>
  <c r="C45" i="15"/>
  <c r="E149" i="32"/>
  <c r="C698" i="24"/>
  <c r="G309" i="32"/>
  <c r="C82" i="15"/>
  <c r="C626" i="24"/>
  <c r="H117" i="32"/>
  <c r="C41" i="15"/>
  <c r="C694" i="24"/>
  <c r="F245" i="32"/>
  <c r="C67" i="15"/>
  <c r="G67" i="15" s="1"/>
  <c r="C633" i="24"/>
  <c r="H309" i="32"/>
  <c r="C83" i="15"/>
  <c r="G83" i="15" s="1"/>
  <c r="C639" i="24"/>
  <c r="D707" i="25"/>
  <c r="D699" i="25"/>
  <c r="D691" i="25"/>
  <c r="D683" i="25"/>
  <c r="D712" i="25"/>
  <c r="D704" i="25"/>
  <c r="D696" i="25"/>
  <c r="D688" i="25"/>
  <c r="D709" i="25"/>
  <c r="D701" i="25"/>
  <c r="D693" i="25"/>
  <c r="D685" i="25"/>
  <c r="D714" i="25"/>
  <c r="D706" i="25"/>
  <c r="D698" i="25"/>
  <c r="D690" i="25"/>
  <c r="D682" i="25"/>
  <c r="D713" i="25"/>
  <c r="D705" i="25"/>
  <c r="D697" i="25"/>
  <c r="D689" i="25"/>
  <c r="D681" i="25"/>
  <c r="D703" i="25"/>
  <c r="D675" i="25"/>
  <c r="D624" i="25"/>
  <c r="D620" i="25"/>
  <c r="D695" i="25"/>
  <c r="D672" i="25"/>
  <c r="D626" i="25"/>
  <c r="D687" i="25"/>
  <c r="D680" i="25"/>
  <c r="D677" i="25"/>
  <c r="D669" i="25"/>
  <c r="D629" i="25"/>
  <c r="D623" i="25"/>
  <c r="D619" i="25"/>
  <c r="D717" i="25"/>
  <c r="D674" i="25"/>
  <c r="D710" i="25"/>
  <c r="D708" i="25"/>
  <c r="D679" i="25"/>
  <c r="D671" i="25"/>
  <c r="D648" i="25"/>
  <c r="D647" i="25"/>
  <c r="D646" i="25"/>
  <c r="D630" i="25"/>
  <c r="D627" i="25"/>
  <c r="D622" i="25"/>
  <c r="D618" i="25"/>
  <c r="D678" i="25"/>
  <c r="D640" i="25"/>
  <c r="D632" i="25"/>
  <c r="D694" i="25"/>
  <c r="D684" i="25"/>
  <c r="D670" i="25"/>
  <c r="D645" i="25"/>
  <c r="D637" i="25"/>
  <c r="D642" i="25"/>
  <c r="D634" i="25"/>
  <c r="D702" i="25"/>
  <c r="D692" i="25"/>
  <c r="D673" i="25"/>
  <c r="D644" i="25"/>
  <c r="D636" i="25"/>
  <c r="D641" i="25"/>
  <c r="D633" i="25"/>
  <c r="D643" i="25"/>
  <c r="D628" i="25"/>
  <c r="D635" i="25"/>
  <c r="D700" i="25"/>
  <c r="D686" i="25"/>
  <c r="D639" i="25"/>
  <c r="D617" i="25"/>
  <c r="D638" i="25"/>
  <c r="D631" i="25"/>
  <c r="D625" i="25"/>
  <c r="D711" i="25"/>
  <c r="D676" i="25"/>
  <c r="D621" i="25"/>
  <c r="F181" i="32"/>
  <c r="C53" i="15"/>
  <c r="G53" i="15" s="1"/>
  <c r="C706" i="24"/>
  <c r="G277" i="32"/>
  <c r="C635" i="24"/>
  <c r="C75" i="15"/>
  <c r="E277" i="32"/>
  <c r="C73" i="15"/>
  <c r="C634" i="24"/>
  <c r="H85" i="32"/>
  <c r="C34" i="15"/>
  <c r="C687" i="24"/>
  <c r="I21" i="32"/>
  <c r="C21" i="15"/>
  <c r="G21" i="15" s="1"/>
  <c r="C674" i="24"/>
  <c r="C53" i="32"/>
  <c r="C22" i="15"/>
  <c r="G22" i="15" s="1"/>
  <c r="C675" i="24"/>
  <c r="F85" i="32"/>
  <c r="C32" i="15"/>
  <c r="C685" i="24"/>
  <c r="C85" i="32"/>
  <c r="C29" i="15"/>
  <c r="C682" i="24"/>
  <c r="H17" i="15"/>
  <c r="I17" i="15" s="1"/>
  <c r="D117" i="32"/>
  <c r="C37" i="15"/>
  <c r="C690" i="24"/>
  <c r="F53" i="32"/>
  <c r="C678" i="24"/>
  <c r="C25" i="15"/>
  <c r="G25" i="15" s="1"/>
  <c r="C683" i="24"/>
  <c r="C30" i="15"/>
  <c r="G30" i="15" s="1"/>
  <c r="D85" i="32"/>
  <c r="D213" i="32"/>
  <c r="C58" i="15"/>
  <c r="G58" i="15" s="1"/>
  <c r="C711" i="24"/>
  <c r="C89" i="15"/>
  <c r="G341" i="32"/>
  <c r="C645" i="24"/>
  <c r="D373" i="32"/>
  <c r="C93" i="15"/>
  <c r="C620" i="24"/>
  <c r="G53" i="32"/>
  <c r="C26" i="15"/>
  <c r="G26" i="15" s="1"/>
  <c r="C679" i="24"/>
  <c r="D341" i="32"/>
  <c r="C86" i="15"/>
  <c r="C642" i="24"/>
  <c r="D21" i="32"/>
  <c r="C669" i="24"/>
  <c r="C16" i="15"/>
  <c r="G16" i="15" s="1"/>
  <c r="C245" i="32"/>
  <c r="C64" i="15"/>
  <c r="C628" i="24"/>
  <c r="I31" i="15"/>
  <c r="D309" i="32"/>
  <c r="C627" i="24"/>
  <c r="C79" i="15"/>
  <c r="G79" i="15" s="1"/>
  <c r="G245" i="32"/>
  <c r="C68" i="15"/>
  <c r="G68" i="15" s="1"/>
  <c r="C624" i="24"/>
  <c r="C138" i="8" l="1"/>
  <c r="D417" i="24"/>
  <c r="H69" i="15"/>
  <c r="I69" i="15" s="1"/>
  <c r="H53" i="15"/>
  <c r="I53" i="15" s="1"/>
  <c r="H79" i="15"/>
  <c r="I79" i="15" s="1"/>
  <c r="H76" i="15"/>
  <c r="I76" i="15" s="1"/>
  <c r="G72" i="15"/>
  <c r="H72" i="15" s="1"/>
  <c r="I72" i="15" s="1"/>
  <c r="H71" i="15"/>
  <c r="I71" i="15" s="1"/>
  <c r="I40" i="15"/>
  <c r="H30" i="15"/>
  <c r="I30" i="15" s="1"/>
  <c r="H25" i="15"/>
  <c r="I25" i="15" s="1"/>
  <c r="H22" i="15"/>
  <c r="I22" i="15" s="1"/>
  <c r="C648" i="24"/>
  <c r="M716" i="24" s="1"/>
  <c r="G32" i="15"/>
  <c r="H32" i="15" s="1"/>
  <c r="I32" i="15" s="1"/>
  <c r="G38" i="15"/>
  <c r="H38" i="15"/>
  <c r="I38" i="15" s="1"/>
  <c r="G28" i="15"/>
  <c r="H28" i="15" s="1"/>
  <c r="I28" i="15" s="1"/>
  <c r="G34" i="15"/>
  <c r="H34" i="15"/>
  <c r="I34" i="15" s="1"/>
  <c r="D713" i="24"/>
  <c r="D712" i="24"/>
  <c r="D708" i="24"/>
  <c r="D700" i="24"/>
  <c r="D711" i="24"/>
  <c r="D704" i="24"/>
  <c r="D696" i="24"/>
  <c r="D688" i="24"/>
  <c r="D680" i="24"/>
  <c r="D683" i="24"/>
  <c r="D678" i="24"/>
  <c r="D669" i="24"/>
  <c r="D627" i="24"/>
  <c r="D709" i="24"/>
  <c r="D692" i="24"/>
  <c r="D687" i="24"/>
  <c r="D682" i="24"/>
  <c r="D677" i="24"/>
  <c r="D674" i="24"/>
  <c r="D623" i="24"/>
  <c r="D619" i="24"/>
  <c r="D707" i="24"/>
  <c r="D706" i="24"/>
  <c r="D705" i="24"/>
  <c r="D671" i="24"/>
  <c r="D625" i="24"/>
  <c r="D699" i="24"/>
  <c r="D698" i="24"/>
  <c r="D697" i="24"/>
  <c r="D690" i="24"/>
  <c r="D685" i="24"/>
  <c r="D673" i="24"/>
  <c r="D716" i="24"/>
  <c r="D695" i="24"/>
  <c r="D670" i="24"/>
  <c r="D647" i="24"/>
  <c r="D646" i="24"/>
  <c r="D645" i="24"/>
  <c r="D629" i="24"/>
  <c r="D626" i="24"/>
  <c r="D621" i="24"/>
  <c r="D617" i="24"/>
  <c r="D694" i="24"/>
  <c r="D691" i="24"/>
  <c r="D640" i="24"/>
  <c r="D632" i="24"/>
  <c r="D693" i="24"/>
  <c r="D684" i="24"/>
  <c r="D637" i="24"/>
  <c r="D616" i="24"/>
  <c r="D686" i="24"/>
  <c r="D675" i="24"/>
  <c r="D642" i="24"/>
  <c r="D634" i="24"/>
  <c r="D624" i="24"/>
  <c r="D701" i="24"/>
  <c r="D635" i="24"/>
  <c r="D703" i="24"/>
  <c r="D679" i="24"/>
  <c r="D639" i="24"/>
  <c r="D631" i="24"/>
  <c r="D628" i="24"/>
  <c r="D681" i="24"/>
  <c r="D644" i="24"/>
  <c r="D636" i="24"/>
  <c r="D622" i="24"/>
  <c r="D672" i="24"/>
  <c r="D710" i="24"/>
  <c r="D702" i="24"/>
  <c r="D641" i="24"/>
  <c r="D633" i="24"/>
  <c r="D643" i="24"/>
  <c r="D676" i="24"/>
  <c r="D638" i="24"/>
  <c r="D630" i="24"/>
  <c r="D620" i="24"/>
  <c r="D689" i="24"/>
  <c r="D668" i="24"/>
  <c r="D618" i="24"/>
  <c r="G86" i="15"/>
  <c r="H86" i="15" s="1"/>
  <c r="I86" i="15" s="1"/>
  <c r="G73" i="15"/>
  <c r="H73" i="15" s="1"/>
  <c r="I73" i="15" s="1"/>
  <c r="G63" i="15"/>
  <c r="H63" i="15" s="1"/>
  <c r="I63" i="15" s="1"/>
  <c r="G65" i="15"/>
  <c r="H65" i="15"/>
  <c r="I65" i="15" s="1"/>
  <c r="C21" i="32"/>
  <c r="C15" i="15"/>
  <c r="G15" i="15" s="1"/>
  <c r="C668" i="24"/>
  <c r="C715" i="24" s="1"/>
  <c r="CE85" i="24"/>
  <c r="G45" i="15"/>
  <c r="H45" i="15" s="1"/>
  <c r="I45" i="15" s="1"/>
  <c r="G93" i="15"/>
  <c r="H93" i="15" s="1"/>
  <c r="I93" i="15" s="1"/>
  <c r="G70" i="15"/>
  <c r="H70" i="15" s="1"/>
  <c r="I70" i="15" s="1"/>
  <c r="G29" i="15"/>
  <c r="H29" i="15" s="1"/>
  <c r="I29" i="15" s="1"/>
  <c r="G82" i="15"/>
  <c r="H82" i="15" s="1"/>
  <c r="I82" i="15" s="1"/>
  <c r="F15" i="15"/>
  <c r="G90" i="15"/>
  <c r="H90" i="15"/>
  <c r="I90" i="15" s="1"/>
  <c r="G37" i="15"/>
  <c r="H37" i="15" s="1"/>
  <c r="G41" i="15"/>
  <c r="H41" i="15" s="1"/>
  <c r="G89" i="15"/>
  <c r="H89" i="15" s="1"/>
  <c r="I89" i="15" s="1"/>
  <c r="G75" i="15"/>
  <c r="H75" i="15" s="1"/>
  <c r="I75" i="15" s="1"/>
  <c r="G33" i="15"/>
  <c r="H33" i="15" s="1"/>
  <c r="I33" i="15" s="1"/>
  <c r="G39" i="15"/>
  <c r="H39" i="15" s="1"/>
  <c r="G48" i="15"/>
  <c r="H48" i="15" s="1"/>
  <c r="I48" i="15" s="1"/>
  <c r="G78" i="15"/>
  <c r="H78" i="15" s="1"/>
  <c r="I78" i="15" s="1"/>
  <c r="G49" i="15"/>
  <c r="H49" i="15" s="1"/>
  <c r="I49" i="15" s="1"/>
  <c r="D716" i="25"/>
  <c r="E624" i="25"/>
  <c r="G56" i="15"/>
  <c r="H56" i="15" s="1"/>
  <c r="G64" i="15"/>
  <c r="H64" i="15" s="1"/>
  <c r="I64" i="15" s="1"/>
  <c r="E613" i="25"/>
  <c r="G43" i="15"/>
  <c r="H43" i="15" s="1"/>
  <c r="I43" i="15" s="1"/>
  <c r="C168" i="8" l="1"/>
  <c r="D421" i="24"/>
  <c r="H15" i="15"/>
  <c r="E612" i="24"/>
  <c r="E712" i="25"/>
  <c r="E704" i="25"/>
  <c r="E696" i="25"/>
  <c r="E688" i="25"/>
  <c r="E709" i="25"/>
  <c r="E701" i="25"/>
  <c r="E693" i="25"/>
  <c r="E685" i="25"/>
  <c r="E714" i="25"/>
  <c r="E706" i="25"/>
  <c r="E698" i="25"/>
  <c r="E690" i="25"/>
  <c r="E682" i="25"/>
  <c r="E711" i="25"/>
  <c r="E703" i="25"/>
  <c r="E695" i="25"/>
  <c r="E687" i="25"/>
  <c r="E710" i="25"/>
  <c r="E702" i="25"/>
  <c r="E694" i="25"/>
  <c r="E686" i="25"/>
  <c r="E707" i="25"/>
  <c r="E705" i="25"/>
  <c r="E672" i="25"/>
  <c r="E626" i="25"/>
  <c r="E699" i="25"/>
  <c r="E697" i="25"/>
  <c r="E680" i="25"/>
  <c r="E677" i="25"/>
  <c r="E669" i="25"/>
  <c r="E629" i="25"/>
  <c r="E717" i="25"/>
  <c r="E691" i="25"/>
  <c r="E689" i="25"/>
  <c r="E674" i="25"/>
  <c r="E708" i="25"/>
  <c r="E683" i="25"/>
  <c r="E681" i="25"/>
  <c r="E679" i="25"/>
  <c r="E671" i="25"/>
  <c r="E648" i="25"/>
  <c r="E647" i="25"/>
  <c r="E646" i="25"/>
  <c r="E630" i="25"/>
  <c r="E627" i="25"/>
  <c r="E700" i="25"/>
  <c r="E676" i="25"/>
  <c r="E645" i="25"/>
  <c r="E644" i="25"/>
  <c r="E643" i="25"/>
  <c r="E642" i="25"/>
  <c r="E641" i="25"/>
  <c r="E640" i="25"/>
  <c r="E639" i="25"/>
  <c r="E638" i="25"/>
  <c r="E637" i="25"/>
  <c r="E636" i="25"/>
  <c r="E635" i="25"/>
  <c r="E634" i="25"/>
  <c r="E633" i="25"/>
  <c r="E632" i="25"/>
  <c r="E631" i="25"/>
  <c r="E625" i="25"/>
  <c r="E684" i="25"/>
  <c r="E670" i="25"/>
  <c r="E628" i="25"/>
  <c r="E713" i="25"/>
  <c r="E675" i="25"/>
  <c r="E692" i="25"/>
  <c r="E678" i="25"/>
  <c r="E673" i="25"/>
  <c r="I373" i="32"/>
  <c r="C716" i="24"/>
  <c r="D715" i="24"/>
  <c r="E623" i="24"/>
  <c r="C172" i="8" l="1"/>
  <c r="D424" i="24"/>
  <c r="C177" i="8" s="1"/>
  <c r="E710" i="24"/>
  <c r="E705" i="24"/>
  <c r="E697" i="24"/>
  <c r="E716" i="24"/>
  <c r="E709" i="24"/>
  <c r="E701" i="24"/>
  <c r="E693" i="24"/>
  <c r="E685" i="24"/>
  <c r="E677" i="24"/>
  <c r="E692" i="24"/>
  <c r="E687" i="24"/>
  <c r="E682" i="24"/>
  <c r="E674" i="24"/>
  <c r="E713" i="24"/>
  <c r="E708" i="24"/>
  <c r="E707" i="24"/>
  <c r="E706" i="24"/>
  <c r="E671" i="24"/>
  <c r="E625" i="24"/>
  <c r="E704" i="24"/>
  <c r="E703" i="24"/>
  <c r="E702" i="24"/>
  <c r="E691" i="24"/>
  <c r="E686" i="24"/>
  <c r="E681" i="24"/>
  <c r="E676" i="24"/>
  <c r="E668" i="24"/>
  <c r="E628" i="24"/>
  <c r="E696" i="24"/>
  <c r="E695" i="24"/>
  <c r="E680" i="24"/>
  <c r="E670" i="24"/>
  <c r="E647" i="24"/>
  <c r="E646" i="24"/>
  <c r="E645" i="24"/>
  <c r="E629" i="24"/>
  <c r="E626" i="24"/>
  <c r="E711" i="24"/>
  <c r="E694" i="24"/>
  <c r="E689" i="24"/>
  <c r="E684" i="24"/>
  <c r="E679" i="24"/>
  <c r="E675" i="24"/>
  <c r="E644" i="24"/>
  <c r="E643" i="24"/>
  <c r="E642" i="24"/>
  <c r="E641" i="24"/>
  <c r="E640" i="24"/>
  <c r="E639" i="24"/>
  <c r="E638" i="24"/>
  <c r="E637" i="24"/>
  <c r="E636" i="24"/>
  <c r="E635" i="24"/>
  <c r="E634" i="24"/>
  <c r="E633" i="24"/>
  <c r="E632" i="24"/>
  <c r="E631" i="24"/>
  <c r="E630" i="24"/>
  <c r="E624" i="24"/>
  <c r="E678" i="24"/>
  <c r="E700" i="24"/>
  <c r="E712" i="24"/>
  <c r="E673" i="24"/>
  <c r="E699" i="24"/>
  <c r="E690" i="24"/>
  <c r="E688" i="24"/>
  <c r="E669" i="24"/>
  <c r="E698" i="24"/>
  <c r="E683" i="24"/>
  <c r="E627" i="24"/>
  <c r="E672" i="24"/>
  <c r="E716" i="25"/>
  <c r="F625" i="25"/>
  <c r="E715" i="24" l="1"/>
  <c r="F624" i="24"/>
  <c r="F709" i="25"/>
  <c r="F701" i="25"/>
  <c r="F693" i="25"/>
  <c r="F685" i="25"/>
  <c r="F714" i="25"/>
  <c r="F706" i="25"/>
  <c r="F698" i="25"/>
  <c r="F690" i="25"/>
  <c r="F682" i="25"/>
  <c r="F711" i="25"/>
  <c r="F703" i="25"/>
  <c r="F695" i="25"/>
  <c r="F687" i="25"/>
  <c r="F717" i="25"/>
  <c r="F708" i="25"/>
  <c r="F700" i="25"/>
  <c r="F692" i="25"/>
  <c r="F684" i="25"/>
  <c r="F707" i="25"/>
  <c r="F699" i="25"/>
  <c r="F691" i="25"/>
  <c r="F683" i="25"/>
  <c r="F697" i="25"/>
  <c r="F680" i="25"/>
  <c r="F677" i="25"/>
  <c r="F669" i="25"/>
  <c r="F629" i="25"/>
  <c r="F689" i="25"/>
  <c r="F674" i="25"/>
  <c r="F681" i="25"/>
  <c r="F679" i="25"/>
  <c r="F671" i="25"/>
  <c r="F648" i="25"/>
  <c r="F647" i="25"/>
  <c r="F646" i="25"/>
  <c r="F630" i="25"/>
  <c r="F627" i="25"/>
  <c r="F712" i="25"/>
  <c r="F710" i="25"/>
  <c r="F676" i="25"/>
  <c r="F645" i="25"/>
  <c r="F644" i="25"/>
  <c r="F643" i="25"/>
  <c r="F642" i="25"/>
  <c r="F641" i="25"/>
  <c r="F640" i="25"/>
  <c r="F639" i="25"/>
  <c r="F638" i="25"/>
  <c r="F637" i="25"/>
  <c r="F636" i="25"/>
  <c r="F635" i="25"/>
  <c r="F634" i="25"/>
  <c r="F633" i="25"/>
  <c r="F632" i="25"/>
  <c r="F631" i="25"/>
  <c r="F704" i="25"/>
  <c r="F702" i="25"/>
  <c r="F673" i="25"/>
  <c r="F705" i="25"/>
  <c r="F694" i="25"/>
  <c r="F672" i="25"/>
  <c r="F628" i="25"/>
  <c r="F688" i="25"/>
  <c r="F696" i="25"/>
  <c r="F686" i="25"/>
  <c r="F626" i="25"/>
  <c r="F713" i="25"/>
  <c r="F670" i="25"/>
  <c r="F678" i="25"/>
  <c r="F675" i="25"/>
  <c r="F716" i="25" l="1"/>
  <c r="G626" i="25"/>
  <c r="F716" i="24"/>
  <c r="F711" i="24"/>
  <c r="F702" i="24"/>
  <c r="F710" i="24"/>
  <c r="F706" i="24"/>
  <c r="F698" i="24"/>
  <c r="F690" i="24"/>
  <c r="F682" i="24"/>
  <c r="F713" i="24"/>
  <c r="F709" i="24"/>
  <c r="F708" i="24"/>
  <c r="F707" i="24"/>
  <c r="F677" i="24"/>
  <c r="F671" i="24"/>
  <c r="F625" i="24"/>
  <c r="F705" i="24"/>
  <c r="F704" i="24"/>
  <c r="F703" i="24"/>
  <c r="F691" i="24"/>
  <c r="F686" i="24"/>
  <c r="F681" i="24"/>
  <c r="F676" i="24"/>
  <c r="F668" i="24"/>
  <c r="F628" i="24"/>
  <c r="F701" i="24"/>
  <c r="F700" i="24"/>
  <c r="F699" i="24"/>
  <c r="F673" i="24"/>
  <c r="F694" i="24"/>
  <c r="F689" i="24"/>
  <c r="F684" i="24"/>
  <c r="F679" i="24"/>
  <c r="F675" i="24"/>
  <c r="F644" i="24"/>
  <c r="F643" i="24"/>
  <c r="F642" i="24"/>
  <c r="F641" i="24"/>
  <c r="F640" i="24"/>
  <c r="F639" i="24"/>
  <c r="F638" i="24"/>
  <c r="F637" i="24"/>
  <c r="F636" i="24"/>
  <c r="F635" i="24"/>
  <c r="F634" i="24"/>
  <c r="F633" i="24"/>
  <c r="F632" i="24"/>
  <c r="F631" i="24"/>
  <c r="F630" i="24"/>
  <c r="F712" i="24"/>
  <c r="F672" i="24"/>
  <c r="F693" i="24"/>
  <c r="F645" i="24"/>
  <c r="F629" i="24"/>
  <c r="F696" i="24"/>
  <c r="F688" i="24"/>
  <c r="F669" i="24"/>
  <c r="F647" i="24"/>
  <c r="F680" i="24"/>
  <c r="F695" i="24"/>
  <c r="F692" i="24"/>
  <c r="F683" i="24"/>
  <c r="F627" i="24"/>
  <c r="F685" i="24"/>
  <c r="F646" i="24"/>
  <c r="F687" i="24"/>
  <c r="F678" i="24"/>
  <c r="F674" i="24"/>
  <c r="F670" i="24"/>
  <c r="F626" i="24"/>
  <c r="F697" i="24"/>
  <c r="F715" i="24" l="1"/>
  <c r="G625" i="24"/>
  <c r="G714" i="25"/>
  <c r="G706" i="25"/>
  <c r="G698" i="25"/>
  <c r="G690" i="25"/>
  <c r="G682" i="25"/>
  <c r="G711" i="25"/>
  <c r="G703" i="25"/>
  <c r="G695" i="25"/>
  <c r="G687" i="25"/>
  <c r="G717" i="25"/>
  <c r="G708" i="25"/>
  <c r="G700" i="25"/>
  <c r="G692" i="25"/>
  <c r="G684" i="25"/>
  <c r="G713" i="25"/>
  <c r="G705" i="25"/>
  <c r="G697" i="25"/>
  <c r="G689" i="25"/>
  <c r="G681" i="25"/>
  <c r="G712" i="25"/>
  <c r="G704" i="25"/>
  <c r="G696" i="25"/>
  <c r="G688" i="25"/>
  <c r="G680" i="25"/>
  <c r="G701" i="25"/>
  <c r="G699" i="25"/>
  <c r="G674" i="25"/>
  <c r="G693" i="25"/>
  <c r="G691" i="25"/>
  <c r="G679" i="25"/>
  <c r="G671" i="25"/>
  <c r="G648" i="25"/>
  <c r="G647" i="25"/>
  <c r="G646" i="25"/>
  <c r="G630" i="25"/>
  <c r="G627" i="25"/>
  <c r="G710" i="25"/>
  <c r="G685" i="25"/>
  <c r="G683" i="25"/>
  <c r="G676" i="25"/>
  <c r="G645" i="25"/>
  <c r="G644" i="25"/>
  <c r="G643" i="25"/>
  <c r="G642" i="25"/>
  <c r="G641" i="25"/>
  <c r="G640" i="25"/>
  <c r="G639" i="25"/>
  <c r="G638" i="25"/>
  <c r="G637" i="25"/>
  <c r="G636" i="25"/>
  <c r="G635" i="25"/>
  <c r="G634" i="25"/>
  <c r="G633" i="25"/>
  <c r="G632" i="25"/>
  <c r="G631" i="25"/>
  <c r="G702" i="25"/>
  <c r="G673" i="25"/>
  <c r="G694" i="25"/>
  <c r="G678" i="25"/>
  <c r="G670" i="25"/>
  <c r="G628" i="25"/>
  <c r="G629" i="25"/>
  <c r="G709" i="25"/>
  <c r="G675" i="25"/>
  <c r="G686" i="25"/>
  <c r="G669" i="25"/>
  <c r="G707" i="25"/>
  <c r="G677" i="25"/>
  <c r="G672" i="25"/>
  <c r="H629" i="25" l="1"/>
  <c r="G712" i="24"/>
  <c r="G707" i="24"/>
  <c r="G699" i="24"/>
  <c r="G716" i="24"/>
  <c r="G709" i="24"/>
  <c r="G713" i="24"/>
  <c r="G703" i="24"/>
  <c r="G695" i="24"/>
  <c r="G687" i="24"/>
  <c r="G679" i="24"/>
  <c r="G706" i="24"/>
  <c r="G705" i="24"/>
  <c r="G704" i="24"/>
  <c r="G691" i="24"/>
  <c r="G686" i="24"/>
  <c r="G681" i="24"/>
  <c r="G676" i="24"/>
  <c r="G668" i="24"/>
  <c r="G628" i="24"/>
  <c r="G702" i="24"/>
  <c r="G701" i="24"/>
  <c r="G700" i="24"/>
  <c r="G673" i="24"/>
  <c r="G710" i="24"/>
  <c r="G698" i="24"/>
  <c r="G697" i="24"/>
  <c r="G696" i="24"/>
  <c r="G690" i="24"/>
  <c r="G685" i="24"/>
  <c r="G680" i="24"/>
  <c r="G670" i="24"/>
  <c r="G647" i="24"/>
  <c r="G646" i="24"/>
  <c r="G645" i="24"/>
  <c r="G629" i="24"/>
  <c r="G626" i="24"/>
  <c r="G711" i="24"/>
  <c r="G672" i="24"/>
  <c r="G693" i="24"/>
  <c r="G688" i="24"/>
  <c r="G683" i="24"/>
  <c r="G678" i="24"/>
  <c r="G669" i="24"/>
  <c r="G627" i="24"/>
  <c r="G708" i="24"/>
  <c r="G684" i="24"/>
  <c r="G682" i="24"/>
  <c r="G637" i="24"/>
  <c r="G632" i="24"/>
  <c r="G675" i="24"/>
  <c r="G642" i="24"/>
  <c r="G634" i="24"/>
  <c r="G677" i="24"/>
  <c r="G671" i="24"/>
  <c r="G639" i="24"/>
  <c r="G631" i="24"/>
  <c r="G692" i="24"/>
  <c r="G644" i="24"/>
  <c r="G636" i="24"/>
  <c r="G641" i="24"/>
  <c r="G633" i="24"/>
  <c r="G640" i="24"/>
  <c r="G694" i="24"/>
  <c r="G674" i="24"/>
  <c r="G638" i="24"/>
  <c r="G630" i="24"/>
  <c r="G689" i="24"/>
  <c r="G643" i="24"/>
  <c r="G635" i="24"/>
  <c r="G716" i="25"/>
  <c r="G715" i="24" l="1"/>
  <c r="H628" i="24"/>
  <c r="H711" i="25"/>
  <c r="H703" i="25"/>
  <c r="H695" i="25"/>
  <c r="H687" i="25"/>
  <c r="H717" i="25"/>
  <c r="H708" i="25"/>
  <c r="H700" i="25"/>
  <c r="H692" i="25"/>
  <c r="H684" i="25"/>
  <c r="H713" i="25"/>
  <c r="H705" i="25"/>
  <c r="H697" i="25"/>
  <c r="H689" i="25"/>
  <c r="H681" i="25"/>
  <c r="H710" i="25"/>
  <c r="H702" i="25"/>
  <c r="H694" i="25"/>
  <c r="H686" i="25"/>
  <c r="H709" i="25"/>
  <c r="H701" i="25"/>
  <c r="H693" i="25"/>
  <c r="H685" i="25"/>
  <c r="H691" i="25"/>
  <c r="H679" i="25"/>
  <c r="H671" i="25"/>
  <c r="H648" i="25"/>
  <c r="H647" i="25"/>
  <c r="H646" i="25"/>
  <c r="H630" i="25"/>
  <c r="H683" i="25"/>
  <c r="H676" i="25"/>
  <c r="H645" i="25"/>
  <c r="H644" i="25"/>
  <c r="H643" i="25"/>
  <c r="H642" i="25"/>
  <c r="H641" i="25"/>
  <c r="H640" i="25"/>
  <c r="H639" i="25"/>
  <c r="H638" i="25"/>
  <c r="H637" i="25"/>
  <c r="H636" i="25"/>
  <c r="H635" i="25"/>
  <c r="H634" i="25"/>
  <c r="H633" i="25"/>
  <c r="H632" i="25"/>
  <c r="H631" i="25"/>
  <c r="H714" i="25"/>
  <c r="H712" i="25"/>
  <c r="H673" i="25"/>
  <c r="H706" i="25"/>
  <c r="H704" i="25"/>
  <c r="H678" i="25"/>
  <c r="H670" i="25"/>
  <c r="H698" i="25"/>
  <c r="H696" i="25"/>
  <c r="H675" i="25"/>
  <c r="H699" i="25"/>
  <c r="H688" i="25"/>
  <c r="H677" i="25"/>
  <c r="H707" i="25"/>
  <c r="H680" i="25"/>
  <c r="H669" i="25"/>
  <c r="H690" i="25"/>
  <c r="H674" i="25"/>
  <c r="H672" i="25"/>
  <c r="H682" i="25"/>
  <c r="H716" i="25" l="1"/>
  <c r="I630" i="25"/>
  <c r="H709" i="24"/>
  <c r="H716" i="24"/>
  <c r="H710" i="24"/>
  <c r="H704" i="24"/>
  <c r="H696" i="24"/>
  <c r="H708" i="24"/>
  <c r="H700" i="24"/>
  <c r="H692" i="24"/>
  <c r="H684" i="24"/>
  <c r="H676" i="24"/>
  <c r="H703" i="24"/>
  <c r="H702" i="24"/>
  <c r="H701" i="24"/>
  <c r="H673" i="24"/>
  <c r="H699" i="24"/>
  <c r="H698" i="24"/>
  <c r="H697" i="24"/>
  <c r="H690" i="24"/>
  <c r="H685" i="24"/>
  <c r="H680" i="24"/>
  <c r="H670" i="24"/>
  <c r="H647" i="24"/>
  <c r="H646" i="24"/>
  <c r="H645" i="24"/>
  <c r="H629" i="24"/>
  <c r="H695" i="24"/>
  <c r="H694" i="24"/>
  <c r="H689" i="24"/>
  <c r="H675" i="24"/>
  <c r="H644" i="24"/>
  <c r="H643" i="24"/>
  <c r="H642" i="24"/>
  <c r="H641" i="24"/>
  <c r="H640" i="24"/>
  <c r="H639" i="24"/>
  <c r="H638" i="24"/>
  <c r="H637" i="24"/>
  <c r="H636" i="24"/>
  <c r="H635" i="24"/>
  <c r="H634" i="24"/>
  <c r="H633" i="24"/>
  <c r="H632" i="24"/>
  <c r="H631" i="24"/>
  <c r="H630" i="24"/>
  <c r="H693" i="24"/>
  <c r="H688" i="24"/>
  <c r="H683" i="24"/>
  <c r="H678" i="24"/>
  <c r="H669" i="24"/>
  <c r="H712" i="24"/>
  <c r="H674" i="24"/>
  <c r="H713" i="24"/>
  <c r="H686" i="24"/>
  <c r="H677" i="24"/>
  <c r="H671" i="24"/>
  <c r="H707" i="24"/>
  <c r="H679" i="24"/>
  <c r="H691" i="24"/>
  <c r="H711" i="24"/>
  <c r="H681" i="24"/>
  <c r="H706" i="24"/>
  <c r="H682" i="24"/>
  <c r="H687" i="24"/>
  <c r="H672" i="24"/>
  <c r="H705" i="24"/>
  <c r="H668" i="24"/>
  <c r="H715" i="24" l="1"/>
  <c r="I629" i="24"/>
  <c r="I717" i="25"/>
  <c r="I708" i="25"/>
  <c r="I700" i="25"/>
  <c r="I692" i="25"/>
  <c r="I684" i="25"/>
  <c r="I713" i="25"/>
  <c r="I705" i="25"/>
  <c r="I697" i="25"/>
  <c r="I689" i="25"/>
  <c r="I681" i="25"/>
  <c r="I710" i="25"/>
  <c r="I702" i="25"/>
  <c r="I694" i="25"/>
  <c r="I686" i="25"/>
  <c r="I707" i="25"/>
  <c r="I699" i="25"/>
  <c r="I691" i="25"/>
  <c r="I683" i="25"/>
  <c r="I714" i="25"/>
  <c r="I706" i="25"/>
  <c r="I698" i="25"/>
  <c r="I690" i="25"/>
  <c r="I682" i="25"/>
  <c r="I695" i="25"/>
  <c r="I693" i="25"/>
  <c r="I676" i="25"/>
  <c r="I645" i="25"/>
  <c r="I644" i="25"/>
  <c r="I643" i="25"/>
  <c r="I642" i="25"/>
  <c r="I641" i="25"/>
  <c r="I640" i="25"/>
  <c r="I639" i="25"/>
  <c r="I638" i="25"/>
  <c r="I637" i="25"/>
  <c r="I636" i="25"/>
  <c r="I635" i="25"/>
  <c r="I634" i="25"/>
  <c r="I633" i="25"/>
  <c r="I632" i="25"/>
  <c r="I631" i="25"/>
  <c r="I712" i="25"/>
  <c r="I687" i="25"/>
  <c r="I685" i="25"/>
  <c r="I673" i="25"/>
  <c r="I704" i="25"/>
  <c r="I678" i="25"/>
  <c r="I670" i="25"/>
  <c r="I696" i="25"/>
  <c r="I675" i="25"/>
  <c r="I688" i="25"/>
  <c r="I672" i="25"/>
  <c r="I709" i="25"/>
  <c r="I677" i="25"/>
  <c r="I679" i="25"/>
  <c r="I669" i="25"/>
  <c r="I647" i="25"/>
  <c r="I646" i="25"/>
  <c r="I674" i="25"/>
  <c r="I711" i="25"/>
  <c r="I671" i="25"/>
  <c r="I680" i="25"/>
  <c r="I703" i="25"/>
  <c r="I648" i="25"/>
  <c r="I701" i="25"/>
  <c r="I716" i="25" l="1"/>
  <c r="J631" i="25"/>
  <c r="I701" i="24"/>
  <c r="I713" i="24"/>
  <c r="I712" i="24"/>
  <c r="I705" i="24"/>
  <c r="I697" i="24"/>
  <c r="I689" i="24"/>
  <c r="I681" i="24"/>
  <c r="I700" i="24"/>
  <c r="I699" i="24"/>
  <c r="I698" i="24"/>
  <c r="I690" i="24"/>
  <c r="I685" i="24"/>
  <c r="I680" i="24"/>
  <c r="I670" i="24"/>
  <c r="I647" i="24"/>
  <c r="I646" i="24"/>
  <c r="I645" i="24"/>
  <c r="I710" i="24"/>
  <c r="I696" i="24"/>
  <c r="I695" i="24"/>
  <c r="I694" i="24"/>
  <c r="I675" i="24"/>
  <c r="I644" i="24"/>
  <c r="I643" i="24"/>
  <c r="I642" i="24"/>
  <c r="I641" i="24"/>
  <c r="I640" i="24"/>
  <c r="I639" i="24"/>
  <c r="I638" i="24"/>
  <c r="I637" i="24"/>
  <c r="I636" i="24"/>
  <c r="I635" i="24"/>
  <c r="I634" i="24"/>
  <c r="I633" i="24"/>
  <c r="I632" i="24"/>
  <c r="I631" i="24"/>
  <c r="I630" i="24"/>
  <c r="I711" i="24"/>
  <c r="I684" i="24"/>
  <c r="I679" i="24"/>
  <c r="I672" i="24"/>
  <c r="I716" i="24"/>
  <c r="I674" i="24"/>
  <c r="I708" i="24"/>
  <c r="I707" i="24"/>
  <c r="I692" i="24"/>
  <c r="I687" i="24"/>
  <c r="I682" i="24"/>
  <c r="I677" i="24"/>
  <c r="I671" i="24"/>
  <c r="I706" i="24"/>
  <c r="I704" i="24"/>
  <c r="I686" i="24"/>
  <c r="I693" i="24"/>
  <c r="I688" i="24"/>
  <c r="I673" i="24"/>
  <c r="I669" i="24"/>
  <c r="I703" i="24"/>
  <c r="I683" i="24"/>
  <c r="I702" i="24"/>
  <c r="I678" i="24"/>
  <c r="I676" i="24"/>
  <c r="I668" i="24"/>
  <c r="I709" i="24"/>
  <c r="I691" i="24"/>
  <c r="I715" i="24" l="1"/>
  <c r="J630" i="24"/>
  <c r="J713" i="25"/>
  <c r="J705" i="25"/>
  <c r="J697" i="25"/>
  <c r="J689" i="25"/>
  <c r="J681" i="25"/>
  <c r="J710" i="25"/>
  <c r="J702" i="25"/>
  <c r="J694" i="25"/>
  <c r="J686" i="25"/>
  <c r="J707" i="25"/>
  <c r="J699" i="25"/>
  <c r="J691" i="25"/>
  <c r="J683" i="25"/>
  <c r="J712" i="25"/>
  <c r="J704" i="25"/>
  <c r="J696" i="25"/>
  <c r="J688" i="25"/>
  <c r="J711" i="25"/>
  <c r="J703" i="25"/>
  <c r="J695" i="25"/>
  <c r="J687" i="25"/>
  <c r="J679" i="25"/>
  <c r="J685" i="25"/>
  <c r="J673" i="25"/>
  <c r="J717" i="25"/>
  <c r="J714" i="25"/>
  <c r="J678" i="25"/>
  <c r="J670" i="25"/>
  <c r="J708" i="25"/>
  <c r="J706" i="25"/>
  <c r="J675" i="25"/>
  <c r="J700" i="25"/>
  <c r="J698" i="25"/>
  <c r="J672" i="25"/>
  <c r="J692" i="25"/>
  <c r="J690" i="25"/>
  <c r="J677" i="25"/>
  <c r="J669" i="25"/>
  <c r="J709" i="25"/>
  <c r="J645" i="25"/>
  <c r="J637" i="25"/>
  <c r="J647" i="25"/>
  <c r="J642" i="25"/>
  <c r="J634" i="25"/>
  <c r="J693" i="25"/>
  <c r="J682" i="25"/>
  <c r="J671" i="25"/>
  <c r="J639" i="25"/>
  <c r="J646" i="25"/>
  <c r="J641" i="25"/>
  <c r="J633" i="25"/>
  <c r="J701" i="25"/>
  <c r="J680" i="25"/>
  <c r="J674" i="25"/>
  <c r="J638" i="25"/>
  <c r="J635" i="25"/>
  <c r="J648" i="25"/>
  <c r="J632" i="25"/>
  <c r="J684" i="25"/>
  <c r="J676" i="25"/>
  <c r="J636" i="25"/>
  <c r="J643" i="25"/>
  <c r="J644" i="25"/>
  <c r="J640" i="25"/>
  <c r="L648" i="25" l="1"/>
  <c r="L699" i="25" s="1"/>
  <c r="J716" i="25"/>
  <c r="K645" i="25"/>
  <c r="J711" i="24"/>
  <c r="J709" i="24"/>
  <c r="J706" i="24"/>
  <c r="J698" i="24"/>
  <c r="J702" i="24"/>
  <c r="J694" i="24"/>
  <c r="J686" i="24"/>
  <c r="J678" i="24"/>
  <c r="J710" i="24"/>
  <c r="J697" i="24"/>
  <c r="J696" i="24"/>
  <c r="J695" i="24"/>
  <c r="J675" i="24"/>
  <c r="J644" i="24"/>
  <c r="J643" i="24"/>
  <c r="J642" i="24"/>
  <c r="J641" i="24"/>
  <c r="J640" i="24"/>
  <c r="J639" i="24"/>
  <c r="J638" i="24"/>
  <c r="J637" i="24"/>
  <c r="J636" i="24"/>
  <c r="J635" i="24"/>
  <c r="J634" i="24"/>
  <c r="J633" i="24"/>
  <c r="J632" i="24"/>
  <c r="J631" i="24"/>
  <c r="J689" i="24"/>
  <c r="J684" i="24"/>
  <c r="J679" i="24"/>
  <c r="J672" i="24"/>
  <c r="J693" i="24"/>
  <c r="J688" i="24"/>
  <c r="J683" i="24"/>
  <c r="J669" i="24"/>
  <c r="J712" i="24"/>
  <c r="J692" i="24"/>
  <c r="J687" i="24"/>
  <c r="J682" i="24"/>
  <c r="J677" i="24"/>
  <c r="J671" i="24"/>
  <c r="J713" i="24"/>
  <c r="J705" i="24"/>
  <c r="J703" i="24"/>
  <c r="J708" i="24"/>
  <c r="J707" i="24"/>
  <c r="J691" i="24"/>
  <c r="J668" i="24"/>
  <c r="J704" i="24"/>
  <c r="J700" i="24"/>
  <c r="J673" i="24"/>
  <c r="J645" i="24"/>
  <c r="J647" i="24"/>
  <c r="J699" i="24"/>
  <c r="J690" i="24"/>
  <c r="J681" i="24"/>
  <c r="J685" i="24"/>
  <c r="J676" i="24"/>
  <c r="J674" i="24"/>
  <c r="J646" i="24"/>
  <c r="J716" i="24"/>
  <c r="J670" i="24"/>
  <c r="J701" i="24"/>
  <c r="J680" i="24"/>
  <c r="L647" i="24" l="1"/>
  <c r="L708" i="24" s="1"/>
  <c r="L687" i="25"/>
  <c r="L711" i="25"/>
  <c r="L670" i="25"/>
  <c r="L686" i="25"/>
  <c r="L672" i="25"/>
  <c r="L674" i="25"/>
  <c r="L708" i="25"/>
  <c r="L678" i="25"/>
  <c r="L675" i="25"/>
  <c r="L676" i="25"/>
  <c r="L713" i="25"/>
  <c r="L679" i="25"/>
  <c r="L671" i="25"/>
  <c r="L698" i="25"/>
  <c r="L706" i="25"/>
  <c r="L714" i="25"/>
  <c r="L700" i="25"/>
  <c r="L673" i="25"/>
  <c r="L694" i="25"/>
  <c r="L717" i="25"/>
  <c r="L701" i="25"/>
  <c r="L703" i="25"/>
  <c r="L669" i="25"/>
  <c r="L689" i="25"/>
  <c r="L680" i="25"/>
  <c r="L677" i="25"/>
  <c r="L705" i="25"/>
  <c r="L688" i="25"/>
  <c r="L696" i="25"/>
  <c r="L695" i="25"/>
  <c r="L684" i="25"/>
  <c r="L702" i="25"/>
  <c r="L690" i="25"/>
  <c r="L704" i="25"/>
  <c r="L683" i="25"/>
  <c r="L707" i="25"/>
  <c r="L681" i="25"/>
  <c r="L693" i="25"/>
  <c r="L697" i="25"/>
  <c r="L685" i="25"/>
  <c r="L712" i="25"/>
  <c r="L691" i="25"/>
  <c r="L692" i="25"/>
  <c r="L710" i="25"/>
  <c r="L682" i="25"/>
  <c r="L709" i="25"/>
  <c r="K644" i="24"/>
  <c r="J715" i="24"/>
  <c r="K710" i="25"/>
  <c r="K702" i="25"/>
  <c r="K694" i="25"/>
  <c r="M694" i="25" s="1"/>
  <c r="K686" i="25"/>
  <c r="M686" i="25" s="1"/>
  <c r="K707" i="25"/>
  <c r="M707" i="25" s="1"/>
  <c r="K699" i="25"/>
  <c r="M699" i="25" s="1"/>
  <c r="K691" i="25"/>
  <c r="M691" i="25" s="1"/>
  <c r="K683" i="25"/>
  <c r="K712" i="25"/>
  <c r="K704" i="25"/>
  <c r="M704" i="25" s="1"/>
  <c r="K696" i="25"/>
  <c r="K688" i="25"/>
  <c r="K680" i="25"/>
  <c r="M680" i="25" s="1"/>
  <c r="K709" i="25"/>
  <c r="K701" i="25"/>
  <c r="M701" i="25" s="1"/>
  <c r="K693" i="25"/>
  <c r="K685" i="25"/>
  <c r="K717" i="25"/>
  <c r="K708" i="25"/>
  <c r="K700" i="25"/>
  <c r="M700" i="25" s="1"/>
  <c r="K692" i="25"/>
  <c r="K684" i="25"/>
  <c r="K714" i="25"/>
  <c r="K689" i="25"/>
  <c r="K687" i="25"/>
  <c r="M687" i="25" s="1"/>
  <c r="K678" i="25"/>
  <c r="K670" i="25"/>
  <c r="M670" i="25" s="1"/>
  <c r="K706" i="25"/>
  <c r="K681" i="25"/>
  <c r="K675" i="25"/>
  <c r="M675" i="25" s="1"/>
  <c r="K698" i="25"/>
  <c r="M698" i="25" s="1"/>
  <c r="K672" i="25"/>
  <c r="M672" i="25" s="1"/>
  <c r="K690" i="25"/>
  <c r="M690" i="25" s="1"/>
  <c r="K677" i="25"/>
  <c r="M677" i="25" s="1"/>
  <c r="K669" i="25"/>
  <c r="K682" i="25"/>
  <c r="K674" i="25"/>
  <c r="K679" i="25"/>
  <c r="M679" i="25" s="1"/>
  <c r="K671" i="25"/>
  <c r="M671" i="25" s="1"/>
  <c r="K713" i="25"/>
  <c r="K703" i="25"/>
  <c r="K673" i="25"/>
  <c r="M673" i="25" s="1"/>
  <c r="K697" i="25"/>
  <c r="K711" i="25"/>
  <c r="M711" i="25" s="1"/>
  <c r="K676" i="25"/>
  <c r="M676" i="25" s="1"/>
  <c r="K705" i="25"/>
  <c r="M705" i="25" s="1"/>
  <c r="K695" i="25"/>
  <c r="M695" i="25" s="1"/>
  <c r="M688" i="25"/>
  <c r="M692" i="25" l="1"/>
  <c r="M703" i="25"/>
  <c r="M710" i="25"/>
  <c r="M713" i="25"/>
  <c r="M693" i="25"/>
  <c r="M683" i="25"/>
  <c r="L690" i="24"/>
  <c r="L702" i="24"/>
  <c r="L678" i="24"/>
  <c r="L691" i="24"/>
  <c r="L703" i="24"/>
  <c r="L675" i="24"/>
  <c r="L683" i="24"/>
  <c r="L711" i="24"/>
  <c r="L705" i="24"/>
  <c r="L713" i="24"/>
  <c r="L682" i="24"/>
  <c r="L692" i="24"/>
  <c r="L674" i="24"/>
  <c r="L668" i="24"/>
  <c r="L672" i="24"/>
  <c r="L694" i="24"/>
  <c r="L695" i="24"/>
  <c r="L684" i="24"/>
  <c r="L697" i="24"/>
  <c r="L704" i="24"/>
  <c r="L689" i="24"/>
  <c r="L699" i="24"/>
  <c r="L669" i="24"/>
  <c r="L693" i="24"/>
  <c r="L680" i="24"/>
  <c r="L688" i="24"/>
  <c r="L712" i="24"/>
  <c r="L670" i="24"/>
  <c r="L707" i="24"/>
  <c r="L710" i="24"/>
  <c r="L677" i="24"/>
  <c r="L701" i="24"/>
  <c r="L687" i="24"/>
  <c r="L709" i="24"/>
  <c r="L698" i="24"/>
  <c r="L673" i="24"/>
  <c r="L676" i="24"/>
  <c r="L681" i="24"/>
  <c r="L686" i="24"/>
  <c r="L679" i="24"/>
  <c r="L696" i="24"/>
  <c r="L706" i="24"/>
  <c r="L685" i="24"/>
  <c r="L671" i="24"/>
  <c r="L716" i="24"/>
  <c r="L700" i="24"/>
  <c r="M674" i="25"/>
  <c r="M685" i="25"/>
  <c r="M681" i="25"/>
  <c r="M706" i="25"/>
  <c r="M714" i="25"/>
  <c r="M696" i="25"/>
  <c r="M689" i="25"/>
  <c r="M684" i="25"/>
  <c r="M697" i="25"/>
  <c r="M708" i="25"/>
  <c r="M678" i="25"/>
  <c r="M702" i="25"/>
  <c r="M682" i="25"/>
  <c r="L716" i="25"/>
  <c r="M709" i="25"/>
  <c r="M712" i="25"/>
  <c r="K713" i="24"/>
  <c r="K703" i="24"/>
  <c r="M703" i="24" s="1"/>
  <c r="C183" i="32" s="1"/>
  <c r="K695" i="24"/>
  <c r="M695" i="24" s="1"/>
  <c r="I119" i="32" s="1"/>
  <c r="K712" i="24"/>
  <c r="K711" i="24"/>
  <c r="K707" i="24"/>
  <c r="K699" i="24"/>
  <c r="K691" i="24"/>
  <c r="M691" i="24" s="1"/>
  <c r="E119" i="32" s="1"/>
  <c r="K683" i="24"/>
  <c r="M683" i="24" s="1"/>
  <c r="D87" i="32" s="1"/>
  <c r="K694" i="24"/>
  <c r="K689" i="24"/>
  <c r="M689" i="24" s="1"/>
  <c r="C119" i="32" s="1"/>
  <c r="K684" i="24"/>
  <c r="M684" i="24" s="1"/>
  <c r="E87" i="32" s="1"/>
  <c r="K679" i="24"/>
  <c r="M679" i="24" s="1"/>
  <c r="G55" i="32" s="1"/>
  <c r="K672" i="24"/>
  <c r="K693" i="24"/>
  <c r="M693" i="24" s="1"/>
  <c r="G119" i="32" s="1"/>
  <c r="K688" i="24"/>
  <c r="K669" i="24"/>
  <c r="M669" i="24" s="1"/>
  <c r="D23" i="32" s="1"/>
  <c r="K716" i="24"/>
  <c r="K678" i="24"/>
  <c r="K674" i="24"/>
  <c r="K708" i="24"/>
  <c r="M708" i="24" s="1"/>
  <c r="H183" i="32" s="1"/>
  <c r="K668" i="24"/>
  <c r="K701" i="24"/>
  <c r="K706" i="24"/>
  <c r="K705" i="24"/>
  <c r="K704" i="24"/>
  <c r="M704" i="24" s="1"/>
  <c r="D183" i="32" s="1"/>
  <c r="K686" i="24"/>
  <c r="M686" i="24" s="1"/>
  <c r="G87" i="32" s="1"/>
  <c r="K681" i="24"/>
  <c r="M681" i="24" s="1"/>
  <c r="I55" i="32" s="1"/>
  <c r="K676" i="24"/>
  <c r="M676" i="24" s="1"/>
  <c r="D55" i="32" s="1"/>
  <c r="K673" i="24"/>
  <c r="M673" i="24" s="1"/>
  <c r="H23" i="32" s="1"/>
  <c r="K709" i="24"/>
  <c r="K702" i="24"/>
  <c r="K700" i="24"/>
  <c r="K696" i="24"/>
  <c r="K677" i="24"/>
  <c r="K675" i="24"/>
  <c r="K671" i="24"/>
  <c r="K690" i="24"/>
  <c r="K692" i="24"/>
  <c r="K685" i="24"/>
  <c r="K710" i="24"/>
  <c r="K698" i="24"/>
  <c r="M698" i="24" s="1"/>
  <c r="E151" i="32" s="1"/>
  <c r="K687" i="24"/>
  <c r="K670" i="24"/>
  <c r="K680" i="24"/>
  <c r="K697" i="24"/>
  <c r="M697" i="24" s="1"/>
  <c r="D151" i="32" s="1"/>
  <c r="K682" i="24"/>
  <c r="M682" i="24" s="1"/>
  <c r="C87" i="32" s="1"/>
  <c r="K716" i="25"/>
  <c r="M669" i="25"/>
  <c r="M696" i="24" l="1"/>
  <c r="C151" i="32" s="1"/>
  <c r="M713" i="24"/>
  <c r="F215" i="32" s="1"/>
  <c r="M709" i="24"/>
  <c r="I183" i="32" s="1"/>
  <c r="M702" i="24"/>
  <c r="I151" i="32" s="1"/>
  <c r="M688" i="24"/>
  <c r="I87" i="32" s="1"/>
  <c r="M680" i="24"/>
  <c r="H55" i="32" s="1"/>
  <c r="M678" i="24"/>
  <c r="F55" i="32" s="1"/>
  <c r="M670" i="24"/>
  <c r="E23" i="32" s="1"/>
  <c r="M699" i="24"/>
  <c r="F151" i="32" s="1"/>
  <c r="M677" i="24"/>
  <c r="E55" i="32" s="1"/>
  <c r="M672" i="24"/>
  <c r="G23" i="32" s="1"/>
  <c r="M710" i="24"/>
  <c r="C215" i="32" s="1"/>
  <c r="M706" i="24"/>
  <c r="F183" i="32" s="1"/>
  <c r="L715" i="24"/>
  <c r="M687" i="24"/>
  <c r="H87" i="32" s="1"/>
  <c r="M694" i="24"/>
  <c r="H119" i="32" s="1"/>
  <c r="M685" i="24"/>
  <c r="F87" i="32" s="1"/>
  <c r="M707" i="24"/>
  <c r="G183" i="32" s="1"/>
  <c r="M705" i="24"/>
  <c r="E183" i="32" s="1"/>
  <c r="M692" i="24"/>
  <c r="F119" i="32" s="1"/>
  <c r="M701" i="24"/>
  <c r="H151" i="32" s="1"/>
  <c r="M690" i="24"/>
  <c r="D119" i="32" s="1"/>
  <c r="M668" i="24"/>
  <c r="C23" i="32" s="1"/>
  <c r="M671" i="24"/>
  <c r="F23" i="32" s="1"/>
  <c r="M711" i="24"/>
  <c r="D215" i="32" s="1"/>
  <c r="M675" i="24"/>
  <c r="C55" i="32" s="1"/>
  <c r="M674" i="24"/>
  <c r="I23" i="32" s="1"/>
  <c r="M712" i="24"/>
  <c r="E215" i="32" s="1"/>
  <c r="M700" i="24"/>
  <c r="G151" i="32" s="1"/>
  <c r="M716" i="25"/>
  <c r="K715" i="24"/>
  <c r="M715"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tc={BE2CDAD3-5F42-44BB-8F5A-205F41533091}</author>
  </authors>
  <commentList>
    <comment ref="U59" authorId="0" shapeId="0" xr:uid="{BE2CDAD3-5F42-44BB-8F5A-205F41533091}">
      <text>
        <t>[Threaded comment]
Your version of Excel allows you to read this threaded comment; however, any edits to it will get removed if the file is opened in a newer version of Excel. Learn more: https://go.microsoft.com/fwlink/?linkid=870924
Comment:
    missing offsit lab</t>
      </text>
    </comment>
  </commentList>
</comments>
</file>

<file path=xl/sharedStrings.xml><?xml version="1.0" encoding="utf-8"?>
<sst xmlns="http://schemas.openxmlformats.org/spreadsheetml/2006/main" count="5776" uniqueCount="1382">
  <si>
    <t xml:space="preserve"> Instructions:</t>
  </si>
  <si>
    <t xml:space="preserve">Hospital staff must complete the green tabs only. </t>
  </si>
  <si>
    <t>Financials from the Data tab will automatically transfer to the report pages (INFO_PG1, INFO_PG2, SS2_3_5_6, SS4, SS8, FS, and CC).</t>
  </si>
  <si>
    <t xml:space="preserve">The tabs named Contact, Support, Hospital, Funds, and Cost Center are protected and are intended for upload to the year end report database. </t>
  </si>
  <si>
    <t>leave these areas blank for fiscal year 2022 reporting but are required to complete these areas for fiscal year 2023 reporting.</t>
  </si>
  <si>
    <r>
      <rPr>
        <b/>
        <sz val="11"/>
        <rFont val="Calibri"/>
        <family val="2"/>
        <scheme val="minor"/>
      </rPr>
      <t>Data tab</t>
    </r>
    <r>
      <rPr>
        <sz val="11"/>
        <rFont val="Calibri"/>
        <family val="2"/>
        <scheme val="minor"/>
      </rPr>
      <t>: Enter financial data in the fields surrounded by purple. Your hospital license number and fiscal year end have already been entered.</t>
    </r>
  </si>
  <si>
    <t>If you want to review what you reported for the prior year you can click on the tab titled Prior Year.</t>
  </si>
  <si>
    <t>The square footage statistic is provided for all cost centers including the plant and this way</t>
  </si>
  <si>
    <t>square footage identified by cost center will total the gross square footage stated as the statistic in the plant cost center.</t>
  </si>
  <si>
    <t>Employee Benefits</t>
  </si>
  <si>
    <t>The employee benefits can be entered directly, assigned to the cost centers based on a percentage of salaries, or a combination of the two.</t>
  </si>
  <si>
    <t>Depreciation</t>
  </si>
  <si>
    <t>The Depreciation can be entered directly, assigned by square footage, or a combination of the two.</t>
  </si>
  <si>
    <t xml:space="preserve">After the salaries and the departmental square footage statistics are entered, the departmental employee benefits and depreciation will be </t>
  </si>
  <si>
    <t>hos@doh.wa.gov</t>
  </si>
  <si>
    <r>
      <rPr>
        <b/>
        <sz val="11"/>
        <rFont val="Calibri"/>
        <family val="2"/>
        <scheme val="minor"/>
      </rPr>
      <t>Responses-1 tab:</t>
    </r>
    <r>
      <rPr>
        <sz val="11"/>
        <rFont val="Calibri"/>
        <family val="2"/>
        <scheme val="minor"/>
      </rPr>
      <t xml:space="preserve"> The operating expenses, the units of measure and the operating expenses per unit of measure are listed on tab titled "Responses-1"</t>
    </r>
  </si>
  <si>
    <t xml:space="preserve">Increases or decreases in operating expenses per unit of measure exceeding 25% will prompt an explanation in column I. </t>
  </si>
  <si>
    <t>Also please provide any corrections required to the prior years information in column J.</t>
  </si>
  <si>
    <t xml:space="preserve">Responses-2 tab: </t>
  </si>
  <si>
    <r>
      <rPr>
        <b/>
        <sz val="11"/>
        <rFont val="Calibri"/>
        <family val="2"/>
        <scheme val="minor"/>
      </rPr>
      <t xml:space="preserve">Questions: </t>
    </r>
    <r>
      <rPr>
        <sz val="11"/>
        <rFont val="Calibri"/>
        <family val="2"/>
        <scheme val="minor"/>
      </rPr>
      <t>If you have any questions or concerns please call Communty Health Systems at 360-236-4210 or send an e-mail to:</t>
    </r>
  </si>
  <si>
    <t>Submit report via hospitals Secure File Transfer account: https://sft.wa.gov/</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</si>
  <si>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</si>
  <si>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</si>
  <si>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</si>
  <si>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</si>
  <si>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</si>
  <si>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</si>
  <si>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</si>
  <si>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</si>
  <si>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</si>
  <si>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</si>
  <si>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</si>
  <si>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</si>
  <si>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</si>
  <si>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</si>
  <si>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</si>
  <si>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</si>
  <si>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</si>
  <si>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</si>
  <si>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</si>
  <si>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</si>
  <si>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</si>
  <si>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</si>
  <si>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</si>
  <si>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</si>
  <si>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</si>
  <si>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</si>
  <si>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</si>
  <si>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</si>
  <si>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</si>
  <si>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</si>
  <si>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</si>
  <si>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</si>
  <si>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</si>
  <si>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</si>
  <si>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</si>
  <si>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</si>
  <si>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</si>
  <si>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</si>
  <si>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</si>
  <si>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</si>
  <si>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</si>
  <si>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</si>
  <si>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</si>
  <si>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</si>
  <si>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</si>
  <si>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</si>
  <si>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</si>
  <si>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</si>
  <si>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</si>
  <si>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</si>
  <si>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</si>
  <si>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</si>
  <si>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</si>
  <si>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</si>
  <si>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</si>
  <si>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</si>
  <si>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</si>
  <si>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</si>
  <si>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</si>
  <si>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</si>
  <si>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</si>
  <si>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</si>
  <si>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</si>
  <si>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</si>
  <si>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</si>
  <si>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</si>
  <si>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</si>
  <si>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</si>
  <si>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</si>
  <si>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</si>
  <si>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</si>
  <si>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</si>
  <si>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</si>
  <si>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</si>
  <si>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</si>
  <si>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</si>
  <si>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</si>
  <si>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</si>
  <si>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</si>
  <si>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</si>
  <si>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</si>
  <si>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</si>
  <si>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</si>
  <si>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</si>
  <si>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</si>
  <si>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</si>
  <si>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</si>
  <si>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</si>
  <si>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</si>
  <si>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</si>
  <si>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</si>
  <si>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</si>
  <si>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</si>
  <si>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</si>
  <si>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</si>
  <si>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</si>
  <si>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</si>
  <si>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</si>
  <si>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</si>
  <si>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Intravenous</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</si>
  <si>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</si>
  <si>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</si>
  <si>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</si>
  <si>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</si>
  <si>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</si>
  <si>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</si>
  <si>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</si>
  <si>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</si>
  <si>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</si>
  <si>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</si>
  <si>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</si>
  <si>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</si>
  <si>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</si>
  <si>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</si>
  <si>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</si>
  <si>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</si>
  <si>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</si>
  <si>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</si>
  <si>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</si>
  <si>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</si>
  <si>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</si>
  <si>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</si>
  <si>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</si>
  <si>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</si>
  <si>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</si>
  <si>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</si>
  <si>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</si>
  <si>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</si>
  <si>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</si>
  <si>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</si>
  <si>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</si>
  <si>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</si>
  <si>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</si>
  <si>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</si>
  <si>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</si>
  <si>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</si>
  <si>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</si>
  <si>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</si>
  <si>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</si>
  <si>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</si>
  <si>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</si>
  <si>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</si>
  <si>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</si>
  <si>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</si>
  <si>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</si>
  <si>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</si>
  <si>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</si>
  <si>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</si>
  <si>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</si>
  <si>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</si>
  <si>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</si>
  <si>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</si>
  <si>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</si>
  <si>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</si>
  <si>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</si>
  <si>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</si>
  <si>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</si>
  <si>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</si>
  <si>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</si>
  <si>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</si>
  <si>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</si>
  <si>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</si>
  <si>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</si>
  <si>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</si>
  <si>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</si>
  <si>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</si>
  <si>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</si>
  <si>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</si>
  <si>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</si>
  <si>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</si>
  <si>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</si>
  <si>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</si>
  <si>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</si>
  <si>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</si>
  <si>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</si>
  <si>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</si>
  <si>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</si>
  <si>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</si>
  <si>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</si>
  <si>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</si>
  <si>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</si>
  <si>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</si>
  <si>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</si>
  <si>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</si>
  <si>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</si>
  <si>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</si>
  <si>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</si>
  <si>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</si>
  <si>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</si>
  <si>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</si>
  <si>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</si>
  <si>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</si>
  <si>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</si>
  <si>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</si>
  <si>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</si>
  <si>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</si>
  <si>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</si>
  <si>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</si>
  <si>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</si>
  <si>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</si>
  <si>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</si>
  <si>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</si>
  <si>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</si>
  <si>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</si>
  <si>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</si>
  <si>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</si>
  <si>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</si>
  <si>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</si>
  <si>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</si>
  <si>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</si>
  <si>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</si>
  <si>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</si>
  <si>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</si>
  <si>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</si>
  <si>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</si>
  <si>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</si>
  <si>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</si>
  <si>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</si>
  <si>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</si>
  <si>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</si>
  <si>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</si>
  <si>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</si>
  <si>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Acquisitions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</si>
  <si>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</si>
  <si>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</si>
  <si>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</si>
  <si>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</si>
  <si>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</si>
  <si>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</si>
  <si>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</si>
  <si>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</si>
  <si>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</si>
  <si>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</si>
  <si>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</si>
  <si>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Blood Supplies</t>
  </si>
  <si>
    <t>Contract Staffing</t>
  </si>
  <si>
    <t>Information Technology, Including Licenses and Maintenance</t>
  </si>
  <si>
    <t>Insurance and Professional Liability</t>
  </si>
  <si>
    <t>Laundry Services</t>
  </si>
  <si>
    <t>Legal, Audit and Tax services</t>
  </si>
  <si>
    <t>Purchased Laboratory Services</t>
  </si>
  <si>
    <t>Repairs and Maintenance</t>
  </si>
  <si>
    <t>Shared Services or System Office Allocation</t>
  </si>
  <si>
    <t>Staff Recruitment</t>
  </si>
  <si>
    <t>Training Costs</t>
  </si>
  <si>
    <t>Taxes</t>
  </si>
  <si>
    <t>Utilities</t>
  </si>
  <si>
    <t>Other Noncategorized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</si>
  <si>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</si>
  <si>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</si>
  <si>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</si>
  <si>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</si>
  <si>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</si>
  <si>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</si>
  <si>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</si>
  <si>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</si>
  <si>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</si>
  <si>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</si>
  <si>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</si>
  <si>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</si>
  <si>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</si>
  <si>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
  </si>
  <si>
    <t>License Number</t>
  </si>
  <si>
    <t>:</t>
  </si>
  <si>
    <t>Hospital Name</t>
  </si>
  <si>
    <t>Mailing Address</t>
  </si>
  <si>
    <t>City</t>
  </si>
  <si>
    <t>State</t>
  </si>
  <si>
    <t>Zip</t>
  </si>
  <si>
    <t>County</t>
  </si>
  <si>
    <t>Chief Executive Officer</t>
  </si>
  <si>
    <t>Chief Financial Officer</t>
  </si>
  <si>
    <t>Chair of Governing Board</t>
  </si>
  <si>
    <t>Telephone Number</t>
  </si>
  <si>
    <t>Facsimile Number</t>
  </si>
  <si>
    <t>Name of Submitter</t>
  </si>
  <si>
    <t>Email of Submitter</t>
  </si>
  <si>
    <t>TYPE OF ORGANIZATION  (If applies enter 1)</t>
  </si>
  <si>
    <t>Governmental</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</si>
  <si>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</si>
  <si>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</si>
  <si>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</si>
  <si>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</si>
  <si>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</si>
  <si>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</si>
  <si>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</si>
  <si>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</si>
  <si>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</si>
  <si>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</si>
  <si>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</si>
  <si>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</si>
  <si>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</si>
  <si>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</si>
  <si>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</si>
  <si>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</si>
  <si>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</si>
  <si>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Med/Surg</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</si>
  <si>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</si>
  <si>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</si>
  <si>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</si>
  <si>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</si>
  <si>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</si>
  <si>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</si>
  <si>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</si>
  <si>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</si>
  <si>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</si>
  <si>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</si>
  <si>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PAYER UNITS OF SERVICE AND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</si>
  <si>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</si>
  <si>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</si>
  <si>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</si>
  <si>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</si>
  <si>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</si>
  <si>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</si>
  <si>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</si>
  <si>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</si>
  <si>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</si>
  <si>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</si>
  <si>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</si>
  <si>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</si>
  <si>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</si>
  <si>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</si>
  <si>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</si>
  <si>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</si>
  <si>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</si>
  <si>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</si>
  <si>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</si>
  <si>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</si>
  <si>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</si>
  <si>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</si>
  <si>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</si>
  <si>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</si>
  <si>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</si>
  <si>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</si>
  <si>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</si>
  <si>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</si>
  <si>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</si>
  <si>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</si>
  <si>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</si>
  <si>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</si>
  <si>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</si>
  <si>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</si>
  <si>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</si>
  <si>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</si>
  <si>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</si>
  <si>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</si>
  <si>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</si>
  <si>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</si>
  <si>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</si>
  <si>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</si>
  <si>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</si>
  <si>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</si>
  <si>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</si>
  <si>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</si>
  <si>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</si>
  <si>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</si>
  <si>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Provision for Bad Debt</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</si>
  <si>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</si>
  <si>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</si>
  <si>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</si>
  <si>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</si>
  <si>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</si>
  <si>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</si>
  <si>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</si>
  <si>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</si>
  <si>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</si>
  <si>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</si>
  <si>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</si>
  <si>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</si>
  <si>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</si>
  <si>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</si>
  <si>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</si>
  <si>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</si>
  <si>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</si>
  <si>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</si>
  <si>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</si>
  <si>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</si>
  <si>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</si>
  <si>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</si>
  <si>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</si>
  <si>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Rec. From 3rd Party Payers</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</si>
  <si>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</si>
  <si>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</si>
  <si>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</si>
  <si>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</si>
  <si>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</si>
  <si>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</si>
  <si>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</si>
  <si>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</si>
  <si>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</si>
  <si>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</si>
  <si>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</si>
  <si>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</si>
  <si>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</si>
  <si>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</si>
  <si>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</si>
  <si>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</si>
  <si>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</si>
  <si>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</si>
  <si>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</si>
  <si>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</si>
  <si>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</si>
  <si>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</si>
  <si>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</si>
  <si>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</si>
  <si>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</si>
  <si>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</si>
  <si>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</si>
  <si>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</si>
  <si>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</si>
  <si>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</si>
  <si>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</si>
  <si>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</si>
  <si>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</si>
  <si>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</si>
  <si>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</si>
  <si>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Payables to 3rd Party Payers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</si>
  <si>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</si>
  <si>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</si>
  <si>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</si>
  <si>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</si>
  <si>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</si>
  <si>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</si>
  <si>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</si>
  <si>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</si>
  <si>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</si>
  <si>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</si>
  <si>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</si>
  <si>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</si>
  <si>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</si>
  <si>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</si>
  <si>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</si>
  <si>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</si>
  <si>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</si>
  <si>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Emergency Funding (Loans) - Local, State or Federal</t>
  </si>
  <si>
    <t>Noncurrent Liabilities</t>
  </si>
  <si>
    <t>Less Current Maturities LTD</t>
  </si>
  <si>
    <t>Total Long Term Debt</t>
  </si>
  <si>
    <t>Unrestricted Fund Balance</t>
  </si>
  <si>
    <t>Preferred Stock</t>
  </si>
  <si>
    <t>Common Stock</t>
  </si>
  <si>
    <t>Additional Paid In Capital</t>
  </si>
  <si>
    <t>Retained Earnings</t>
  </si>
  <si>
    <t>Less: Treasury Stock</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</si>
  <si>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</si>
  <si>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</si>
  <si>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</si>
  <si>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</si>
  <si>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</si>
  <si>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</si>
  <si>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</si>
  <si>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</si>
  <si>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</si>
  <si>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</si>
  <si>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</si>
  <si>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</si>
  <si>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</si>
  <si>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</si>
  <si>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Donations</t>
  </si>
  <si>
    <t>Grants</t>
  </si>
  <si>
    <t>Joint Venture revenue</t>
  </si>
  <si>
    <t>Local Taxes</t>
  </si>
  <si>
    <t>Outpatient Pharmacy</t>
  </si>
  <si>
    <t>Parking</t>
  </si>
  <si>
    <t>Quality Incentive Payments</t>
  </si>
  <si>
    <t>Reference Laboratories</t>
  </si>
  <si>
    <t>Rental Income</t>
  </si>
  <si>
    <t>Retail Cafeteria</t>
  </si>
  <si>
    <t>Other Noncategorized revenues</t>
  </si>
  <si>
    <t>Total 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</si>
  <si>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</si>
  <si>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</si>
  <si>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</si>
  <si>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</si>
  <si>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</si>
  <si>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</si>
  <si>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</si>
  <si>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</si>
  <si>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</si>
  <si>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</si>
  <si>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</si>
  <si>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</si>
  <si>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Other Direct Expense:</t>
  </si>
  <si>
    <t>Information Technology, including licenses and maintenance</t>
  </si>
  <si>
    <t>Total Other Direct Expenses</t>
  </si>
  <si>
    <t>Total Operating Expenses</t>
  </si>
  <si>
    <t>Net Operating Revenue</t>
  </si>
  <si>
    <t>Non Operating Rev Net of Exp</t>
  </si>
  <si>
    <t>Emergency Funding - Local, State, Federal</t>
  </si>
  <si>
    <t>Total Non Operating Rev Net of Exp</t>
  </si>
  <si>
    <t xml:space="preserve">Net Rev. Before Items Listed Below   </t>
  </si>
  <si>
    <t>Extraordinary Items</t>
  </si>
  <si>
    <t>Federal Income Taxes</t>
  </si>
  <si>
    <t>Net Revenue or (Expense)</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</si>
  <si>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</si>
  <si>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</si>
  <si>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</si>
  <si>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</si>
  <si>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</si>
  <si>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</si>
  <si>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</si>
  <si>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</si>
  <si>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</si>
  <si>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</si>
  <si>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</si>
  <si>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</si>
  <si>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</si>
  <si>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</si>
  <si>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</si>
  <si>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</si>
  <si>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</si>
  <si>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</si>
  <si>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</si>
  <si>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</si>
  <si>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</si>
  <si>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</si>
  <si>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</si>
  <si>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</si>
  <si>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</si>
  <si>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</si>
  <si>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</si>
  <si>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</si>
  <si>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</si>
  <si>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</si>
  <si>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</si>
  <si>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</si>
  <si>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</si>
  <si>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</si>
  <si>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</si>
  <si>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</si>
  <si>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</si>
  <si>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</si>
  <si>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</si>
  <si>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</si>
  <si>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</si>
  <si>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</si>
  <si>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</si>
  <si>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</si>
  <si>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</si>
  <si>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</si>
  <si>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</si>
  <si>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</si>
  <si>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</si>
  <si>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</si>
  <si>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</si>
  <si>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</si>
  <si>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</si>
  <si>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</si>
  <si>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</si>
  <si>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</si>
  <si>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</si>
  <si>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</si>
  <si>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</si>
  <si>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</si>
  <si>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</si>
  <si>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</si>
  <si>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</si>
  <si>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</si>
  <si>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</si>
  <si>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</si>
  <si>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</si>
  <si>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</si>
  <si>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</si>
  <si>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</si>
  <si>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</si>
  <si>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</si>
  <si>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</si>
  <si>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</si>
  <si>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</si>
  <si>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</si>
  <si>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</si>
  <si>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</si>
  <si>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</si>
  <si>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</si>
  <si>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</si>
  <si>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</si>
  <si>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</si>
  <si>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</si>
  <si>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</si>
  <si>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</si>
  <si>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</si>
  <si>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</si>
  <si>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</si>
  <si>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</si>
  <si>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</si>
  <si>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</si>
  <si>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</si>
  <si>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</si>
  <si>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</si>
  <si>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</si>
  <si>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</si>
  <si>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</si>
  <si>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</si>
  <si>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</si>
  <si>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</si>
  <si>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</si>
  <si>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</si>
  <si>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</si>
  <si>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</si>
  <si>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</si>
  <si>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</si>
  <si>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</si>
  <si>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</si>
  <si>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</si>
  <si>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</si>
  <si>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Radiology - Diagnostic</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</si>
  <si>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</si>
  <si>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</si>
  <si>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</si>
  <si>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</si>
  <si>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</si>
  <si>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</si>
  <si>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</si>
  <si>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</si>
  <si>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</si>
  <si>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</si>
  <si>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</si>
  <si>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</si>
  <si>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</si>
  <si>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</si>
  <si>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</si>
  <si>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</si>
  <si>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</si>
  <si>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</si>
  <si>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</si>
  <si>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</si>
  <si>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</si>
  <si>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</si>
  <si>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</si>
  <si>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</si>
  <si>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</si>
  <si>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</si>
  <si>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</si>
  <si>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</si>
  <si>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</si>
  <si>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</si>
  <si>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</si>
  <si>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</si>
  <si>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</si>
  <si>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</si>
  <si>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</si>
  <si>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</si>
  <si>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</si>
  <si>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</si>
  <si>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</si>
  <si>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</si>
  <si>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</si>
  <si>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</si>
  <si>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</si>
  <si>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</si>
  <si>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Page 1 of 21</t>
  </si>
  <si>
    <t>TRANSMITTAL AND CERTIFICATION</t>
  </si>
  <si>
    <t>HOSPITAL'S YEAR END REPORT</t>
  </si>
  <si>
    <t>TO</t>
  </si>
  <si>
    <t>The Department of Health</t>
  </si>
  <si>
    <t>Office of Community Health Systems</t>
  </si>
  <si>
    <t>P.O. Box 47853</t>
  </si>
  <si>
    <t>Olympia, Washington 98504-7853</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</si>
  <si>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</si>
  <si>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</si>
  <si>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</si>
  <si>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</si>
  <si>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</si>
  <si>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</si>
  <si>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</si>
  <si>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</si>
  <si>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</si>
  <si>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</si>
  <si>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</si>
  <si>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</si>
  <si>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</si>
  <si>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Flutcutation Analysis and Response:</t>
  </si>
  <si>
    <t>The actual operating expenses and units of measure are presented for the past two years in columns B-E.</t>
  </si>
  <si>
    <t>The operating expenses per unit of measure are presented in columns F and G.</t>
  </si>
  <si>
    <t>If the percentage change in operating expenses increases or decreases by more than 25 %, the variance appears in column H.</t>
  </si>
  <si>
    <t xml:space="preserve">If the percentage change increase or decrease exceeds 25%, please provide an explanation in column I. </t>
  </si>
  <si>
    <t>Operating</t>
  </si>
  <si>
    <t xml:space="preserve">Units of </t>
  </si>
  <si>
    <t>Op Exp /</t>
  </si>
  <si>
    <t xml:space="preserve">% chg </t>
  </si>
  <si>
    <t>Cost Center</t>
  </si>
  <si>
    <t>Measure</t>
  </si>
  <si>
    <t>U O M</t>
  </si>
  <si>
    <t>&lt;&gt; 25%</t>
  </si>
  <si>
    <t>Comments</t>
  </si>
  <si>
    <t>Prior Year Corrections</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</si>
  <si>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</si>
  <si>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</si>
  <si>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</si>
  <si>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</si>
  <si>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</si>
  <si>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</si>
  <si>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</si>
  <si>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</si>
  <si>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</si>
  <si>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</si>
  <si>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</si>
  <si>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</si>
  <si>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</si>
  <si>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</si>
  <si>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</si>
  <si>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</si>
  <si>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</si>
  <si>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</si>
  <si>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7060  Intravenous Therapy</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</si>
  <si>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</si>
  <si>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</si>
  <si>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</si>
  <si>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</si>
  <si>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</si>
  <si>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</si>
  <si>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</si>
  <si>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</si>
  <si>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</si>
  <si>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</si>
  <si>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</si>
  <si>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</si>
  <si>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</si>
  <si>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</si>
  <si>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</si>
  <si>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</si>
  <si>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</si>
  <si>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</si>
  <si>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</si>
  <si>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7340  Electromyography</t>
  </si>
  <si>
    <t>7350  Observation Unit</t>
  </si>
  <si>
    <t>7380  Free-Standing Clinics</t>
  </si>
  <si>
    <t>7390  Air Transportation</t>
  </si>
  <si>
    <t>7400  Home Care Services</t>
  </si>
  <si>
    <t>7410  Lithotripsy</t>
  </si>
  <si>
    <t>7420  Organ Transplants</t>
  </si>
  <si>
    <t>7430  Outpatient Chem. Dep.</t>
  </si>
  <si>
    <t>7490  Other Ancillary</t>
  </si>
  <si>
    <t>8200  Research / Education</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</si>
  <si>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</si>
  <si>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</si>
  <si>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</si>
  <si>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</si>
  <si>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</si>
  <si>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</si>
  <si>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</si>
  <si>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</si>
  <si>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</si>
  <si>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</si>
  <si>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</si>
  <si>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</si>
  <si>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</si>
  <si>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</si>
  <si>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</si>
  <si>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</si>
  <si>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</si>
  <si>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</si>
  <si>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</si>
  <si>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</si>
  <si>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</si>
  <si>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8660  Auxiliary Groups</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</si>
  <si>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</si>
  <si>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</si>
  <si>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</si>
  <si>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</si>
  <si>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</si>
  <si>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</si>
  <si>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</si>
  <si>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</si>
  <si>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</si>
  <si>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</si>
  <si>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</si>
  <si>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Noncategorized Revenues and Expenses:</t>
  </si>
  <si>
    <t>Noncategorized Revenues:</t>
  </si>
  <si>
    <t>Futher Detail Required:</t>
  </si>
  <si>
    <t>Account Description:</t>
  </si>
  <si>
    <t>Amount</t>
  </si>
  <si>
    <t>[Add revenue account information]</t>
  </si>
  <si>
    <t>Noncategorized Expenses:</t>
  </si>
  <si>
    <t>[Add expense account information]</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</si>
  <si>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</si>
  <si>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</si>
  <si>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</si>
  <si>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</si>
  <si>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</si>
  <si>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</si>
  <si>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</si>
  <si>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</si>
  <si>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</si>
  <si>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</si>
  <si>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</si>
  <si>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</si>
  <si>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</si>
  <si>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</si>
  <si>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</si>
  <si>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</si>
  <si>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</si>
  <si>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</si>
  <si>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</si>
  <si>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</si>
  <si>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</si>
  <si>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</si>
  <si>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</si>
  <si>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</si>
  <si>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</si>
  <si>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</si>
  <si>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</si>
  <si>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</si>
  <si>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</si>
  <si>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</si>
  <si>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PAYOR</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</si>
  <si>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</si>
  <si>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</si>
  <si>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</si>
  <si>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</si>
  <si>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</si>
  <si>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</si>
  <si>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</si>
  <si>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</si>
  <si>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</si>
  <si>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</si>
  <si>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</si>
  <si>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</si>
  <si>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</si>
  <si>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</si>
  <si>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</si>
  <si>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</si>
  <si>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</si>
  <si>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</si>
  <si>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</si>
  <si>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</si>
  <si>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</si>
  <si>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</si>
  <si>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</si>
  <si>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</si>
  <si>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</si>
  <si>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</si>
  <si>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</si>
  <si>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</si>
  <si>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</si>
  <si>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</si>
  <si>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</si>
  <si>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</si>
  <si>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</si>
  <si>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</si>
  <si>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</si>
  <si>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</si>
  <si>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</si>
  <si>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</si>
  <si>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</si>
  <si>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</si>
  <si>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</si>
  <si>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</si>
  <si>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</si>
  <si>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</si>
  <si>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</si>
  <si>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</si>
  <si>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</si>
  <si>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</si>
  <si>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</si>
  <si>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</si>
  <si>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</si>
  <si>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</si>
  <si>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</si>
  <si>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</si>
  <si>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</si>
  <si>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</si>
  <si>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</si>
  <si>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</si>
  <si>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</si>
  <si>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</si>
  <si>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</si>
  <si>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</si>
  <si>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</si>
  <si>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</si>
  <si>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</si>
  <si>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</si>
  <si>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</si>
  <si>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</si>
  <si>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</si>
  <si>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</si>
  <si>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</si>
  <si>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</si>
  <si>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</si>
  <si>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</si>
  <si>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</si>
  <si>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</si>
  <si>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</si>
  <si>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</si>
  <si>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</si>
  <si>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</si>
  <si>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</si>
  <si>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</si>
  <si>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</si>
  <si>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</si>
  <si>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</si>
  <si>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</si>
  <si>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</si>
  <si>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</si>
  <si>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</si>
  <si>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</si>
  <si>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</si>
  <si>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</si>
  <si>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</si>
  <si>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</si>
  <si>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</si>
  <si>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</si>
  <si>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Provision for Bad Debts</t>
  </si>
  <si>
    <t>Charity and Uncompensated Care</t>
  </si>
  <si>
    <t>Other Adjustments and Allowances</t>
  </si>
  <si>
    <t>NET PATIENT SERVICE REVENUE</t>
  </si>
  <si>
    <t>15a</t>
  </si>
  <si>
    <t>15b</t>
  </si>
  <si>
    <t>15c</t>
  </si>
  <si>
    <t>15d</t>
  </si>
  <si>
    <t>15e</t>
  </si>
  <si>
    <t>15f</t>
  </si>
  <si>
    <t>15g</t>
  </si>
  <si>
    <t>15h</t>
  </si>
  <si>
    <t>15i</t>
  </si>
  <si>
    <t>15j</t>
  </si>
  <si>
    <t>15k</t>
  </si>
  <si>
    <t>TOTAL OTHER OPERATING REVENUE</t>
  </si>
  <si>
    <t>TOTAL OPERATING REVENUE</t>
  </si>
  <si>
    <t>OPERATING EXPENSES</t>
  </si>
  <si>
    <t>Purchased Services - Utilities</t>
  </si>
  <si>
    <t>Purchased Services - Other</t>
  </si>
  <si>
    <t>Rentals and Leases</t>
  </si>
  <si>
    <t>License and Taxes</t>
  </si>
  <si>
    <t>32a</t>
  </si>
  <si>
    <t>32b</t>
  </si>
  <si>
    <t>32c</t>
  </si>
  <si>
    <t>Information Technology</t>
  </si>
  <si>
    <t>32d</t>
  </si>
  <si>
    <t>32e</t>
  </si>
  <si>
    <t>32f</t>
  </si>
  <si>
    <t>32g</t>
  </si>
  <si>
    <t>32h</t>
  </si>
  <si>
    <t>32i</t>
  </si>
  <si>
    <t>32j</t>
  </si>
  <si>
    <t>32k</t>
  </si>
  <si>
    <t>32l</t>
  </si>
  <si>
    <t>32m</t>
  </si>
  <si>
    <t>32n</t>
  </si>
  <si>
    <t>Other noncategorized Expenses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</si>
  <si>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</si>
  <si>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</si>
  <si>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</si>
  <si>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</si>
  <si>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</si>
  <si>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</si>
  <si>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</si>
  <si>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</si>
  <si>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</si>
  <si>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</si>
  <si>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</si>
  <si>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Birthing Ctr</t>
  </si>
  <si>
    <t>Unit Description</t>
  </si>
  <si>
    <t>Leases/Rentals</t>
  </si>
  <si>
    <t>Other Direct Expenses</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</si>
  <si>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</si>
  <si>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</si>
  <si>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</si>
  <si>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</si>
  <si>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</si>
  <si>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</si>
  <si>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</si>
  <si>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</si>
  <si>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</si>
  <si>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</si>
  <si>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</si>
  <si>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</si>
  <si>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</si>
  <si>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</si>
  <si>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</si>
  <si>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</si>
  <si>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</si>
  <si>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</si>
  <si>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</si>
  <si>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</si>
  <si>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</si>
  <si>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</si>
  <si>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</si>
  <si>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</si>
  <si>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</si>
  <si>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</si>
  <si>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</si>
  <si>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</si>
  <si>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</si>
  <si>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</si>
  <si>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</si>
  <si>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</si>
  <si>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</si>
  <si>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</si>
  <si>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</si>
  <si>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</si>
  <si>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</si>
  <si>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</si>
  <si>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</si>
  <si>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</si>
  <si>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</si>
  <si>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</si>
  <si>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</si>
  <si>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</si>
  <si>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</si>
  <si>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</si>
  <si>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hi_fiscal_year_end</t>
  </si>
  <si>
    <t>hi_license_number</t>
  </si>
  <si>
    <t>hi_hospital_name</t>
  </si>
  <si>
    <t>hi_mailing_address</t>
  </si>
  <si>
    <t>hi_city</t>
  </si>
  <si>
    <t>hi_state</t>
  </si>
  <si>
    <t>hi_zip_code</t>
  </si>
  <si>
    <t>hi_county_name</t>
  </si>
  <si>
    <t>hi_chief_executive_officer</t>
  </si>
  <si>
    <t>hi_chief_financial_officer</t>
  </si>
  <si>
    <t>hi_phone_number</t>
  </si>
  <si>
    <t>hi_fax_number</t>
  </si>
  <si>
    <t>hi_submitter_name</t>
  </si>
  <si>
    <t>hi_submitter_email</t>
  </si>
  <si>
    <t>s_license_number</t>
  </si>
  <si>
    <t>s_year</t>
  </si>
  <si>
    <t>s_record_type</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</si>
  <si>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</si>
  <si>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</si>
  <si>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</si>
  <si>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</si>
  <si>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</si>
  <si>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</si>
  <si>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</si>
  <si>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</si>
  <si>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</si>
  <si>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</si>
  <si>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</si>
  <si>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</si>
  <si>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</si>
  <si>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</si>
  <si>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</si>
  <si>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</si>
  <si>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</si>
  <si>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</si>
  <si>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</si>
  <si>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</si>
  <si>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</si>
  <si>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</si>
  <si>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</si>
  <si>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</si>
  <si>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</si>
  <si>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</si>
  <si>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</si>
  <si>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</si>
  <si>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</si>
  <si>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</si>
  <si>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</si>
  <si>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</si>
  <si>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</si>
  <si>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</si>
  <si>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</si>
  <si>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</si>
  <si>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</si>
  <si>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</si>
  <si>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</si>
  <si>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</si>
  <si>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</si>
  <si>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</si>
  <si>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</si>
  <si>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</si>
  <si>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</si>
  <si>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</si>
  <si>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</si>
  <si>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</si>
  <si>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</si>
  <si>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</si>
  <si>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</si>
  <si>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</si>
  <si>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</si>
  <si>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</si>
  <si>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</si>
  <si>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</si>
  <si>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</si>
  <si>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</si>
  <si>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</si>
  <si>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</si>
  <si>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</si>
  <si>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</si>
  <si>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</si>
  <si>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</si>
  <si>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</si>
  <si>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</si>
  <si>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</si>
  <si>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</si>
  <si>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</si>
  <si>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</si>
  <si>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</si>
  <si>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</si>
  <si>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</si>
  <si>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</si>
  <si>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</si>
  <si>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</si>
  <si>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</si>
  <si>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</si>
  <si>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</si>
  <si>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</si>
  <si>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YDRTBD</t>
  </si>
  <si>
    <t>A</t>
  </si>
  <si>
    <t>h_license_number</t>
  </si>
  <si>
    <t>h_year</t>
  </si>
  <si>
    <t>h_record_type</t>
  </si>
  <si>
    <t>YADMISAP</t>
  </si>
  <si>
    <t>YADMSNF</t>
  </si>
  <si>
    <t>YADMATC</t>
  </si>
  <si>
    <t>YBIRTHS</t>
  </si>
  <si>
    <t>YHPDYS</t>
  </si>
  <si>
    <t>YSPDYS</t>
  </si>
  <si>
    <t>YAPDYS</t>
  </si>
  <si>
    <t>YNBDYS</t>
  </si>
  <si>
    <t>YIC</t>
  </si>
  <si>
    <t>YSIC</t>
  </si>
  <si>
    <t>YACMS</t>
  </si>
  <si>
    <t>YACPED</t>
  </si>
  <si>
    <t>YACOB</t>
  </si>
  <si>
    <t>YACREH</t>
  </si>
  <si>
    <t>YPSY</t>
  </si>
  <si>
    <t>YSNF</t>
  </si>
  <si>
    <t>YSWI</t>
  </si>
  <si>
    <t>YATC</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</si>
  <si>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</si>
  <si>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</si>
  <si>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</si>
  <si>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</si>
  <si>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</si>
  <si>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</si>
  <si>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</si>
  <si>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</si>
  <si>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</si>
  <si>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</si>
  <si>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</si>
  <si>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</si>
  <si>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</si>
  <si>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</si>
  <si>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</si>
  <si>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</si>
  <si>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</si>
  <si>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</si>
  <si>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</si>
  <si>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</si>
  <si>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</si>
  <si>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</si>
  <si>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</si>
  <si>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</si>
  <si>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</si>
  <si>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</si>
  <si>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</si>
  <si>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</si>
  <si>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</si>
  <si>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</si>
  <si>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</si>
  <si>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</si>
  <si>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</si>
  <si>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</si>
  <si>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</si>
  <si>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</si>
  <si>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</si>
  <si>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</si>
  <si>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</si>
  <si>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</si>
  <si>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</si>
  <si>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</si>
  <si>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</si>
  <si>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</si>
  <si>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</si>
  <si>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</si>
  <si>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</si>
  <si>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</si>
  <si>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</si>
  <si>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</si>
  <si>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f_license_number</t>
  </si>
  <si>
    <t>f_year</t>
  </si>
  <si>
    <t>f_record_type</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</si>
  <si>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</si>
  <si>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</si>
  <si>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</si>
  <si>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</si>
  <si>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</si>
  <si>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</si>
  <si>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</si>
  <si>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</si>
  <si>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</si>
  <si>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</si>
  <si>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</si>
  <si>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</si>
  <si>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</si>
  <si>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</si>
  <si>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</si>
  <si>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</si>
  <si>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</si>
  <si>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</si>
  <si>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</si>
  <si>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</si>
  <si>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</si>
  <si>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</si>
  <si>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</si>
  <si>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</si>
  <si>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</si>
  <si>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</si>
  <si>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</si>
  <si>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</si>
  <si>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</si>
  <si>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</si>
  <si>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</si>
  <si>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</si>
  <si>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</si>
  <si>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</si>
  <si>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</si>
  <si>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</si>
  <si>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</si>
  <si>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</si>
  <si>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</si>
  <si>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</si>
  <si>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</si>
  <si>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</si>
  <si>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</si>
  <si>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</si>
  <si>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</si>
  <si>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</si>
  <si>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</si>
  <si>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</si>
  <si>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</si>
  <si>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</si>
  <si>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YBSEFL</t>
  </si>
  <si>
    <t>YBSLTNL</t>
  </si>
  <si>
    <t>YBSLTOLTD</t>
  </si>
  <si>
    <t>YBSUFB</t>
  </si>
  <si>
    <t>YBSEPS</t>
  </si>
  <si>
    <t>YBSECS</t>
  </si>
  <si>
    <t>YBSEAPC</t>
  </si>
  <si>
    <t>YBSERE</t>
  </si>
  <si>
    <t>YBSETS</t>
  </si>
  <si>
    <t>YCSFTE</t>
  </si>
  <si>
    <t>YCSIPR</t>
  </si>
  <si>
    <t>YCSOPR</t>
  </si>
  <si>
    <t>YCSCA</t>
  </si>
  <si>
    <t>YCSCUC</t>
  </si>
  <si>
    <t>YCSOAA</t>
  </si>
  <si>
    <t>YCSOOR</t>
  </si>
  <si>
    <t>YCSOORD</t>
  </si>
  <si>
    <t>YCSOORG</t>
  </si>
  <si>
    <t>YCSOORJV</t>
  </si>
  <si>
    <t>YCSOORLT</t>
  </si>
  <si>
    <t>YCSOOROP</t>
  </si>
  <si>
    <t>YCSOORP</t>
  </si>
  <si>
    <t>YCSOORQI</t>
  </si>
  <si>
    <t>YCSOORRL</t>
  </si>
  <si>
    <t>YCSOORRI</t>
  </si>
  <si>
    <t>YCSOORRC</t>
  </si>
  <si>
    <t>YCSOORON</t>
  </si>
  <si>
    <t>YCSTR</t>
  </si>
  <si>
    <t>YCSSLS</t>
  </si>
  <si>
    <t>YCSEBS</t>
  </si>
  <si>
    <t>YCSPFS</t>
  </si>
  <si>
    <t>YCSSUP</t>
  </si>
  <si>
    <t>YCSPSU</t>
  </si>
  <si>
    <t>YCSPSO</t>
  </si>
  <si>
    <t>YCSDRL</t>
  </si>
  <si>
    <t>YCSRL</t>
  </si>
  <si>
    <t>YCSINS</t>
  </si>
  <si>
    <t>YCSLT</t>
  </si>
  <si>
    <t>YCSINT</t>
  </si>
  <si>
    <t>YCSPBD</t>
  </si>
  <si>
    <t>YCSODE</t>
  </si>
  <si>
    <t>YODEBS</t>
  </si>
  <si>
    <t>YODECS</t>
  </si>
  <si>
    <t>YODEIT</t>
  </si>
  <si>
    <t>YODEIPL</t>
  </si>
  <si>
    <t>YODELS</t>
  </si>
  <si>
    <t>YODELAT</t>
  </si>
  <si>
    <t>YODEPLS</t>
  </si>
  <si>
    <t>YODERM</t>
  </si>
  <si>
    <t>YODESS</t>
  </si>
  <si>
    <t>YODESR</t>
  </si>
  <si>
    <t>YODETC</t>
  </si>
  <si>
    <t>YODETAX</t>
  </si>
  <si>
    <t>YODEUTIL</t>
  </si>
  <si>
    <t>YODEONE</t>
  </si>
  <si>
    <t>YCSEFR</t>
  </si>
  <si>
    <t>YCSNORNE</t>
  </si>
  <si>
    <t>YCSEI</t>
  </si>
  <si>
    <t>YCSFIT</t>
  </si>
  <si>
    <t>c_license_number</t>
  </si>
  <si>
    <t>c_year</t>
  </si>
  <si>
    <t>c_account_number</t>
  </si>
  <si>
    <t>c_record_type</t>
  </si>
  <si>
    <t>YUTS</t>
  </si>
  <si>
    <t>YFTE</t>
  </si>
  <si>
    <t>YSLS</t>
  </si>
  <si>
    <t>YEBS</t>
  </si>
  <si>
    <t>YPFS</t>
  </si>
  <si>
    <t>YSUP</t>
  </si>
  <si>
    <t>YPSU</t>
  </si>
  <si>
    <t>YPSO</t>
  </si>
  <si>
    <t>YDRL</t>
  </si>
  <si>
    <t>YRL</t>
  </si>
  <si>
    <t>YODE</t>
  </si>
  <si>
    <t>YREC</t>
  </si>
  <si>
    <t>YREV</t>
  </si>
  <si>
    <t>YIRV</t>
  </si>
  <si>
    <t>SPSF</t>
  </si>
  <si>
    <t>SDMS</t>
  </si>
  <si>
    <t>SHHS</t>
  </si>
  <si>
    <t>SLDP</t>
  </si>
  <si>
    <t>SHNF</t>
  </si>
  <si>
    <r>
      <rPr>
        <b/>
        <sz val="11"/>
        <color rgb="FFFF0000"/>
        <rFont val="Calibri"/>
        <family val="2"/>
        <scheme val="minor"/>
      </rPr>
      <t>E2SHB 1272 Requirements:</t>
    </r>
    <r>
      <rPr>
        <sz val="11"/>
        <rFont val="Calibri"/>
        <family val="2"/>
        <scheme val="minor"/>
      </rPr>
      <t xml:space="preserve"> Areas on the Data tab that are shaded grey and the entire Responses-2 tab represent E2SHB 1272 requirements. Hospitals may</t>
    </r>
  </si>
  <si>
    <t>Line 97: "Fiscal Year Ended" must be entered in MM/DD/YYYY format.</t>
  </si>
  <si>
    <t xml:space="preserve">        *For fiscal year 2022: Enter "Other Direct Expenses" on line 84 &amp; line 415 and enter "Other Operating Revenue" on line 381</t>
  </si>
  <si>
    <t>1)    Enter the amount of employee benefits directly recorded in cell B48.</t>
  </si>
  <si>
    <t>2)    Enter the employee benefits directly recorded by cost center in cells C48 through CC48.</t>
  </si>
  <si>
    <t>3)    Enter the total unassigned employee benefits that will be assigned based on salaries in cell B49.</t>
  </si>
  <si>
    <t>1)    Enter the total amount of depreciation directly assigned in cell B52.</t>
  </si>
  <si>
    <t>2)    Enter the amount of depreciation directly recorded by cost center in cells C52 through CC52.</t>
  </si>
  <si>
    <t xml:space="preserve">3)    Enter the amount of depreciation that will be assigned by square footage in cell B53.  </t>
  </si>
  <si>
    <t>calculated on lines 50 and 54, respectively.</t>
  </si>
  <si>
    <t>or represent 1% or more of the total revenues. A prompt will appear in Cell E381 if youre required to provide a response.</t>
  </si>
  <si>
    <t>or represent 1% or more of the total revenues. A prompt will appear in Cell E415 if youre required to provide a response.</t>
  </si>
  <si>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</si>
  <si>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</si>
  <si>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or represent 1% or more of the total revenues. A prompt will appear in Cell E381 of the Data tab if you're required to provide a response.</t>
  </si>
  <si>
    <t>or represent 1% or more of the total revenues. A prompt will appear in Cell E415 of the Data tab if you're required to provide a response.</t>
  </si>
  <si>
    <r>
      <t xml:space="preserve">1. For </t>
    </r>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</si>
  <si>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t xml:space="preserve">2. For </t>
    </r>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</si>
  <si>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Responses-2 tab is an E2SHB 1272 requirement. Hospitals may leave this page blank for fiscal year 2022 reporting but are required to complete these areas for fiscal year 2023 reporting.</t>
  </si>
  <si>
    <r>
      <rPr>
        <b/>
        <sz val="11"/>
        <rFont val="Calibri"/>
        <family val="2"/>
        <scheme val="minor"/>
      </rPr>
      <t>Transmittal tab:</t>
    </r>
    <r>
      <rPr>
        <sz val="11"/>
        <rFont val="Calibri"/>
        <family val="2"/>
        <scheme val="minor"/>
      </rPr>
      <t xml:space="preserve"> Please remember to upload a signed certification page:  </t>
    </r>
  </si>
  <si>
    <t>https://sft.wa.gov</t>
  </si>
  <si>
    <r>
      <rPr>
        <b/>
        <sz val="11"/>
        <rFont val="Calibri"/>
        <family val="2"/>
        <scheme val="minor"/>
      </rPr>
      <t xml:space="preserve"> Instructions:</t>
    </r>
    <r>
      <rPr>
        <sz val="11"/>
        <rFont val="Calibri"/>
        <family val="2"/>
        <scheme val="minor"/>
      </rPr>
      <t xml:space="preserve"> Hospital staff must complete the green tabs only. </t>
    </r>
  </si>
  <si>
    <t xml:space="preserve">        *For fiscal year 2022: Enter "Other Direct Expenses" on line 83 &amp; line 414 and enter "Other Operating Revenue" on line 380</t>
  </si>
  <si>
    <t>Line 96: "Fiscal Year Ended" must be entered in MM/DD/YYYY format.</t>
  </si>
  <si>
    <t>1)    Enter the amount of employee benefits directly recorded in cell B47.</t>
  </si>
  <si>
    <t>2)    Enter the employee benefits directly recorded by cost center in cells C47 through CC47.</t>
  </si>
  <si>
    <t>3)    Enter the total unassigned employee benefits that will be assigned based on salaries in cell B48.</t>
  </si>
  <si>
    <t>1)    Enter the total amount of depreciation directly assigned in cell B51.</t>
  </si>
  <si>
    <t>2)    Enter the amount of depreciation directly recorded by cost center in cells C51 through CC51.</t>
  </si>
  <si>
    <t xml:space="preserve">3)    Enter the amount of depreciation that will be assigned by square footage in cell B52.  </t>
  </si>
  <si>
    <t>calculated on lines 48 and 52, respectively.</t>
  </si>
  <si>
    <t>or represent 1% or more of the total revenues. A prompt will appear in Cell E380 if youre required to provide a response.</t>
  </si>
  <si>
    <t>or represent 1% or more of the total revenues. A prompt will appear in Cell E414 if youre required to provide a response.</t>
  </si>
  <si>
    <t>12/31/2021</t>
  </si>
  <si>
    <t>085</t>
  </si>
  <si>
    <t>Jefferson County Public Hospital District No 2</t>
  </si>
  <si>
    <t>834 Sheridan Street</t>
  </si>
  <si>
    <t>Port Townsend</t>
  </si>
  <si>
    <t>WA</t>
  </si>
  <si>
    <t>Jefferson</t>
  </si>
  <si>
    <t>Mike Glenn</t>
  </si>
  <si>
    <t>Tyler Freeman</t>
  </si>
  <si>
    <t>Jill Rienstra</t>
  </si>
  <si>
    <t>360-385-2200</t>
  </si>
  <si>
    <t>360-379-2242</t>
  </si>
  <si>
    <t>12/31/2022</t>
  </si>
  <si>
    <t>Jeannette Ring, CPA</t>
  </si>
  <si>
    <t>jring@dzacpa.com</t>
  </si>
  <si>
    <t>Jefferson County</t>
  </si>
  <si>
    <t>Line 7380 includes the Urology Clinic and the Retail Pharmacy, in FY21 we accidentally included 340b pharmacy drugs on line 7170 instead of 7380.  This caused an increase in the unit of measure in FY22.</t>
  </si>
  <si>
    <t>Professional wages increased by about $330,000 in FY22 as compared to the PY.</t>
  </si>
  <si>
    <t>Professional fees for the Radiology dept (which includes MRI, CT, and Nuc Med) increased by over $700,000 in FY22 as compared to the PY.</t>
  </si>
  <si>
    <t>ICU contract nursing expenses increased by $780,000 in FY22 as compared to FY21.</t>
  </si>
  <si>
    <t>RT contract therapy expenses increased by about $250,000 in FY22 as compared to the PY.</t>
  </si>
  <si>
    <t>Port Townsend, WA 98368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</si>
</sst>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_);\(0\)"/>
    <numFmt numFmtId="166" formatCode="0_);[Red]\(0\)"/>
    <numFmt numFmtId="167" formatCode="m/d/yyyy;@"/>
    <numFmt numFmtId="168" formatCode="[&lt;=9999999]###\-####;\(###\)\ ###\-####"/>
    <numFmt numFmtId="169" formatCode="0.0%"/>
    <numFmt numFmtId="170" formatCode="#,##0.0_);\(#,##0.0\)"/>
    <numFmt numFmtId="171" formatCode="General_)"/>
    <numFmt numFmtId="172" formatCode="&quot; &quot;#,##0.00&quot; &quot;;&quot; (&quot;#,##0.00&quot;)&quot;;&quot; -&quot;#&quot; &quot;;&quot; &quot;@&quot; &quot;"/>
  </numFmts>
  <fonts count="116" x14ac:knownFonts="1">
    <font>
      <sz val="12"/>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9"/>
      <color indexed="12"/>
      <name val="Courier"/>
      <family val="3"/>
    </font>
    <font>
      <sz val="11"/>
      <name val="Calibri"/>
      <family val="2"/>
    </font>
    <font>
      <sz val="10"/>
      <name val="Tahoma"/>
      <family val="2"/>
    </font>
    <font>
      <b/>
      <sz val="11"/>
      <name val="Calibri"/>
      <family val="2"/>
    </font>
    <font>
      <sz val="12"/>
      <name val="Calibri"/>
      <family val="2"/>
      <scheme val="minor"/>
    </font>
    <font>
      <sz val="11"/>
      <name val="Calibri"/>
      <family val="2"/>
      <scheme val="minor"/>
    </font>
    <font>
      <b/>
      <u/>
      <sz val="11"/>
      <name val="Calibri"/>
      <family val="2"/>
      <scheme val="minor"/>
    </font>
    <font>
      <b/>
      <sz val="11"/>
      <name val="Calibri"/>
      <family val="2"/>
      <scheme val="minor"/>
    </font>
    <font>
      <u/>
      <sz val="11"/>
      <color indexed="12"/>
      <name val="Calibri"/>
      <family val="2"/>
      <scheme val="minor"/>
    </font>
    <font>
      <sz val="11"/>
      <color indexed="12"/>
      <name val="Calibri"/>
      <family val="2"/>
      <scheme val="minor"/>
    </font>
    <font>
      <b/>
      <u/>
      <sz val="11"/>
      <name val="Calibri"/>
      <family val="2"/>
    </font>
    <font>
      <sz val="11"/>
      <color rgb="FF404040"/>
      <name val="Century Gothic"/>
      <family val="2"/>
    </font>
    <font>
      <b/>
      <sz val="11"/>
      <color rgb="FFFF0000"/>
      <name val="Calibri"/>
      <family val="2"/>
      <scheme val="minor"/>
    </font>
    <font>
      <sz val="11"/>
      <color rgb="FF404040"/>
      <name val="Calibri"/>
      <family val="2"/>
      <scheme val="minor"/>
    </font>
    <font>
      <i/>
      <sz val="11"/>
      <name val="Calibri"/>
      <family val="2"/>
      <scheme val="minor"/>
    </font>
    <font>
      <sz val="11"/>
      <color indexed="8"/>
      <name val="Calibri"/>
      <family val="2"/>
    </font>
    <font>
      <sz val="11"/>
      <color indexed="8"/>
      <name val="Calibri"/>
      <family val="2"/>
      <scheme val="minor"/>
    </font>
    <font>
      <sz val="11"/>
      <color indexed="12"/>
      <name val="Arial"/>
      <family val="2"/>
    </font>
    <font>
      <sz val="11"/>
      <name val="Arial"/>
      <family val="2"/>
    </font>
    <font>
      <sz val="12"/>
      <color indexed="8"/>
      <name val="Arial"/>
      <family val="2"/>
    </font>
    <font>
      <sz val="12"/>
      <name val="Arial"/>
      <family val="2"/>
    </font>
    <font>
      <sz val="12"/>
      <name val="Courier"/>
      <family val="3"/>
    </font>
    <font>
      <sz val="14"/>
      <color rgb="FF0000FF"/>
      <name val="Arial"/>
      <family val="2"/>
    </font>
    <font>
      <sz val="14"/>
      <name val="Arial"/>
      <family val="2"/>
    </font>
    <font>
      <sz val="11"/>
      <color rgb="FF002060"/>
      <name val="Calibri"/>
      <family val="2"/>
      <scheme val="minor"/>
    </font>
    <font>
      <b/>
      <sz val="11"/>
      <color theme="1"/>
      <name val="Calibri"/>
      <family val="2"/>
      <scheme val="minor"/>
    </font>
    <font>
      <i/>
      <sz val="11"/>
      <color theme="1"/>
      <name val="Calibri"/>
      <family val="2"/>
      <scheme val="minor"/>
    </font>
    <font>
      <sz val="12"/>
      <name val="Courie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0"/>
      <color theme="1"/>
      <name val="Calibri"/>
      <family val="2"/>
      <scheme val="minor"/>
    </font>
    <font>
      <b/>
      <sz val="18"/>
      <color theme="3"/>
      <name val="Cambria"/>
      <family val="2"/>
      <scheme val="major"/>
    </font>
    <font>
      <sz val="11"/>
      <color rgb="FF9C6500"/>
      <name val="Calibri"/>
      <family val="2"/>
      <scheme val="minor"/>
    </font>
    <font>
      <sz val="10"/>
      <name val="Helv"/>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1"/>
      <color rgb="FF000000"/>
      <name val="Calibri"/>
      <family val="2"/>
    </font>
    <font>
      <u/>
      <sz val="11"/>
      <color theme="10"/>
      <name val="Calibri"/>
      <family val="2"/>
    </font>
    <font>
      <sz val="10"/>
      <name val="Arial"/>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sz val="18"/>
      <name val="Arial"/>
      <family val="2"/>
    </font>
    <font>
      <sz val="18"/>
      <name val="Arial"/>
    </font>
    <font>
      <b/>
      <sz val="13"/>
      <color indexed="62"/>
      <name val="Calibri"/>
      <family val="2"/>
    </font>
    <font>
      <sz val="12"/>
      <name val="Arial"/>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Book Antiqua"/>
      <family val="1"/>
    </font>
    <font>
      <i/>
      <sz val="10"/>
      <name val="Arial"/>
      <family val="2"/>
    </font>
    <font>
      <b/>
      <sz val="10"/>
      <name val="Times New Roman"/>
      <family val="1"/>
    </font>
    <font>
      <b/>
      <sz val="11"/>
      <name val="Times New Roman"/>
      <family val="1"/>
    </font>
    <font>
      <b/>
      <sz val="8"/>
      <name val="Times New Roman"/>
      <family val="1"/>
    </font>
    <font>
      <b/>
      <sz val="9"/>
      <name val="Times New Roman"/>
      <family val="1"/>
    </font>
    <font>
      <sz val="10"/>
      <color indexed="12"/>
      <name val="Times New Roman"/>
      <family val="1"/>
    </font>
    <font>
      <sz val="11"/>
      <color indexed="12"/>
      <name val="Times New Roman"/>
      <family val="1"/>
    </font>
    <font>
      <sz val="8"/>
      <color indexed="12"/>
      <name val="Times New Roman"/>
      <family val="1"/>
    </font>
    <font>
      <sz val="9"/>
      <color indexed="12"/>
      <name val="Times New Roman"/>
      <family val="1"/>
    </font>
    <font>
      <sz val="10"/>
      <name val="Times New Roman"/>
      <family val="1"/>
    </font>
    <font>
      <sz val="11"/>
      <name val="Times New Roman"/>
    </font>
    <font>
      <sz val="8"/>
      <name val="Times New Roman"/>
      <family val="1"/>
    </font>
    <font>
      <sz val="9"/>
      <name val="Times New Roman"/>
      <family val="1"/>
    </font>
    <font>
      <sz val="11"/>
      <name val="Times New Roman"/>
      <family val="1"/>
    </font>
    <font>
      <sz val="7"/>
      <name val="Times New Roman"/>
      <family val="1"/>
    </font>
    <font>
      <u/>
      <sz val="10"/>
      <color indexed="12"/>
      <name val="Arial"/>
      <family val="2"/>
    </font>
    <font>
      <sz val="10"/>
      <color indexed="8"/>
      <name val="Arial"/>
      <family val="2"/>
    </font>
    <font>
      <sz val="10"/>
      <color indexed="9"/>
      <name val="Arial"/>
      <family val="2"/>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sz val="12"/>
      <color theme="1"/>
      <name val="Calibri"/>
      <family val="2"/>
      <scheme val="minor"/>
    </font>
    <font>
      <sz val="10"/>
      <color indexed="8"/>
      <name val="ARIAL"/>
      <charset val="1"/>
    </font>
  </fonts>
  <fills count="68">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rgb="FFCC99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55"/>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double">
        <color indexed="2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764">
    <xf numFmtId="37" fontId="0" fillId="0" borderId="0"/>
    <xf numFmtId="43" fontId="6" fillId="0" borderId="0"/>
    <xf numFmtId="0" fontId="7" fillId="0" borderId="0">
      <alignment vertical="top"/>
      <protection locked="0"/>
    </xf>
    <xf numFmtId="0" fontId="9" fillId="0" borderId="0"/>
    <xf numFmtId="9" fontId="6" fillId="0" borderId="0"/>
    <xf numFmtId="0" fontId="35" fillId="0" borderId="0" applyNumberFormat="0" applyFill="0" applyBorder="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4" applyNumberFormat="0" applyFill="0" applyAlignment="0" applyProtection="0"/>
    <xf numFmtId="0" fontId="38" fillId="0" borderId="0" applyNumberFormat="0" applyFill="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2" fillId="15" borderId="35" applyNumberFormat="0" applyAlignment="0" applyProtection="0"/>
    <xf numFmtId="0" fontId="43" fillId="16" borderId="36" applyNumberFormat="0" applyAlignment="0" applyProtection="0"/>
    <xf numFmtId="0" fontId="44" fillId="16" borderId="35" applyNumberFormat="0" applyAlignment="0" applyProtection="0"/>
    <xf numFmtId="0" fontId="45" fillId="0" borderId="37" applyNumberFormat="0" applyFill="0" applyAlignment="0" applyProtection="0"/>
    <xf numFmtId="0" fontId="46" fillId="17" borderId="3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2" fillId="0" borderId="40" applyNumberFormat="0" applyFill="0" applyAlignment="0" applyProtection="0"/>
    <xf numFmtId="0" fontId="4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9"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9"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18" borderId="39" applyNumberFormat="0" applyFont="0" applyAlignment="0" applyProtection="0"/>
    <xf numFmtId="0" fontId="51" fillId="0" borderId="0"/>
    <xf numFmtId="43" fontId="51"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52" fillId="0" borderId="0" applyNumberFormat="0" applyFill="0" applyBorder="0" applyAlignment="0" applyProtection="0"/>
    <xf numFmtId="0" fontId="53" fillId="14"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49" fillId="22" borderId="0" applyNumberFormat="0" applyBorder="0" applyAlignment="0" applyProtection="0"/>
    <xf numFmtId="44" fontId="6" fillId="0" borderId="0" applyFont="0" applyFill="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6" fillId="0" borderId="0"/>
    <xf numFmtId="0" fontId="2" fillId="0" borderId="0"/>
    <xf numFmtId="44" fontId="2" fillId="0" borderId="0" applyFont="0" applyFill="0" applyBorder="0" applyAlignment="0" applyProtection="0"/>
    <xf numFmtId="0" fontId="2" fillId="18" borderId="39"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54" fillId="0" borderId="0"/>
    <xf numFmtId="0" fontId="6" fillId="0" borderId="0"/>
    <xf numFmtId="44" fontId="6" fillId="0" borderId="0" applyFont="0" applyFill="0" applyBorder="0" applyAlignment="0" applyProtection="0"/>
    <xf numFmtId="0" fontId="2" fillId="0" borderId="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3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25" borderId="0" applyNumberFormat="0" applyBorder="0" applyAlignment="0" applyProtection="0"/>
    <xf numFmtId="0" fontId="2" fillId="50" borderId="0" applyNumberFormat="0" applyBorder="0" applyAlignment="0" applyProtection="0"/>
    <xf numFmtId="0" fontId="2" fillId="46"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49" fillId="52"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49" fillId="53" borderId="0" applyNumberFormat="0" applyBorder="0" applyAlignment="0" applyProtection="0"/>
    <xf numFmtId="0" fontId="49" fillId="59" borderId="0" applyNumberFormat="0" applyBorder="0" applyAlignment="0" applyProtection="0"/>
    <xf numFmtId="0" fontId="40" fillId="44" borderId="0" applyNumberFormat="0" applyBorder="0" applyAlignment="0" applyProtection="0"/>
    <xf numFmtId="0" fontId="55" fillId="47" borderId="35" applyNumberFormat="0" applyAlignment="0" applyProtection="0"/>
    <xf numFmtId="44" fontId="22" fillId="0" borderId="0" applyFont="0" applyFill="0" applyBorder="0" applyAlignment="0" applyProtection="0"/>
    <xf numFmtId="0" fontId="39" fillId="45" borderId="0" applyNumberFormat="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58" fillId="0" borderId="0" applyNumberFormat="0" applyFill="0" applyBorder="0" applyAlignment="0" applyProtection="0"/>
    <xf numFmtId="0" fontId="42" fillId="47" borderId="35" applyNumberFormat="0" applyAlignment="0" applyProtection="0"/>
    <xf numFmtId="0" fontId="59" fillId="0" borderId="44" applyNumberFormat="0" applyFill="0" applyAlignment="0" applyProtection="0"/>
    <xf numFmtId="0" fontId="60" fillId="14" borderId="0" applyNumberFormat="0" applyBorder="0" applyAlignment="0" applyProtection="0"/>
    <xf numFmtId="0" fontId="22" fillId="18" borderId="39" applyNumberFormat="0" applyFont="0" applyAlignment="0" applyProtection="0"/>
    <xf numFmtId="0" fontId="43" fillId="47" borderId="36" applyNumberFormat="0" applyAlignment="0" applyProtection="0"/>
    <xf numFmtId="0" fontId="61" fillId="0" borderId="0" applyNumberFormat="0" applyFill="0" applyBorder="0" applyAlignment="0" applyProtection="0"/>
    <xf numFmtId="0" fontId="32" fillId="0" borderId="45" applyNumberFormat="0" applyFill="0" applyAlignment="0" applyProtection="0"/>
    <xf numFmtId="0" fontId="62" fillId="0" borderId="0" applyBorder="0"/>
    <xf numFmtId="9"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0" fontId="63"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2" fillId="0" borderId="0" applyBorder="0"/>
    <xf numFmtId="9"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0" fontId="2" fillId="0" borderId="0"/>
    <xf numFmtId="0" fontId="35"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1" fillId="0" borderId="0"/>
    <xf numFmtId="43" fontId="51" fillId="0" borderId="0" applyFont="0" applyFill="0" applyBorder="0" applyAlignment="0" applyProtection="0"/>
    <xf numFmtId="0" fontId="64" fillId="0" borderId="0"/>
    <xf numFmtId="43"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64" fillId="0" borderId="0"/>
    <xf numFmtId="43" fontId="64"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37" fontId="34" fillId="0" borderId="0"/>
    <xf numFmtId="0" fontId="6" fillId="0" borderId="0"/>
    <xf numFmtId="0" fontId="2" fillId="0" borderId="0"/>
    <xf numFmtId="0" fontId="6" fillId="0" borderId="0"/>
    <xf numFmtId="0" fontId="22" fillId="48" borderId="0" applyNumberFormat="0" applyBorder="0" applyAlignment="0" applyProtection="0"/>
    <xf numFmtId="0" fontId="22" fillId="49"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0" borderId="0" applyNumberFormat="0" applyBorder="0" applyAlignment="0" applyProtection="0"/>
    <xf numFmtId="0" fontId="22" fillId="62" borderId="0" applyNumberFormat="0" applyBorder="0" applyAlignment="0" applyProtection="0"/>
    <xf numFmtId="0" fontId="22" fillId="49" borderId="0" applyNumberFormat="0" applyBorder="0" applyAlignment="0" applyProtection="0"/>
    <xf numFmtId="0" fontId="22" fillId="63" borderId="0" applyNumberFormat="0" applyBorder="0" applyAlignment="0" applyProtection="0"/>
    <xf numFmtId="0" fontId="22" fillId="44" borderId="0" applyNumberFormat="0" applyBorder="0" applyAlignment="0" applyProtection="0"/>
    <xf numFmtId="0" fontId="22" fillId="62" borderId="0" applyNumberFormat="0" applyBorder="0" applyAlignment="0" applyProtection="0"/>
    <xf numFmtId="0" fontId="22" fillId="60" borderId="0" applyNumberFormat="0" applyBorder="0" applyAlignment="0" applyProtection="0"/>
    <xf numFmtId="0" fontId="65" fillId="62" borderId="0" applyNumberFormat="0" applyBorder="0" applyAlignment="0" applyProtection="0"/>
    <xf numFmtId="0" fontId="65" fillId="59" borderId="0" applyNumberFormat="0" applyBorder="0" applyAlignment="0" applyProtection="0"/>
    <xf numFmtId="0" fontId="65" fillId="51" borderId="0" applyNumberFormat="0" applyBorder="0" applyAlignment="0" applyProtection="0"/>
    <xf numFmtId="0" fontId="65" fillId="44" borderId="0" applyNumberFormat="0" applyBorder="0" applyAlignment="0" applyProtection="0"/>
    <xf numFmtId="0" fontId="65" fillId="62" borderId="0" applyNumberFormat="0" applyBorder="0" applyAlignment="0" applyProtection="0"/>
    <xf numFmtId="0" fontId="65" fillId="49" borderId="0" applyNumberFormat="0" applyBorder="0" applyAlignment="0" applyProtection="0"/>
    <xf numFmtId="0" fontId="65" fillId="64" borderId="0" applyNumberFormat="0" applyBorder="0" applyAlignment="0" applyProtection="0"/>
    <xf numFmtId="0" fontId="65" fillId="59" borderId="0" applyNumberFormat="0" applyBorder="0" applyAlignment="0" applyProtection="0"/>
    <xf numFmtId="0" fontId="65" fillId="51" borderId="0" applyNumberFormat="0" applyBorder="0" applyAlignment="0" applyProtection="0"/>
    <xf numFmtId="0" fontId="65" fillId="65" borderId="0" applyNumberFormat="0" applyBorder="0" applyAlignment="0" applyProtection="0"/>
    <xf numFmtId="0" fontId="65" fillId="54" borderId="0" applyNumberFormat="0" applyBorder="0" applyAlignment="0" applyProtection="0"/>
    <xf numFmtId="0" fontId="65" fillId="57" borderId="0" applyNumberFormat="0" applyBorder="0" applyAlignment="0" applyProtection="0"/>
    <xf numFmtId="0" fontId="66" fillId="46" borderId="0" applyNumberFormat="0" applyBorder="0" applyAlignment="0" applyProtection="0"/>
    <xf numFmtId="0" fontId="67" fillId="66" borderId="46" applyNumberFormat="0" applyAlignment="0" applyProtection="0"/>
    <xf numFmtId="0" fontId="68" fillId="67" borderId="47" applyNumberFormat="0" applyAlignment="0" applyProtection="0"/>
    <xf numFmtId="43" fontId="64"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alignment vertical="top"/>
    </xf>
    <xf numFmtId="3" fontId="64" fillId="0" borderId="0" applyFont="0" applyFill="0" applyBorder="0" applyAlignment="0" applyProtection="0">
      <alignment vertical="top"/>
    </xf>
    <xf numFmtId="3" fontId="6" fillId="0" borderId="0" applyFont="0" applyFill="0" applyBorder="0" applyAlignment="0" applyProtection="0">
      <alignment vertical="top"/>
    </xf>
    <xf numFmtId="5" fontId="6" fillId="0" borderId="0" applyFont="0" applyFill="0" applyBorder="0" applyAlignment="0" applyProtection="0">
      <alignment vertical="top"/>
    </xf>
    <xf numFmtId="5" fontId="64" fillId="0" borderId="0" applyFont="0" applyFill="0" applyBorder="0" applyAlignment="0" applyProtection="0">
      <alignment vertical="top"/>
    </xf>
    <xf numFmtId="5" fontId="6" fillId="0" borderId="0" applyFont="0" applyFill="0" applyBorder="0" applyAlignment="0" applyProtection="0">
      <alignment vertical="top"/>
    </xf>
    <xf numFmtId="0" fontId="6" fillId="0" borderId="0" applyFont="0" applyFill="0" applyBorder="0" applyAlignment="0" applyProtection="0">
      <alignment vertical="top"/>
    </xf>
    <xf numFmtId="0" fontId="64" fillId="0" borderId="0" applyFont="0" applyFill="0" applyBorder="0" applyAlignment="0" applyProtection="0">
      <alignment vertical="top"/>
    </xf>
    <xf numFmtId="0" fontId="6" fillId="0" borderId="0" applyFont="0" applyFill="0" applyBorder="0" applyAlignment="0" applyProtection="0">
      <alignment vertical="top"/>
    </xf>
    <xf numFmtId="0" fontId="69" fillId="0" borderId="0" applyNumberFormat="0" applyFill="0" applyBorder="0" applyAlignment="0" applyProtection="0"/>
    <xf numFmtId="2" fontId="6" fillId="0" borderId="0" applyFont="0" applyFill="0" applyBorder="0" applyAlignment="0" applyProtection="0">
      <alignment vertical="top"/>
    </xf>
    <xf numFmtId="2" fontId="64" fillId="0" borderId="0" applyFont="0" applyFill="0" applyBorder="0" applyAlignment="0" applyProtection="0">
      <alignment vertical="top"/>
    </xf>
    <xf numFmtId="2" fontId="6" fillId="0" borderId="0" applyFont="0" applyFill="0" applyBorder="0" applyAlignment="0" applyProtection="0">
      <alignment vertical="top"/>
    </xf>
    <xf numFmtId="0" fontId="70" fillId="62" borderId="0" applyNumberFormat="0" applyBorder="0" applyAlignment="0" applyProtection="0"/>
    <xf numFmtId="0" fontId="71" fillId="0" borderId="48" applyNumberFormat="0" applyFill="0" applyAlignment="0" applyProtection="0"/>
    <xf numFmtId="0" fontId="72" fillId="0" borderId="0" applyNumberFormat="0" applyFill="0" applyBorder="0" applyAlignment="0" applyProtection="0">
      <alignment vertical="top"/>
    </xf>
    <xf numFmtId="0" fontId="73" fillId="0" borderId="0" applyNumberFormat="0" applyFill="0" applyBorder="0" applyAlignment="0" applyProtection="0">
      <alignment vertical="top"/>
    </xf>
    <xf numFmtId="0" fontId="72" fillId="0" borderId="0" applyNumberFormat="0" applyFill="0" applyBorder="0" applyAlignment="0" applyProtection="0">
      <alignment vertical="top"/>
    </xf>
    <xf numFmtId="0" fontId="74" fillId="0" borderId="49" applyNumberFormat="0" applyFill="0" applyAlignment="0" applyProtection="0"/>
    <xf numFmtId="0" fontId="27" fillId="0" borderId="0" applyNumberFormat="0" applyFill="0" applyBorder="0" applyAlignment="0" applyProtection="0">
      <alignment vertical="top"/>
    </xf>
    <xf numFmtId="0" fontId="75"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76" fillId="0" borderId="50" applyNumberFormat="0" applyFill="0" applyAlignment="0" applyProtection="0"/>
    <xf numFmtId="0" fontId="76" fillId="0" borderId="0" applyNumberFormat="0" applyFill="0" applyBorder="0" applyAlignment="0" applyProtection="0"/>
    <xf numFmtId="0" fontId="77" fillId="63" borderId="46" applyNumberFormat="0" applyAlignment="0" applyProtection="0"/>
    <xf numFmtId="0" fontId="78" fillId="0" borderId="51" applyNumberFormat="0" applyFill="0" applyAlignment="0" applyProtection="0"/>
    <xf numFmtId="0" fontId="79" fillId="63" borderId="0" applyNumberFormat="0" applyBorder="0" applyAlignment="0" applyProtection="0"/>
    <xf numFmtId="0" fontId="2" fillId="0" borderId="0"/>
    <xf numFmtId="37" fontId="28" fillId="0" borderId="0"/>
    <xf numFmtId="0" fontId="28" fillId="60" borderId="52" applyNumberFormat="0" applyFont="0" applyAlignment="0" applyProtection="0"/>
    <xf numFmtId="0" fontId="6" fillId="60" borderId="52" applyNumberFormat="0" applyFont="0" applyAlignment="0" applyProtection="0"/>
    <xf numFmtId="0" fontId="64" fillId="60" borderId="52" applyNumberFormat="0" applyFont="0" applyAlignment="0" applyProtection="0"/>
    <xf numFmtId="0" fontId="2" fillId="18" borderId="39" applyNumberFormat="0" applyFont="0" applyAlignment="0" applyProtection="0"/>
    <xf numFmtId="0" fontId="80" fillId="66" borderId="53" applyNumberFormat="0" applyAlignment="0" applyProtection="0"/>
    <xf numFmtId="9" fontId="2" fillId="0" borderId="0" applyFont="0" applyFill="0" applyBorder="0" applyAlignment="0" applyProtection="0"/>
    <xf numFmtId="0" fontId="81" fillId="0" borderId="0" applyNumberFormat="0" applyFill="0" applyBorder="0" applyAlignment="0" applyProtection="0"/>
    <xf numFmtId="0" fontId="82" fillId="0" borderId="54" applyNumberFormat="0" applyFill="0" applyAlignment="0" applyProtection="0"/>
    <xf numFmtId="0" fontId="6" fillId="0" borderId="55" applyNumberFormat="0" applyFont="0" applyFill="0" applyAlignment="0" applyProtection="0">
      <alignment vertical="top"/>
    </xf>
    <xf numFmtId="0" fontId="64" fillId="0" borderId="55" applyNumberFormat="0" applyFont="0" applyFill="0" applyAlignment="0" applyProtection="0">
      <alignment vertical="top"/>
    </xf>
    <xf numFmtId="0" fontId="6" fillId="0" borderId="55" applyNumberFormat="0" applyFont="0" applyFill="0" applyAlignment="0" applyProtection="0">
      <alignment vertical="top"/>
    </xf>
    <xf numFmtId="0" fontId="78" fillId="0" borderId="0" applyNumberFormat="0" applyFill="0" applyBorder="0" applyAlignment="0" applyProtection="0"/>
    <xf numFmtId="0" fontId="64" fillId="0" borderId="0"/>
    <xf numFmtId="0" fontId="6" fillId="60" borderId="52" applyNumberFormat="0" applyFont="0" applyAlignment="0" applyProtection="0"/>
    <xf numFmtId="44" fontId="2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71" fillId="0" borderId="48" applyNumberFormat="0" applyFill="0" applyAlignment="0" applyProtection="0"/>
    <xf numFmtId="0" fontId="74" fillId="0" borderId="49" applyNumberFormat="0" applyFill="0" applyAlignment="0" applyProtection="0"/>
    <xf numFmtId="37" fontId="28" fillId="0" borderId="0"/>
    <xf numFmtId="0" fontId="28" fillId="60" borderId="52" applyNumberFormat="0" applyFont="0" applyAlignment="0" applyProtection="0"/>
    <xf numFmtId="0" fontId="82" fillId="0" borderId="54" applyNumberFormat="0" applyFill="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64" fillId="0" borderId="0"/>
    <xf numFmtId="43" fontId="64"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37" fontId="28"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6" fillId="60" borderId="52" applyNumberFormat="0" applyFont="0" applyAlignment="0" applyProtection="0"/>
    <xf numFmtId="0" fontId="2" fillId="18" borderId="39" applyNumberFormat="0" applyFont="0" applyAlignment="0" applyProtection="0"/>
    <xf numFmtId="9" fontId="2"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3" fillId="0" borderId="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0" fontId="83"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0" borderId="0"/>
    <xf numFmtId="0" fontId="2" fillId="0" borderId="0"/>
    <xf numFmtId="37" fontId="28" fillId="0" borderId="0"/>
    <xf numFmtId="0" fontId="64" fillId="0" borderId="0"/>
    <xf numFmtId="43" fontId="64"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37" fontId="34" fillId="0" borderId="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64" fillId="0" borderId="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42" borderId="0" applyNumberFormat="0" applyBorder="0" applyAlignment="0" applyProtection="0"/>
    <xf numFmtId="0" fontId="85" fillId="0" borderId="0" applyBorder="0">
      <alignment horizontal="centerContinuous" vertical="center"/>
    </xf>
    <xf numFmtId="0" fontId="86" fillId="0" borderId="0" applyBorder="0">
      <alignment horizontal="centerContinuous" vertical="center"/>
    </xf>
    <xf numFmtId="0" fontId="87" fillId="0" borderId="0" applyBorder="0">
      <alignment horizontal="centerContinuous" vertical="center"/>
    </xf>
    <xf numFmtId="0" fontId="88" fillId="0" borderId="0" applyBorder="0">
      <alignment horizontal="centerContinuous" vertical="center"/>
    </xf>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6"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 fillId="0" borderId="0" applyFont="0" applyFill="0" applyBorder="0" applyAlignment="0" applyProtection="0"/>
    <xf numFmtId="37" fontId="89" fillId="0" borderId="0" applyBorder="0">
      <alignment horizontal="right" vertical="center"/>
    </xf>
    <xf numFmtId="37" fontId="90" fillId="0" borderId="0" applyBorder="0">
      <alignment horizontal="right" vertical="center"/>
    </xf>
    <xf numFmtId="37" fontId="91" fillId="0" borderId="0" applyBorder="0">
      <alignment horizontal="right" vertical="center"/>
    </xf>
    <xf numFmtId="37" fontId="92" fillId="0" borderId="0" applyBorder="0">
      <alignment horizontal="right" vertical="center"/>
    </xf>
    <xf numFmtId="0" fontId="99" fillId="0" borderId="0" applyNumberFormat="0" applyFill="0" applyBorder="0" applyAlignment="0" applyProtection="0">
      <alignment vertical="top"/>
      <protection locked="0"/>
    </xf>
    <xf numFmtId="0" fontId="53" fillId="14" borderId="0" applyNumberFormat="0" applyBorder="0" applyAlignment="0" applyProtection="0"/>
    <xf numFmtId="0" fontId="93" fillId="0" borderId="0" applyBorder="0">
      <alignment vertical="center"/>
    </xf>
    <xf numFmtId="0" fontId="94" fillId="0" borderId="0" applyBorder="0">
      <alignment vertical="center"/>
    </xf>
    <xf numFmtId="0" fontId="97" fillId="0" borderId="0" applyBorder="0">
      <alignment vertical="center"/>
    </xf>
    <xf numFmtId="0" fontId="95" fillId="0" borderId="0" applyBorder="0">
      <alignment vertical="center"/>
    </xf>
    <xf numFmtId="0" fontId="96" fillId="0" borderId="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9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0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8" borderId="39" applyNumberFormat="0" applyFont="0" applyAlignment="0" applyProtection="0"/>
    <xf numFmtId="0" fontId="2" fillId="18" borderId="39" applyNumberFormat="0" applyFont="0" applyAlignment="0" applyProtection="0"/>
    <xf numFmtId="37" fontId="93" fillId="0" borderId="0" applyBorder="0">
      <alignment horizontal="right" vertical="center"/>
    </xf>
    <xf numFmtId="37" fontId="97" fillId="0" borderId="0" applyBorder="0">
      <alignment horizontal="right" vertical="center"/>
    </xf>
    <xf numFmtId="37" fontId="95" fillId="0" borderId="0" applyBorder="0">
      <alignment horizontal="right" vertical="center"/>
    </xf>
    <xf numFmtId="37" fontId="96" fillId="0" borderId="0" applyBorder="0">
      <alignment horizontal="right" vertical="center"/>
    </xf>
    <xf numFmtId="0" fontId="86" fillId="0" borderId="0" applyBorder="0">
      <alignment vertical="center"/>
    </xf>
    <xf numFmtId="9" fontId="64" fillId="0" borderId="0" applyFont="0" applyFill="0" applyBorder="0" applyAlignment="0" applyProtection="0"/>
    <xf numFmtId="169" fontId="93" fillId="0" borderId="0" applyBorder="0">
      <alignment horizontal="right" vertical="center"/>
    </xf>
    <xf numFmtId="39" fontId="93" fillId="0" borderId="0" applyBorder="0">
      <alignment horizontal="right" vertical="center"/>
    </xf>
    <xf numFmtId="170" fontId="94" fillId="0" borderId="0" applyFill="0" applyBorder="0" applyProtection="0">
      <alignment horizontal="right" vertical="center"/>
    </xf>
    <xf numFmtId="170" fontId="97" fillId="0" borderId="0" applyFill="0" applyBorder="0" applyProtection="0">
      <alignment horizontal="right" vertical="center"/>
    </xf>
    <xf numFmtId="39" fontId="97" fillId="0" borderId="0" applyBorder="0">
      <alignment horizontal="right" vertical="center"/>
    </xf>
    <xf numFmtId="169" fontId="95" fillId="0" borderId="0" applyBorder="0">
      <alignment horizontal="right" vertical="center"/>
    </xf>
    <xf numFmtId="10" fontId="95" fillId="0" borderId="0" applyBorder="0">
      <alignment horizontal="right" vertical="center"/>
    </xf>
    <xf numFmtId="169" fontId="96" fillId="0" borderId="0" applyBorder="0">
      <alignment horizontal="right" vertical="center"/>
    </xf>
    <xf numFmtId="10" fontId="96" fillId="0" borderId="0" applyBorder="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4" fillId="0" borderId="0" applyBorder="0">
      <alignment vertical="center"/>
    </xf>
    <xf numFmtId="0" fontId="52"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0" fillId="0" borderId="0">
      <alignment vertical="top"/>
    </xf>
    <xf numFmtId="43" fontId="100" fillId="0" borderId="0" applyFont="0" applyFill="0" applyBorder="0" applyAlignment="0" applyProtection="0"/>
    <xf numFmtId="9" fontId="100" fillId="0" borderId="0" applyFont="0" applyFill="0" applyBorder="0" applyAlignment="0" applyProtection="0"/>
    <xf numFmtId="0" fontId="100" fillId="0" borderId="0">
      <alignment vertical="top"/>
    </xf>
    <xf numFmtId="43" fontId="2" fillId="0" borderId="0" applyFont="0" applyFill="0" applyBorder="0" applyAlignment="0" applyProtection="0"/>
    <xf numFmtId="0" fontId="100" fillId="0" borderId="0">
      <alignment vertical="top"/>
    </xf>
    <xf numFmtId="43" fontId="100" fillId="0" borderId="0" applyFont="0" applyFill="0" applyBorder="0" applyAlignment="0" applyProtection="0">
      <alignment vertical="top"/>
    </xf>
    <xf numFmtId="9" fontId="100" fillId="0" borderId="0" applyFont="0" applyFill="0" applyBorder="0" applyAlignment="0" applyProtection="0"/>
    <xf numFmtId="43" fontId="100"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alignment vertical="top"/>
    </xf>
    <xf numFmtId="43" fontId="101" fillId="0" borderId="0" applyFont="0" applyFill="0" applyBorder="0" applyAlignment="0" applyProtection="0">
      <alignment vertical="top"/>
    </xf>
    <xf numFmtId="43" fontId="101" fillId="0" borderId="0" applyFont="0" applyFill="0" applyBorder="0" applyAlignment="0" applyProtection="0">
      <alignment vertical="top"/>
    </xf>
    <xf numFmtId="43" fontId="101" fillId="0" borderId="0" applyFont="0" applyFill="0" applyBorder="0" applyAlignment="0" applyProtection="0">
      <alignment vertical="top"/>
    </xf>
    <xf numFmtId="43" fontId="101" fillId="0" borderId="0" applyFont="0" applyFill="0" applyBorder="0" applyAlignment="0" applyProtection="0">
      <alignment vertical="top"/>
    </xf>
    <xf numFmtId="43" fontId="100" fillId="0" borderId="0" applyFont="0" applyFill="0" applyBorder="0" applyAlignment="0" applyProtection="0">
      <alignment vertical="top"/>
    </xf>
    <xf numFmtId="43" fontId="100" fillId="0" borderId="0" applyFont="0" applyFill="0" applyBorder="0" applyAlignment="0" applyProtection="0">
      <alignment vertical="top"/>
    </xf>
    <xf numFmtId="44" fontId="100" fillId="0" borderId="0" applyFont="0" applyFill="0" applyBorder="0" applyAlignment="0" applyProtection="0">
      <alignment vertical="top"/>
    </xf>
    <xf numFmtId="0" fontId="10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0" fontId="101" fillId="0" borderId="0">
      <alignment vertical="top"/>
    </xf>
    <xf numFmtId="9" fontId="100" fillId="0" borderId="0" applyFont="0" applyFill="0" applyBorder="0" applyAlignment="0" applyProtection="0">
      <alignment vertical="top"/>
    </xf>
    <xf numFmtId="9" fontId="100" fillId="0" borderId="0" applyFont="0" applyFill="0" applyBorder="0" applyAlignment="0" applyProtection="0">
      <alignment vertical="top"/>
    </xf>
    <xf numFmtId="9" fontId="100" fillId="0" borderId="0" applyFont="0" applyFill="0" applyBorder="0" applyAlignment="0" applyProtection="0">
      <alignment vertical="top"/>
    </xf>
    <xf numFmtId="9" fontId="100" fillId="0" borderId="0" applyFont="0" applyFill="0" applyBorder="0" applyAlignment="0" applyProtection="0">
      <alignment vertical="top"/>
    </xf>
    <xf numFmtId="9" fontId="101" fillId="0" borderId="0" applyFont="0" applyFill="0" applyBorder="0" applyAlignment="0" applyProtection="0">
      <alignment vertical="top"/>
    </xf>
    <xf numFmtId="9" fontId="101" fillId="0" borderId="0" applyFont="0" applyFill="0" applyBorder="0" applyAlignment="0" applyProtection="0">
      <alignment vertical="top"/>
    </xf>
    <xf numFmtId="9" fontId="101" fillId="0" borderId="0" applyFont="0" applyFill="0" applyBorder="0" applyAlignment="0" applyProtection="0">
      <alignment vertical="top"/>
    </xf>
    <xf numFmtId="9" fontId="101" fillId="0" borderId="0" applyFont="0" applyFill="0" applyBorder="0" applyAlignment="0" applyProtection="0">
      <alignment vertical="top"/>
    </xf>
    <xf numFmtId="9" fontId="101" fillId="0" borderId="0" applyFont="0" applyFill="0" applyBorder="0" applyAlignment="0" applyProtection="0">
      <alignment vertical="top"/>
    </xf>
    <xf numFmtId="9" fontId="100" fillId="0" borderId="0" applyFont="0" applyFill="0" applyBorder="0" applyAlignment="0" applyProtection="0">
      <alignment vertical="top"/>
    </xf>
    <xf numFmtId="9" fontId="100" fillId="0" borderId="0" applyFont="0" applyFill="0" applyBorder="0" applyAlignment="0" applyProtection="0"/>
    <xf numFmtId="43" fontId="100" fillId="0" borderId="0" applyFont="0" applyFill="0" applyBorder="0" applyAlignment="0" applyProtection="0">
      <alignment vertical="top"/>
    </xf>
    <xf numFmtId="43" fontId="2" fillId="0" borderId="0" applyFont="0" applyFill="0" applyBorder="0" applyAlignment="0" applyProtection="0"/>
    <xf numFmtId="44" fontId="100" fillId="0" borderId="0" applyFont="0" applyFill="0" applyBorder="0" applyAlignment="0" applyProtection="0">
      <alignment vertical="top"/>
    </xf>
    <xf numFmtId="0" fontId="2" fillId="0" borderId="0"/>
    <xf numFmtId="0" fontId="100" fillId="0" borderId="0">
      <alignment vertical="top"/>
    </xf>
    <xf numFmtId="0" fontId="2" fillId="18" borderId="39" applyNumberFormat="0" applyFont="0" applyAlignment="0" applyProtection="0"/>
    <xf numFmtId="9" fontId="100" fillId="0" borderId="0" applyFont="0" applyFill="0" applyBorder="0" applyAlignment="0" applyProtection="0">
      <alignment vertical="top"/>
    </xf>
    <xf numFmtId="9" fontId="2" fillId="0" borderId="0" applyFont="0" applyFill="0" applyBorder="0" applyAlignment="0" applyProtection="0"/>
    <xf numFmtId="9" fontId="100" fillId="0" borderId="0" applyFont="0" applyFill="0" applyBorder="0" applyAlignment="0" applyProtection="0">
      <alignment vertical="top"/>
    </xf>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00" fillId="0" borderId="0">
      <alignment vertical="top"/>
    </xf>
    <xf numFmtId="43" fontId="100" fillId="0" borderId="0" applyFont="0" applyFill="0" applyBorder="0" applyAlignment="0" applyProtection="0">
      <alignment vertical="top"/>
    </xf>
    <xf numFmtId="43" fontId="2" fillId="0" borderId="0" applyFont="0" applyFill="0" applyBorder="0" applyAlignment="0" applyProtection="0"/>
    <xf numFmtId="44" fontId="100" fillId="0" borderId="0" applyFont="0" applyFill="0" applyBorder="0" applyAlignment="0" applyProtection="0">
      <alignment vertical="top"/>
    </xf>
    <xf numFmtId="0" fontId="2" fillId="0" borderId="0"/>
    <xf numFmtId="0" fontId="2" fillId="18" borderId="39" applyNumberFormat="0" applyFont="0" applyAlignment="0" applyProtection="0"/>
    <xf numFmtId="9" fontId="100" fillId="0" borderId="0" applyFont="0" applyFill="0" applyBorder="0" applyAlignment="0" applyProtection="0">
      <alignment vertical="top"/>
    </xf>
    <xf numFmtId="9"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alignment vertical="top"/>
    </xf>
    <xf numFmtId="44" fontId="100" fillId="0" borderId="0" applyFont="0" applyFill="0" applyBorder="0" applyAlignment="0" applyProtection="0">
      <alignment vertical="top"/>
    </xf>
    <xf numFmtId="0" fontId="100" fillId="0" borderId="0">
      <alignment vertical="top"/>
    </xf>
    <xf numFmtId="9" fontId="100" fillId="0" borderId="0" applyFont="0" applyFill="0" applyBorder="0" applyAlignment="0" applyProtection="0">
      <alignment vertical="top"/>
    </xf>
    <xf numFmtId="9" fontId="100" fillId="0" borderId="0" applyFont="0" applyFill="0" applyBorder="0" applyAlignment="0" applyProtection="0">
      <alignment vertical="top"/>
    </xf>
    <xf numFmtId="0" fontId="100" fillId="0" borderId="0">
      <alignment vertical="top"/>
    </xf>
    <xf numFmtId="43" fontId="100" fillId="0" borderId="0" applyFont="0" applyFill="0" applyBorder="0" applyAlignment="0" applyProtection="0">
      <alignment vertical="top"/>
    </xf>
    <xf numFmtId="44" fontId="100" fillId="0" borderId="0" applyFont="0" applyFill="0" applyBorder="0" applyAlignment="0" applyProtection="0">
      <alignment vertical="top"/>
    </xf>
    <xf numFmtId="9" fontId="100" fillId="0" borderId="0" applyFont="0" applyFill="0" applyBorder="0" applyAlignment="0" applyProtection="0">
      <alignment vertical="top"/>
    </xf>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2" fillId="0" borderId="0" applyBorder="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00" fillId="0" borderId="0">
      <alignment vertical="top"/>
    </xf>
    <xf numFmtId="43"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xf numFmtId="0" fontId="41" fillId="14" borderId="0" applyNumberFormat="0" applyBorder="0" applyAlignment="0" applyProtection="0"/>
    <xf numFmtId="0" fontId="2" fillId="18" borderId="39"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51" fillId="0" borderId="0"/>
    <xf numFmtId="0" fontId="35" fillId="0" borderId="0" applyNumberFormat="0" applyFill="0" applyBorder="0" applyAlignment="0" applyProtection="0"/>
    <xf numFmtId="0" fontId="102"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5" fillId="15" borderId="35" applyNumberFormat="0" applyAlignment="0" applyProtection="0"/>
    <xf numFmtId="0" fontId="106" fillId="16" borderId="36" applyNumberFormat="0" applyAlignment="0" applyProtection="0"/>
    <xf numFmtId="0" fontId="107" fillId="16" borderId="35" applyNumberFormat="0" applyAlignment="0" applyProtection="0"/>
    <xf numFmtId="0" fontId="108" fillId="0" borderId="37" applyNumberFormat="0" applyFill="0" applyAlignment="0" applyProtection="0"/>
    <xf numFmtId="0" fontId="109" fillId="17" borderId="38" applyNumberFormat="0" applyAlignment="0" applyProtection="0"/>
    <xf numFmtId="0" fontId="110" fillId="0" borderId="0" applyNumberFormat="0" applyFill="0" applyBorder="0" applyAlignment="0" applyProtection="0"/>
    <xf numFmtId="0" fontId="51" fillId="18" borderId="39" applyNumberFormat="0" applyFont="0" applyAlignment="0" applyProtection="0"/>
    <xf numFmtId="0" fontId="111" fillId="0" borderId="0" applyNumberFormat="0" applyFill="0" applyBorder="0" applyAlignment="0" applyProtection="0"/>
    <xf numFmtId="0" fontId="112" fillId="0" borderId="40" applyNumberFormat="0" applyFill="0" applyAlignment="0" applyProtection="0"/>
    <xf numFmtId="0" fontId="113"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13" fillId="30" borderId="0" applyNumberFormat="0" applyBorder="0" applyAlignment="0" applyProtection="0"/>
    <xf numFmtId="0" fontId="113"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113" fillId="34" borderId="0" applyNumberFormat="0" applyBorder="0" applyAlignment="0" applyProtection="0"/>
    <xf numFmtId="0" fontId="113"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113" fillId="42" borderId="0" applyNumberFormat="0" applyBorder="0" applyAlignment="0" applyProtection="0"/>
    <xf numFmtId="172" fontId="50" fillId="0" borderId="0"/>
    <xf numFmtId="0" fontId="6" fillId="0" borderId="0"/>
    <xf numFmtId="0" fontId="2" fillId="0" borderId="0"/>
    <xf numFmtId="0" fontId="6" fillId="0" borderId="0"/>
    <xf numFmtId="9" fontId="6" fillId="0" borderId="0" applyFont="0" applyFill="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2" fillId="15" borderId="35" applyNumberFormat="0" applyAlignment="0" applyProtection="0"/>
    <xf numFmtId="0" fontId="43" fillId="16" borderId="36" applyNumberFormat="0" applyAlignment="0" applyProtection="0"/>
    <xf numFmtId="0" fontId="44" fillId="16" borderId="35" applyNumberFormat="0" applyAlignment="0" applyProtection="0"/>
    <xf numFmtId="0" fontId="45" fillId="0" borderId="37" applyNumberFormat="0" applyFill="0" applyAlignment="0" applyProtection="0"/>
    <xf numFmtId="0" fontId="46" fillId="17" borderId="3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2" fillId="0" borderId="40" applyNumberFormat="0" applyFill="0" applyAlignment="0" applyProtection="0"/>
    <xf numFmtId="0" fontId="49" fillId="19" borderId="0" applyNumberFormat="0" applyBorder="0" applyAlignment="0" applyProtection="0"/>
    <xf numFmtId="0" fontId="49" fillId="23" borderId="0" applyNumberFormat="0" applyBorder="0" applyAlignment="0" applyProtection="0"/>
    <xf numFmtId="0" fontId="49" fillId="27"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9" borderId="0" applyNumberFormat="0" applyBorder="0" applyAlignment="0" applyProtection="0"/>
    <xf numFmtId="0" fontId="114" fillId="0" borderId="0"/>
    <xf numFmtId="0" fontId="6" fillId="0" borderId="0"/>
    <xf numFmtId="0" fontId="2" fillId="0" borderId="0"/>
    <xf numFmtId="0" fontId="51" fillId="0" borderId="0"/>
    <xf numFmtId="0" fontId="104" fillId="14" borderId="0" applyNumberFormat="0" applyBorder="0" applyAlignment="0" applyProtection="0"/>
    <xf numFmtId="0" fontId="103" fillId="13" borderId="0" applyNumberFormat="0" applyBorder="0" applyAlignment="0" applyProtection="0"/>
    <xf numFmtId="0" fontId="102" fillId="12" borderId="0" applyNumberFormat="0" applyBorder="0" applyAlignment="0" applyProtection="0"/>
    <xf numFmtId="0" fontId="110" fillId="0" borderId="0" applyNumberFormat="0" applyFill="0" applyBorder="0" applyAlignment="0" applyProtection="0"/>
    <xf numFmtId="0" fontId="51" fillId="33" borderId="0" applyNumberFormat="0" applyBorder="0" applyAlignment="0" applyProtection="0"/>
    <xf numFmtId="0" fontId="113" fillId="27" borderId="0" applyNumberFormat="0" applyBorder="0" applyAlignment="0" applyProtection="0"/>
    <xf numFmtId="0" fontId="51" fillId="21" borderId="0" applyNumberFormat="0" applyBorder="0" applyAlignment="0" applyProtection="0"/>
    <xf numFmtId="0" fontId="109" fillId="17" borderId="38" applyNumberFormat="0" applyAlignment="0" applyProtection="0"/>
    <xf numFmtId="0" fontId="51" fillId="32" borderId="0" applyNumberFormat="0" applyBorder="0" applyAlignment="0" applyProtection="0"/>
    <xf numFmtId="0" fontId="113" fillId="26" borderId="0" applyNumberFormat="0" applyBorder="0" applyAlignment="0" applyProtection="0"/>
    <xf numFmtId="0" fontId="51" fillId="20" borderId="0" applyNumberFormat="0" applyBorder="0" applyAlignment="0" applyProtection="0"/>
    <xf numFmtId="0" fontId="108" fillId="0" borderId="37" applyNumberFormat="0" applyFill="0" applyAlignment="0" applyProtection="0"/>
    <xf numFmtId="0" fontId="113" fillId="31" borderId="0" applyNumberFormat="0" applyBorder="0" applyAlignment="0" applyProtection="0"/>
    <xf numFmtId="0" fontId="51" fillId="25" borderId="0" applyNumberFormat="0" applyBorder="0" applyAlignment="0" applyProtection="0"/>
    <xf numFmtId="0" fontId="113" fillId="19" borderId="0" applyNumberFormat="0" applyBorder="0" applyAlignment="0" applyProtection="0"/>
    <xf numFmtId="0" fontId="107" fillId="16" borderId="35" applyNumberFormat="0" applyAlignment="0" applyProtection="0"/>
    <xf numFmtId="0" fontId="113" fillId="30" borderId="0" applyNumberFormat="0" applyBorder="0" applyAlignment="0" applyProtection="0"/>
    <xf numFmtId="0" fontId="51" fillId="24" borderId="0" applyNumberFormat="0" applyBorder="0" applyAlignment="0" applyProtection="0"/>
    <xf numFmtId="0" fontId="112" fillId="0" borderId="40" applyNumberFormat="0" applyFill="0" applyAlignment="0" applyProtection="0"/>
    <xf numFmtId="0" fontId="106" fillId="16" borderId="36" applyNumberFormat="0" applyAlignment="0" applyProtection="0"/>
    <xf numFmtId="0" fontId="51" fillId="29" borderId="0" applyNumberFormat="0" applyBorder="0" applyAlignment="0" applyProtection="0"/>
    <xf numFmtId="0" fontId="113" fillId="23" borderId="0" applyNumberFormat="0" applyBorder="0" applyAlignment="0" applyProtection="0"/>
    <xf numFmtId="0" fontId="111" fillId="0" borderId="0" applyNumberFormat="0" applyFill="0" applyBorder="0" applyAlignment="0" applyProtection="0"/>
    <xf numFmtId="0" fontId="105" fillId="15" borderId="35" applyNumberFormat="0" applyAlignment="0" applyProtection="0"/>
    <xf numFmtId="0" fontId="51" fillId="28" borderId="0" applyNumberFormat="0" applyBorder="0" applyAlignment="0" applyProtection="0"/>
    <xf numFmtId="0" fontId="113" fillId="22" borderId="0" applyNumberFormat="0" applyBorder="0" applyAlignment="0" applyProtection="0"/>
    <xf numFmtId="0" fontId="51" fillId="18" borderId="39" applyNumberFormat="0" applyFont="0" applyAlignment="0" applyProtection="0"/>
    <xf numFmtId="0" fontId="114" fillId="0" borderId="0"/>
    <xf numFmtId="0" fontId="2" fillId="0" borderId="0"/>
    <xf numFmtId="0" fontId="35" fillId="0" borderId="0" applyNumberFormat="0" applyFill="0" applyBorder="0" applyAlignment="0" applyProtection="0"/>
    <xf numFmtId="0" fontId="2" fillId="0" borderId="0"/>
    <xf numFmtId="0" fontId="6" fillId="0" borderId="0"/>
    <xf numFmtId="0" fontId="6" fillId="0" borderId="0"/>
    <xf numFmtId="43" fontId="114" fillId="0" borderId="0" applyFont="0" applyFill="0" applyBorder="0" applyAlignment="0" applyProtection="0"/>
    <xf numFmtId="0" fontId="2" fillId="0" borderId="0"/>
    <xf numFmtId="0" fontId="2" fillId="18" borderId="39" applyNumberFormat="0" applyFont="0" applyAlignment="0" applyProtection="0"/>
    <xf numFmtId="0" fontId="2" fillId="0" borderId="0"/>
    <xf numFmtId="0" fontId="52" fillId="0" borderId="0" applyNumberFormat="0" applyFill="0" applyBorder="0" applyAlignment="0" applyProtection="0"/>
    <xf numFmtId="43" fontId="2" fillId="0" borderId="0" applyFont="0" applyFill="0" applyBorder="0" applyAlignment="0" applyProtection="0"/>
    <xf numFmtId="0" fontId="113" fillId="34" borderId="0" applyNumberFormat="0" applyBorder="0" applyAlignment="0" applyProtection="0"/>
    <xf numFmtId="0" fontId="113"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113" fillId="42" borderId="0" applyNumberFormat="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0" fontId="6"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6" fillId="0" borderId="0"/>
    <xf numFmtId="0" fontId="6" fillId="0" borderId="0"/>
    <xf numFmtId="0" fontId="6" fillId="0" borderId="0"/>
    <xf numFmtId="44" fontId="6" fillId="0" borderId="0" applyFont="0" applyFill="0" applyBorder="0" applyAlignment="0" applyProtection="0"/>
    <xf numFmtId="0" fontId="64" fillId="0" borderId="0"/>
    <xf numFmtId="0" fontId="64" fillId="0" borderId="0"/>
    <xf numFmtId="0" fontId="6" fillId="0" borderId="0"/>
    <xf numFmtId="0" fontId="6" fillId="0" borderId="0"/>
    <xf numFmtId="0" fontId="62" fillId="0" borderId="0" applyBorder="0"/>
    <xf numFmtId="0" fontId="52" fillId="0" borderId="0" applyNumberFormat="0" applyFill="0" applyBorder="0" applyAlignment="0" applyProtection="0"/>
    <xf numFmtId="0" fontId="64" fillId="0" borderId="0"/>
    <xf numFmtId="0" fontId="64" fillId="0" borderId="0"/>
    <xf numFmtId="0" fontId="115" fillId="0" borderId="0">
      <alignment vertical="top"/>
    </xf>
    <xf numFmtId="43" fontId="115" fillId="0" borderId="0" applyFont="0" applyFill="0" applyBorder="0" applyAlignment="0" applyProtection="0"/>
    <xf numFmtId="0" fontId="2" fillId="29"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8" borderId="0" applyNumberFormat="0" applyBorder="0" applyAlignment="0" applyProtection="0"/>
    <xf numFmtId="43" fontId="100" fillId="0" borderId="0" applyFont="0" applyFill="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21" borderId="0" applyNumberFormat="0" applyBorder="0" applyAlignment="0" applyProtection="0"/>
    <xf numFmtId="43" fontId="100" fillId="0" borderId="0" applyFont="0" applyFill="0" applyBorder="0" applyAlignment="0" applyProtection="0"/>
    <xf numFmtId="0" fontId="2" fillId="24" borderId="0" applyNumberFormat="0" applyBorder="0" applyAlignment="0" applyProtection="0"/>
    <xf numFmtId="43" fontId="2" fillId="0" borderId="0" applyFont="0" applyFill="0" applyBorder="0" applyAlignment="0" applyProtection="0"/>
    <xf numFmtId="0" fontId="2"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alignment vertical="top"/>
    </xf>
    <xf numFmtId="171" fontId="98" fillId="0" borderId="0"/>
    <xf numFmtId="0" fontId="6" fillId="0" borderId="0"/>
    <xf numFmtId="0" fontId="6" fillId="0" borderId="0"/>
    <xf numFmtId="0" fontId="100" fillId="0" borderId="0">
      <alignment vertical="top"/>
    </xf>
    <xf numFmtId="0" fontId="100" fillId="0" borderId="0">
      <alignment vertical="top"/>
    </xf>
    <xf numFmtId="0" fontId="100" fillId="0" borderId="0">
      <alignment vertical="top"/>
    </xf>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4" fontId="100" fillId="0" borderId="0" applyFont="0" applyFill="0" applyBorder="0" applyAlignment="0" applyProtection="0">
      <alignment vertical="top"/>
    </xf>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8" borderId="39" applyNumberFormat="0" applyFont="0" applyAlignment="0" applyProtection="0"/>
    <xf numFmtId="0" fontId="2" fillId="41" borderId="0" applyNumberFormat="0" applyBorder="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3" borderId="0" applyNumberFormat="0" applyBorder="0" applyAlignment="0" applyProtection="0"/>
    <xf numFmtId="0" fontId="2" fillId="25"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0"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9" fontId="2" fillId="0" borderId="0" applyFont="0" applyFill="0" applyBorder="0" applyAlignment="0" applyProtection="0"/>
    <xf numFmtId="43" fontId="100" fillId="0" borderId="0" applyFont="0" applyFill="0" applyBorder="0" applyAlignment="0" applyProtection="0"/>
    <xf numFmtId="0" fontId="2" fillId="0" borderId="0"/>
    <xf numFmtId="0" fontId="2" fillId="25" borderId="0" applyNumberFormat="0" applyBorder="0" applyAlignment="0" applyProtection="0"/>
    <xf numFmtId="0" fontId="2" fillId="0" borderId="0"/>
    <xf numFmtId="0" fontId="2" fillId="21" borderId="0" applyNumberFormat="0" applyBorder="0" applyAlignment="0" applyProtection="0"/>
    <xf numFmtId="0" fontId="2" fillId="25"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0" fontId="2" fillId="29" borderId="0" applyNumberFormat="0" applyBorder="0" applyAlignment="0" applyProtection="0"/>
    <xf numFmtId="43" fontId="100" fillId="0" borderId="0" applyFont="0" applyFill="0" applyBorder="0" applyAlignment="0" applyProtection="0"/>
    <xf numFmtId="0" fontId="2" fillId="41"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44" fontId="2" fillId="0" borderId="0" applyFont="0" applyFill="0" applyBorder="0" applyAlignment="0" applyProtection="0"/>
    <xf numFmtId="0" fontId="2" fillId="36" borderId="0" applyNumberFormat="0" applyBorder="0" applyAlignment="0" applyProtection="0"/>
    <xf numFmtId="0" fontId="2" fillId="0" borderId="0"/>
    <xf numFmtId="0" fontId="2" fillId="40"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0" borderId="0"/>
    <xf numFmtId="0" fontId="2" fillId="25" borderId="0" applyNumberFormat="0" applyBorder="0" applyAlignment="0" applyProtection="0"/>
    <xf numFmtId="43" fontId="100" fillId="0" borderId="0" applyFont="0" applyFill="0" applyBorder="0" applyAlignment="0" applyProtection="0"/>
    <xf numFmtId="0" fontId="2" fillId="32" borderId="0" applyNumberFormat="0" applyBorder="0" applyAlignment="0" applyProtection="0"/>
    <xf numFmtId="0" fontId="2" fillId="0" borderId="0"/>
    <xf numFmtId="0" fontId="2" fillId="33" borderId="0" applyNumberFormat="0" applyBorder="0" applyAlignment="0" applyProtection="0"/>
    <xf numFmtId="0" fontId="2" fillId="2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40"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1" borderId="0" applyNumberFormat="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18" borderId="39" applyNumberFormat="0" applyFont="0" applyAlignment="0" applyProtection="0"/>
    <xf numFmtId="0" fontId="2" fillId="24" borderId="0" applyNumberFormat="0" applyBorder="0" applyAlignment="0" applyProtection="0"/>
    <xf numFmtId="0" fontId="2" fillId="24" borderId="0" applyNumberFormat="0" applyBorder="0" applyAlignment="0" applyProtection="0"/>
    <xf numFmtId="0" fontId="2" fillId="0" borderId="0"/>
    <xf numFmtId="0" fontId="2" fillId="40" borderId="0" applyNumberFormat="0" applyBorder="0" applyAlignment="0" applyProtection="0"/>
    <xf numFmtId="0" fontId="2" fillId="28" borderId="0" applyNumberFormat="0" applyBorder="0" applyAlignment="0" applyProtection="0"/>
    <xf numFmtId="0" fontId="2" fillId="41" borderId="0" applyNumberFormat="0" applyBorder="0" applyAlignment="0" applyProtection="0"/>
    <xf numFmtId="0" fontId="2" fillId="20" borderId="0" applyNumberFormat="0" applyBorder="0" applyAlignment="0" applyProtection="0"/>
    <xf numFmtId="0" fontId="2" fillId="0" borderId="0"/>
    <xf numFmtId="9" fontId="2" fillId="0" borderId="0" applyFont="0" applyFill="0" applyBorder="0" applyAlignment="0" applyProtection="0"/>
    <xf numFmtId="0" fontId="2" fillId="40"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43" fontId="2" fillId="0" borderId="0" applyFont="0" applyFill="0" applyBorder="0" applyAlignment="0" applyProtection="0"/>
    <xf numFmtId="0" fontId="2" fillId="29" borderId="0" applyNumberFormat="0" applyBorder="0" applyAlignment="0" applyProtection="0"/>
    <xf numFmtId="0" fontId="2" fillId="37" borderId="0" applyNumberFormat="0" applyBorder="0" applyAlignment="0" applyProtection="0"/>
    <xf numFmtId="0" fontId="2" fillId="18" borderId="39" applyNumberFormat="0" applyFont="0" applyAlignment="0" applyProtection="0"/>
    <xf numFmtId="0" fontId="2"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18" borderId="39" applyNumberFormat="0" applyFont="0" applyAlignment="0" applyProtection="0"/>
    <xf numFmtId="0" fontId="2" fillId="18" borderId="39" applyNumberFormat="0" applyFont="0" applyAlignment="0" applyProtection="0"/>
    <xf numFmtId="0" fontId="2" fillId="29"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0" borderId="0"/>
    <xf numFmtId="0" fontId="2" fillId="28"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18" borderId="39" applyNumberFormat="0" applyFont="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20" borderId="0" applyNumberFormat="0" applyBorder="0" applyAlignment="0" applyProtection="0"/>
    <xf numFmtId="9" fontId="2" fillId="0" borderId="0" applyFont="0" applyFill="0" applyBorder="0" applyAlignment="0" applyProtection="0"/>
    <xf numFmtId="0" fontId="2" fillId="4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8" borderId="39" applyNumberFormat="0" applyFont="0" applyAlignment="0" applyProtection="0"/>
    <xf numFmtId="0" fontId="2" fillId="40"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2"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8" borderId="39" applyNumberFormat="0" applyFont="0" applyAlignment="0" applyProtection="0"/>
    <xf numFmtId="0" fontId="2" fillId="20" borderId="0" applyNumberFormat="0" applyBorder="0" applyAlignment="0" applyProtection="0"/>
    <xf numFmtId="0" fontId="2" fillId="0" borderId="0"/>
    <xf numFmtId="9" fontId="2" fillId="0" borderId="0" applyFont="0" applyFill="0" applyBorder="0" applyAlignment="0" applyProtection="0"/>
    <xf numFmtId="0" fontId="2" fillId="40"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21" borderId="0" applyNumberFormat="0" applyBorder="0" applyAlignment="0" applyProtection="0"/>
    <xf numFmtId="43" fontId="2" fillId="0" borderId="0" applyFont="0" applyFill="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18" borderId="39" applyNumberFormat="0" applyFont="0" applyAlignment="0" applyProtection="0"/>
    <xf numFmtId="9" fontId="2" fillId="0" borderId="0" applyFont="0" applyFill="0" applyBorder="0" applyAlignment="0" applyProtection="0"/>
    <xf numFmtId="0" fontId="2" fillId="28" borderId="0" applyNumberFormat="0" applyBorder="0" applyAlignment="0" applyProtection="0"/>
    <xf numFmtId="0" fontId="2" fillId="41" borderId="0" applyNumberFormat="0" applyBorder="0" applyAlignment="0" applyProtection="0"/>
    <xf numFmtId="9" fontId="2" fillId="0" borderId="0" applyFont="0" applyFill="0" applyBorder="0" applyAlignment="0" applyProtection="0"/>
    <xf numFmtId="0" fontId="2" fillId="0" borderId="0"/>
    <xf numFmtId="0" fontId="2" fillId="37" borderId="0" applyNumberFormat="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24" borderId="0" applyNumberFormat="0" applyBorder="0" applyAlignment="0" applyProtection="0"/>
    <xf numFmtId="0" fontId="2" fillId="18" borderId="3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11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100"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43" fontId="100"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0" borderId="0"/>
    <xf numFmtId="0" fontId="2" fillId="18" borderId="39"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 fillId="0" borderId="0"/>
    <xf numFmtId="0" fontId="6" fillId="0" borderId="0"/>
    <xf numFmtId="43" fontId="100" fillId="0" borderId="0" applyFont="0" applyFill="0" applyBorder="0" applyAlignment="0" applyProtection="0"/>
    <xf numFmtId="9" fontId="100"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0" fontId="64" fillId="0" borderId="0"/>
    <xf numFmtId="43" fontId="64" fillId="0" borderId="0" applyFont="0" applyFill="0" applyBorder="0" applyAlignment="0" applyProtection="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0" fontId="64" fillId="0" borderId="0"/>
    <xf numFmtId="43"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9" fontId="64" fillId="0" borderId="0" applyFont="0" applyFill="0" applyBorder="0" applyAlignment="0" applyProtection="0"/>
    <xf numFmtId="43"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0" fontId="64" fillId="0" borderId="0"/>
    <xf numFmtId="0" fontId="64" fillId="0" borderId="0"/>
    <xf numFmtId="0" fontId="64" fillId="0" borderId="0"/>
    <xf numFmtId="43" fontId="64" fillId="0" borderId="0" applyFont="0" applyFill="0" applyBorder="0" applyAlignment="0" applyProtection="0"/>
    <xf numFmtId="0" fontId="64" fillId="0" borderId="0"/>
    <xf numFmtId="9"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0" fontId="64" fillId="0" borderId="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43"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64" fillId="0" borderId="0"/>
    <xf numFmtId="43" fontId="64" fillId="0" borderId="0" applyFont="0" applyFill="0" applyBorder="0" applyAlignment="0" applyProtection="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0"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0" fontId="64" fillId="0" borderId="0"/>
    <xf numFmtId="9" fontId="64" fillId="0" borderId="0" applyFont="0" applyFill="0" applyBorder="0" applyAlignment="0" applyProtection="0"/>
    <xf numFmtId="9" fontId="64" fillId="0" borderId="0" applyFont="0" applyFill="0" applyBorder="0" applyAlignment="0" applyProtection="0"/>
  </cellStyleXfs>
  <cellXfs count="403">
    <xf numFmtId="37" fontId="0" fillId="0" borderId="0" xfId="0"/>
    <xf numFmtId="37" fontId="8" fillId="0" borderId="0" xfId="0" applyFont="1"/>
    <xf numFmtId="37" fontId="8" fillId="0" borderId="0" xfId="0" applyFont="1" applyAlignment="1">
      <alignment horizontal="left"/>
    </xf>
    <xf numFmtId="1" fontId="8" fillId="0" borderId="0" xfId="0" applyNumberFormat="1" applyFont="1" applyAlignment="1">
      <alignment horizontal="center"/>
    </xf>
    <xf numFmtId="37" fontId="8" fillId="0" borderId="0" xfId="0" applyFont="1" applyAlignment="1">
      <alignment horizontal="center"/>
    </xf>
    <xf numFmtId="37" fontId="8" fillId="0" borderId="0" xfId="0" quotePrefix="1" applyFont="1" applyAlignment="1">
      <alignment horizontal="center"/>
    </xf>
    <xf numFmtId="10" fontId="8" fillId="0" borderId="0" xfId="0" applyNumberFormat="1" applyFont="1"/>
    <xf numFmtId="49" fontId="8" fillId="0" borderId="0" xfId="0" quotePrefix="1" applyNumberFormat="1" applyFont="1"/>
    <xf numFmtId="37" fontId="10" fillId="0" borderId="0" xfId="0" applyFont="1" applyAlignment="1" applyProtection="1">
      <alignment horizontal="center"/>
      <protection locked="0"/>
    </xf>
    <xf numFmtId="37" fontId="11" fillId="0" borderId="0" xfId="0" applyFont="1"/>
    <xf numFmtId="37" fontId="12" fillId="0" borderId="0" xfId="0" applyFont="1" applyAlignment="1">
      <alignment horizontal="center"/>
    </xf>
    <xf numFmtId="37" fontId="13" fillId="0" borderId="0" xfId="0" applyFont="1"/>
    <xf numFmtId="37" fontId="12" fillId="0" borderId="0" xfId="0" applyFont="1"/>
    <xf numFmtId="37" fontId="14" fillId="0" borderId="0" xfId="0" applyFont="1"/>
    <xf numFmtId="37" fontId="14" fillId="0" borderId="0" xfId="0" applyFont="1" applyAlignment="1">
      <alignment horizontal="center"/>
    </xf>
    <xf numFmtId="41" fontId="12" fillId="0" borderId="0" xfId="1" applyNumberFormat="1" applyFont="1"/>
    <xf numFmtId="37" fontId="12" fillId="0" borderId="0" xfId="0" applyFont="1" applyAlignment="1">
      <alignment horizontal="left"/>
    </xf>
    <xf numFmtId="38" fontId="12" fillId="0" borderId="0" xfId="0" applyNumberFormat="1" applyFont="1"/>
    <xf numFmtId="37" fontId="12" fillId="0" borderId="0" xfId="0" quotePrefix="1" applyFont="1" applyAlignment="1">
      <alignment horizontal="left"/>
    </xf>
    <xf numFmtId="37" fontId="15" fillId="0" borderId="0" xfId="2" applyNumberFormat="1" applyFont="1" applyAlignment="1" applyProtection="1"/>
    <xf numFmtId="37" fontId="12" fillId="3" borderId="0" xfId="0" applyFont="1" applyFill="1"/>
    <xf numFmtId="38" fontId="12" fillId="3" borderId="0" xfId="0" applyNumberFormat="1" applyFont="1" applyFill="1" applyAlignment="1">
      <alignment horizontal="center"/>
    </xf>
    <xf numFmtId="37" fontId="12" fillId="3" borderId="0" xfId="0" applyFont="1" applyFill="1" applyAlignment="1">
      <alignment horizontal="center"/>
    </xf>
    <xf numFmtId="37" fontId="12" fillId="3" borderId="0" xfId="0" quotePrefix="1" applyFont="1" applyFill="1" applyAlignment="1">
      <alignment horizontal="center"/>
    </xf>
    <xf numFmtId="37" fontId="16" fillId="0" borderId="1" xfId="0" quotePrefix="1" applyFont="1" applyBorder="1" applyProtection="1">
      <protection locked="0"/>
    </xf>
    <xf numFmtId="37" fontId="12" fillId="3" borderId="0" xfId="0" quotePrefix="1" applyFont="1" applyFill="1"/>
    <xf numFmtId="37" fontId="12" fillId="3" borderId="0" xfId="0" quotePrefix="1" applyFont="1" applyFill="1" applyAlignment="1">
      <alignment horizontal="left"/>
    </xf>
    <xf numFmtId="38" fontId="12" fillId="3" borderId="0" xfId="0" applyNumberFormat="1" applyFont="1" applyFill="1"/>
    <xf numFmtId="165" fontId="12" fillId="3" borderId="0" xfId="0" applyNumberFormat="1" applyFont="1" applyFill="1" applyAlignment="1">
      <alignment horizontal="center"/>
    </xf>
    <xf numFmtId="37" fontId="12" fillId="3" borderId="0" xfId="0" quotePrefix="1" applyFont="1" applyFill="1" applyAlignment="1">
      <alignment horizontal="fill"/>
    </xf>
    <xf numFmtId="37" fontId="16" fillId="0" borderId="1" xfId="1" quotePrefix="1" applyNumberFormat="1" applyFont="1" applyBorder="1" applyProtection="1">
      <protection locked="0"/>
    </xf>
    <xf numFmtId="37" fontId="16" fillId="0" borderId="1" xfId="1" applyNumberFormat="1" applyFont="1" applyBorder="1" applyProtection="1">
      <protection locked="0"/>
    </xf>
    <xf numFmtId="37" fontId="12" fillId="7" borderId="0" xfId="0" applyFont="1" applyFill="1"/>
    <xf numFmtId="37" fontId="12" fillId="7" borderId="0" xfId="0" quotePrefix="1" applyFont="1" applyFill="1" applyAlignment="1">
      <alignment horizontal="left" indent="1"/>
    </xf>
    <xf numFmtId="43" fontId="12" fillId="3" borderId="0" xfId="1" applyFont="1" applyFill="1"/>
    <xf numFmtId="37" fontId="16" fillId="4" borderId="1" xfId="0" quotePrefix="1" applyFont="1" applyFill="1" applyBorder="1" applyProtection="1">
      <protection locked="0"/>
    </xf>
    <xf numFmtId="37" fontId="12" fillId="3" borderId="0" xfId="1" quotePrefix="1" applyNumberFormat="1" applyFont="1" applyFill="1" applyAlignment="1">
      <alignment horizontal="fill"/>
    </xf>
    <xf numFmtId="39" fontId="12" fillId="3" borderId="0" xfId="0" applyNumberFormat="1" applyFont="1" applyFill="1"/>
    <xf numFmtId="37" fontId="12" fillId="3" borderId="0" xfId="0" applyFont="1" applyFill="1" applyAlignment="1">
      <alignment horizontal="centerContinuous"/>
    </xf>
    <xf numFmtId="37" fontId="12" fillId="7" borderId="0" xfId="0" quotePrefix="1" applyFont="1" applyFill="1" applyAlignment="1">
      <alignment horizontal="left"/>
    </xf>
    <xf numFmtId="37" fontId="12" fillId="7" borderId="0" xfId="0" applyFont="1" applyFill="1" applyAlignment="1">
      <alignment horizontal="right"/>
    </xf>
    <xf numFmtId="38" fontId="16" fillId="4" borderId="14" xfId="0" applyNumberFormat="1" applyFont="1" applyFill="1" applyBorder="1" applyProtection="1">
      <protection locked="0"/>
    </xf>
    <xf numFmtId="38" fontId="16" fillId="4" borderId="8" xfId="0" applyNumberFormat="1" applyFont="1" applyFill="1" applyBorder="1" applyProtection="1">
      <protection locked="0"/>
    </xf>
    <xf numFmtId="38" fontId="16" fillId="4" borderId="2" xfId="0" applyNumberFormat="1" applyFont="1" applyFill="1" applyBorder="1" applyProtection="1">
      <protection locked="0"/>
    </xf>
    <xf numFmtId="37" fontId="12" fillId="7" borderId="0" xfId="0" applyFont="1" applyFill="1" applyAlignment="1">
      <alignment horizontal="left"/>
    </xf>
    <xf numFmtId="37" fontId="16" fillId="3" borderId="0" xfId="0" applyFont="1" applyFill="1" applyAlignment="1">
      <alignment horizontal="centerContinuous"/>
    </xf>
    <xf numFmtId="37" fontId="12" fillId="3" borderId="0" xfId="0" applyFont="1" applyFill="1" applyAlignment="1">
      <alignment horizontal="right"/>
    </xf>
    <xf numFmtId="38" fontId="16" fillId="4" borderId="1" xfId="0" applyNumberFormat="1" applyFont="1" applyFill="1" applyBorder="1" applyProtection="1">
      <protection locked="0"/>
    </xf>
    <xf numFmtId="38" fontId="12" fillId="3" borderId="0" xfId="0" applyNumberFormat="1" applyFont="1" applyFill="1" applyAlignment="1">
      <alignment horizontal="right"/>
    </xf>
    <xf numFmtId="37" fontId="12" fillId="3" borderId="0" xfId="0" quotePrefix="1" applyFont="1" applyFill="1" applyAlignment="1">
      <alignment horizontal="centerContinuous"/>
    </xf>
    <xf numFmtId="37" fontId="16" fillId="4" borderId="1" xfId="0" applyFont="1" applyFill="1" applyBorder="1" applyProtection="1">
      <protection locked="0"/>
    </xf>
    <xf numFmtId="37" fontId="16" fillId="3" borderId="0" xfId="0" quotePrefix="1" applyFont="1" applyFill="1" applyAlignment="1">
      <alignment horizontal="left"/>
    </xf>
    <xf numFmtId="37" fontId="16" fillId="3" borderId="0" xfId="0" applyFont="1" applyFill="1" applyAlignment="1">
      <alignment horizontal="center"/>
    </xf>
    <xf numFmtId="38" fontId="16" fillId="3" borderId="0" xfId="0" applyNumberFormat="1" applyFont="1" applyFill="1" applyAlignment="1">
      <alignment horizontal="center"/>
    </xf>
    <xf numFmtId="38" fontId="16" fillId="3" borderId="0" xfId="0" applyNumberFormat="1" applyFont="1" applyFill="1"/>
    <xf numFmtId="37" fontId="16" fillId="3" borderId="0" xfId="0" applyFont="1" applyFill="1"/>
    <xf numFmtId="37" fontId="12" fillId="3" borderId="0" xfId="0" applyFont="1" applyFill="1" applyAlignment="1">
      <alignment horizontal="left"/>
    </xf>
    <xf numFmtId="38" fontId="16" fillId="3" borderId="8" xfId="0" applyNumberFormat="1" applyFont="1" applyFill="1" applyBorder="1" applyAlignment="1" applyProtection="1">
      <alignment horizontal="center"/>
      <protection locked="0"/>
    </xf>
    <xf numFmtId="37" fontId="16" fillId="7" borderId="0" xfId="0" applyFont="1" applyFill="1" applyAlignment="1">
      <alignment horizontal="centerContinuous"/>
    </xf>
    <xf numFmtId="37" fontId="12" fillId="7" borderId="0" xfId="0" applyFont="1" applyFill="1" applyAlignment="1">
      <alignment horizontal="left" indent="1"/>
    </xf>
    <xf numFmtId="10" fontId="12" fillId="0" borderId="0" xfId="4" applyNumberFormat="1" applyFont="1"/>
    <xf numFmtId="37" fontId="12" fillId="7" borderId="0" xfId="0" applyFont="1" applyFill="1" applyAlignment="1">
      <alignment horizontal="left" indent="2"/>
    </xf>
    <xf numFmtId="37" fontId="12" fillId="7" borderId="0" xfId="0" quotePrefix="1" applyFont="1" applyFill="1" applyAlignment="1">
      <alignment horizontal="left" indent="2"/>
    </xf>
    <xf numFmtId="39" fontId="12" fillId="0" borderId="0" xfId="0" applyNumberFormat="1" applyFont="1"/>
    <xf numFmtId="10" fontId="12" fillId="0" borderId="0" xfId="0" applyNumberFormat="1" applyFont="1"/>
    <xf numFmtId="1" fontId="12" fillId="0" borderId="0" xfId="0" applyNumberFormat="1" applyFont="1" applyAlignment="1">
      <alignment horizontal="center"/>
    </xf>
    <xf numFmtId="37" fontId="12" fillId="0" borderId="0" xfId="0" applyFont="1" applyAlignment="1">
      <alignment horizontal="right"/>
    </xf>
    <xf numFmtId="37" fontId="17" fillId="0" borderId="0" xfId="0" applyFont="1"/>
    <xf numFmtId="37" fontId="10" fillId="0" borderId="0" xfId="0" applyFont="1" applyAlignment="1">
      <alignment horizontal="center"/>
    </xf>
    <xf numFmtId="37" fontId="12" fillId="0" borderId="0" xfId="0" quotePrefix="1" applyFont="1"/>
    <xf numFmtId="37" fontId="13" fillId="0" borderId="0" xfId="0" quotePrefix="1" applyFont="1" applyAlignment="1">
      <alignment horizontal="left"/>
    </xf>
    <xf numFmtId="37" fontId="18" fillId="0" borderId="0" xfId="0" applyFont="1" applyAlignment="1">
      <alignment vertical="center" readingOrder="1"/>
    </xf>
    <xf numFmtId="37" fontId="20" fillId="0" borderId="0" xfId="0" applyFont="1" applyAlignment="1">
      <alignment vertical="center" readingOrder="1"/>
    </xf>
    <xf numFmtId="37" fontId="21" fillId="0" borderId="0" xfId="0" quotePrefix="1" applyFont="1"/>
    <xf numFmtId="37" fontId="21" fillId="0" borderId="0" xfId="0" applyFont="1"/>
    <xf numFmtId="37" fontId="8" fillId="0" borderId="0" xfId="0" quotePrefix="1" applyFont="1" applyAlignment="1">
      <alignment horizontal="right"/>
    </xf>
    <xf numFmtId="37" fontId="8" fillId="0" borderId="0" xfId="0" applyFont="1" applyAlignment="1">
      <alignment horizontal="centerContinuous"/>
    </xf>
    <xf numFmtId="37" fontId="22" fillId="0" borderId="1" xfId="0" applyFont="1" applyBorder="1"/>
    <xf numFmtId="37" fontId="22" fillId="0" borderId="8" xfId="0" applyFont="1" applyBorder="1"/>
    <xf numFmtId="37" fontId="8" fillId="0" borderId="6" xfId="0" applyFont="1" applyBorder="1"/>
    <xf numFmtId="37" fontId="8" fillId="0" borderId="8" xfId="0" applyFont="1" applyBorder="1"/>
    <xf numFmtId="37" fontId="22" fillId="0" borderId="2" xfId="0" applyFont="1" applyBorder="1"/>
    <xf numFmtId="37" fontId="22" fillId="0" borderId="13" xfId="0" applyFont="1" applyBorder="1"/>
    <xf numFmtId="37" fontId="22" fillId="0" borderId="0" xfId="0" applyFont="1"/>
    <xf numFmtId="37" fontId="22" fillId="0" borderId="4" xfId="0" applyFont="1" applyBorder="1"/>
    <xf numFmtId="37" fontId="8" fillId="0" borderId="13" xfId="0" applyFont="1" applyBorder="1"/>
    <xf numFmtId="37" fontId="8" fillId="0" borderId="10" xfId="0" applyFont="1" applyBorder="1"/>
    <xf numFmtId="37" fontId="22" fillId="0" borderId="14" xfId="0" applyFont="1" applyBorder="1" applyAlignment="1">
      <alignment horizontal="centerContinuous"/>
    </xf>
    <xf numFmtId="37" fontId="22" fillId="0" borderId="2" xfId="0" applyFont="1" applyBorder="1" applyAlignment="1">
      <alignment horizontal="centerContinuous"/>
    </xf>
    <xf numFmtId="37" fontId="22" fillId="0" borderId="8" xfId="0" applyFont="1" applyBorder="1" applyAlignment="1">
      <alignment horizontal="centerContinuous"/>
    </xf>
    <xf numFmtId="37" fontId="22" fillId="0" borderId="1" xfId="0" applyFont="1" applyBorder="1" applyAlignment="1">
      <alignment horizontal="center"/>
    </xf>
    <xf numFmtId="37" fontId="22" fillId="0" borderId="2" xfId="0" applyFont="1" applyBorder="1" applyAlignment="1">
      <alignment horizontal="center"/>
    </xf>
    <xf numFmtId="37" fontId="22" fillId="0" borderId="2" xfId="0" quotePrefix="1" applyFont="1" applyBorder="1" applyAlignment="1">
      <alignment horizontal="left"/>
    </xf>
    <xf numFmtId="37" fontId="22" fillId="0" borderId="12" xfId="0" applyFont="1" applyBorder="1"/>
    <xf numFmtId="37" fontId="8" fillId="0" borderId="4" xfId="0" applyFont="1" applyBorder="1"/>
    <xf numFmtId="37" fontId="22" fillId="0" borderId="8" xfId="0" quotePrefix="1" applyFont="1" applyBorder="1" applyAlignment="1">
      <alignment horizontal="left"/>
    </xf>
    <xf numFmtId="37" fontId="8" fillId="0" borderId="2" xfId="0" applyFont="1" applyBorder="1"/>
    <xf numFmtId="37" fontId="8" fillId="0" borderId="3" xfId="0" applyFont="1" applyBorder="1"/>
    <xf numFmtId="37" fontId="22" fillId="0" borderId="0" xfId="0" applyFont="1" applyAlignment="1">
      <alignment horizontal="left"/>
    </xf>
    <xf numFmtId="37" fontId="8" fillId="2" borderId="0" xfId="0" applyFont="1" applyFill="1"/>
    <xf numFmtId="37" fontId="8" fillId="2" borderId="4" xfId="0" applyFont="1" applyFill="1" applyBorder="1"/>
    <xf numFmtId="37" fontId="8" fillId="0" borderId="9" xfId="0" applyFont="1" applyBorder="1"/>
    <xf numFmtId="37" fontId="22" fillId="0" borderId="12" xfId="0" applyFont="1" applyBorder="1" applyAlignment="1">
      <alignment horizontal="left"/>
    </xf>
    <xf numFmtId="37" fontId="22" fillId="0" borderId="10" xfId="0" applyFont="1" applyBorder="1" applyAlignment="1">
      <alignment horizontal="right"/>
    </xf>
    <xf numFmtId="37" fontId="8" fillId="2" borderId="12" xfId="0" applyFont="1" applyFill="1" applyBorder="1"/>
    <xf numFmtId="37" fontId="8" fillId="2" borderId="10" xfId="0" applyFont="1" applyFill="1" applyBorder="1"/>
    <xf numFmtId="37" fontId="12" fillId="0" borderId="0" xfId="0" quotePrefix="1" applyFont="1" applyAlignment="1">
      <alignment horizontal="right"/>
    </xf>
    <xf numFmtId="37" fontId="12" fillId="0" borderId="16" xfId="0" applyFont="1" applyBorder="1"/>
    <xf numFmtId="37" fontId="12" fillId="0" borderId="17" xfId="0" applyFont="1" applyBorder="1"/>
    <xf numFmtId="37" fontId="12" fillId="0" borderId="18" xfId="0" applyFont="1" applyBorder="1"/>
    <xf numFmtId="37" fontId="12" fillId="0" borderId="19" xfId="0" applyFont="1" applyBorder="1"/>
    <xf numFmtId="37" fontId="12" fillId="0" borderId="20" xfId="0" applyFont="1" applyBorder="1"/>
    <xf numFmtId="37" fontId="12" fillId="0" borderId="21" xfId="0" applyFont="1" applyBorder="1"/>
    <xf numFmtId="37" fontId="12" fillId="0" borderId="22" xfId="0" applyFont="1" applyBorder="1"/>
    <xf numFmtId="37" fontId="12" fillId="0" borderId="23" xfId="0" applyFont="1" applyBorder="1"/>
    <xf numFmtId="37" fontId="12" fillId="0" borderId="8" xfId="0" applyFont="1" applyBorder="1"/>
    <xf numFmtId="37" fontId="12" fillId="0" borderId="8" xfId="0" applyFont="1" applyBorder="1" applyAlignment="1">
      <alignment horizontal="center"/>
    </xf>
    <xf numFmtId="37" fontId="12" fillId="0" borderId="24" xfId="0" applyFont="1" applyBorder="1"/>
    <xf numFmtId="37" fontId="12" fillId="0" borderId="25" xfId="0" applyFont="1" applyBorder="1"/>
    <xf numFmtId="37" fontId="12" fillId="0" borderId="6" xfId="0" applyFont="1" applyBorder="1"/>
    <xf numFmtId="37" fontId="12" fillId="0" borderId="26" xfId="0" applyFont="1" applyBorder="1"/>
    <xf numFmtId="37" fontId="12" fillId="0" borderId="27" xfId="0" quotePrefix="1" applyFont="1" applyBorder="1" applyAlignment="1">
      <alignment horizontal="left"/>
    </xf>
    <xf numFmtId="37" fontId="12" fillId="0" borderId="12" xfId="0" applyFont="1" applyBorder="1"/>
    <xf numFmtId="37" fontId="12" fillId="0" borderId="28" xfId="0" applyFont="1" applyBorder="1"/>
    <xf numFmtId="37" fontId="12" fillId="0" borderId="27" xfId="0" applyFont="1" applyBorder="1" applyAlignment="1">
      <alignment horizontal="center"/>
    </xf>
    <xf numFmtId="37" fontId="12" fillId="0" borderId="29" xfId="0" applyFont="1" applyBorder="1"/>
    <xf numFmtId="37" fontId="12" fillId="0" borderId="30" xfId="0" applyFont="1" applyBorder="1"/>
    <xf numFmtId="37" fontId="12" fillId="0" borderId="30" xfId="0" applyFont="1" applyBorder="1" applyAlignment="1">
      <alignment horizontal="center"/>
    </xf>
    <xf numFmtId="37" fontId="12" fillId="0" borderId="31" xfId="0" applyFont="1" applyBorder="1"/>
    <xf numFmtId="37" fontId="22" fillId="0" borderId="0" xfId="0" quotePrefix="1" applyFont="1" applyAlignment="1">
      <alignment horizontal="left"/>
    </xf>
    <xf numFmtId="37" fontId="22" fillId="0" borderId="5" xfId="0" applyFont="1" applyBorder="1" applyAlignment="1">
      <alignment horizontal="centerContinuous"/>
    </xf>
    <xf numFmtId="37" fontId="8" fillId="0" borderId="6" xfId="0" applyFont="1" applyBorder="1" applyAlignment="1">
      <alignment horizontal="centerContinuous"/>
    </xf>
    <xf numFmtId="37" fontId="8" fillId="0" borderId="7" xfId="0" applyFont="1" applyBorder="1" applyAlignment="1">
      <alignment horizontal="centerContinuous"/>
    </xf>
    <xf numFmtId="37" fontId="22" fillId="0" borderId="11" xfId="0" applyFont="1" applyBorder="1"/>
    <xf numFmtId="37" fontId="22" fillId="0" borderId="2" xfId="0" quotePrefix="1" applyFont="1" applyBorder="1" applyAlignment="1">
      <alignment horizontal="centerContinuous"/>
    </xf>
    <xf numFmtId="37" fontId="22" fillId="0" borderId="3" xfId="0" applyFont="1" applyBorder="1" applyAlignment="1">
      <alignment horizontal="center"/>
    </xf>
    <xf numFmtId="37" fontId="22" fillId="0" borderId="2" xfId="0" quotePrefix="1" applyFont="1" applyBorder="1"/>
    <xf numFmtId="37" fontId="22" fillId="0" borderId="13" xfId="0" applyFont="1" applyBorder="1" applyAlignment="1">
      <alignment horizontal="center"/>
    </xf>
    <xf numFmtId="37" fontId="22" fillId="0" borderId="0" xfId="0" quotePrefix="1" applyFont="1"/>
    <xf numFmtId="37" fontId="22" fillId="0" borderId="4" xfId="0" quotePrefix="1" applyFont="1" applyBorder="1"/>
    <xf numFmtId="37" fontId="22" fillId="0" borderId="13" xfId="0" applyFont="1" applyBorder="1" applyAlignment="1">
      <alignment horizontal="centerContinuous"/>
    </xf>
    <xf numFmtId="37" fontId="8" fillId="0" borderId="4" xfId="0" applyFont="1" applyBorder="1" applyAlignment="1">
      <alignment horizontal="centerContinuous"/>
    </xf>
    <xf numFmtId="37" fontId="22" fillId="0" borderId="7" xfId="0" applyFont="1" applyBorder="1" applyAlignment="1">
      <alignment horizontal="centerContinuous"/>
    </xf>
    <xf numFmtId="37" fontId="22" fillId="0" borderId="14" xfId="0" applyFont="1" applyBorder="1" applyAlignment="1">
      <alignment horizontal="left"/>
    </xf>
    <xf numFmtId="37" fontId="8" fillId="0" borderId="12" xfId="0" applyFont="1" applyBorder="1"/>
    <xf numFmtId="37" fontId="8" fillId="0" borderId="7" xfId="0" applyFont="1" applyBorder="1"/>
    <xf numFmtId="37" fontId="8" fillId="0" borderId="15" xfId="0" applyFont="1" applyBorder="1"/>
    <xf numFmtId="37" fontId="22" fillId="0" borderId="12" xfId="0" quotePrefix="1" applyFont="1" applyBorder="1" applyAlignment="1">
      <alignment horizontal="left"/>
    </xf>
    <xf numFmtId="37" fontId="8" fillId="0" borderId="12" xfId="0" quotePrefix="1" applyFont="1" applyBorder="1"/>
    <xf numFmtId="37" fontId="8" fillId="0" borderId="12" xfId="0" quotePrefix="1" applyFont="1" applyBorder="1" applyAlignment="1">
      <alignment horizontal="left"/>
    </xf>
    <xf numFmtId="37" fontId="22" fillId="0" borderId="0" xfId="0" applyFont="1" applyAlignment="1">
      <alignment horizontal="centerContinuous"/>
    </xf>
    <xf numFmtId="37" fontId="22" fillId="0" borderId="0" xfId="0" quotePrefix="1" applyFont="1" applyAlignment="1">
      <alignment horizontal="center"/>
    </xf>
    <xf numFmtId="37" fontId="22" fillId="0" borderId="9" xfId="0" quotePrefix="1" applyFont="1" applyBorder="1"/>
    <xf numFmtId="37" fontId="22" fillId="0" borderId="9" xfId="0" applyFont="1" applyBorder="1"/>
    <xf numFmtId="37" fontId="8" fillId="0" borderId="1" xfId="0" applyFont="1" applyBorder="1"/>
    <xf numFmtId="37" fontId="22" fillId="0" borderId="4" xfId="0" applyFont="1" applyBorder="1" applyAlignment="1">
      <alignment horizontal="centerContinuous"/>
    </xf>
    <xf numFmtId="37" fontId="22" fillId="0" borderId="6" xfId="0" applyFont="1" applyBorder="1" applyAlignment="1">
      <alignment horizontal="centerContinuous"/>
    </xf>
    <xf numFmtId="37" fontId="22" fillId="0" borderId="1" xfId="0" applyFont="1" applyBorder="1" applyAlignment="1">
      <alignment horizontal="centerContinuous"/>
    </xf>
    <xf numFmtId="37" fontId="8" fillId="0" borderId="0" xfId="0" quotePrefix="1" applyFont="1" applyAlignment="1">
      <alignment horizontal="left"/>
    </xf>
    <xf numFmtId="37" fontId="22" fillId="0" borderId="7" xfId="0" applyFont="1" applyBorder="1"/>
    <xf numFmtId="37" fontId="22" fillId="0" borderId="7" xfId="0" applyFont="1" applyBorder="1" applyAlignment="1">
      <alignment horizontal="center"/>
    </xf>
    <xf numFmtId="37" fontId="22" fillId="0" borderId="3" xfId="0" applyFont="1" applyBorder="1"/>
    <xf numFmtId="37" fontId="22" fillId="0" borderId="4" xfId="0" applyFont="1" applyBorder="1" applyAlignment="1">
      <alignment horizontal="center"/>
    </xf>
    <xf numFmtId="37" fontId="22" fillId="0" borderId="3" xfId="0" applyFont="1" applyBorder="1" applyAlignment="1">
      <alignment horizontal="centerContinuous"/>
    </xf>
    <xf numFmtId="37" fontId="22" fillId="2" borderId="2" xfId="0" applyFont="1" applyFill="1" applyBorder="1"/>
    <xf numFmtId="37" fontId="22" fillId="0" borderId="10" xfId="0" applyFont="1" applyBorder="1"/>
    <xf numFmtId="37" fontId="22" fillId="0" borderId="10" xfId="0" applyFont="1" applyBorder="1" applyAlignment="1">
      <alignment horizontal="center"/>
    </xf>
    <xf numFmtId="164" fontId="22" fillId="0" borderId="2" xfId="0" applyNumberFormat="1" applyFont="1" applyBorder="1"/>
    <xf numFmtId="37" fontId="22" fillId="0" borderId="0" xfId="0" applyFont="1" applyAlignment="1">
      <alignment horizontal="center"/>
    </xf>
    <xf numFmtId="164" fontId="22" fillId="0" borderId="2" xfId="0" applyNumberFormat="1" applyFont="1" applyBorder="1" applyAlignment="1">
      <alignment horizontal="right"/>
    </xf>
    <xf numFmtId="164" fontId="22" fillId="0" borderId="1" xfId="0" applyNumberFormat="1" applyFont="1" applyBorder="1"/>
    <xf numFmtId="164" fontId="22" fillId="0" borderId="3" xfId="0" applyNumberFormat="1" applyFont="1" applyBorder="1"/>
    <xf numFmtId="164" fontId="22" fillId="0" borderId="2" xfId="0" quotePrefix="1" applyNumberFormat="1" applyFont="1" applyBorder="1" applyAlignment="1">
      <alignment horizontal="left"/>
    </xf>
    <xf numFmtId="37" fontId="22" fillId="0" borderId="14" xfId="0" applyFont="1" applyBorder="1" applyAlignment="1">
      <alignment horizontal="center"/>
    </xf>
    <xf numFmtId="37" fontId="22" fillId="0" borderId="8" xfId="0" applyFont="1" applyBorder="1" applyAlignment="1">
      <alignment horizontal="center"/>
    </xf>
    <xf numFmtId="37" fontId="22" fillId="0" borderId="14" xfId="0" applyFont="1" applyBorder="1"/>
    <xf numFmtId="37" fontId="8" fillId="0" borderId="14" xfId="0" applyFont="1" applyBorder="1"/>
    <xf numFmtId="37" fontId="23" fillId="0" borderId="0" xfId="0" applyFont="1" applyAlignment="1">
      <alignment horizontal="centerContinuous"/>
    </xf>
    <xf numFmtId="37" fontId="12" fillId="0" borderId="0" xfId="0" applyFont="1" applyAlignment="1">
      <alignment horizontal="centerContinuous"/>
    </xf>
    <xf numFmtId="37" fontId="23" fillId="0" borderId="0" xfId="0" applyFont="1"/>
    <xf numFmtId="37" fontId="23" fillId="0" borderId="5" xfId="0" applyFont="1" applyBorder="1"/>
    <xf numFmtId="37" fontId="23" fillId="0" borderId="7" xfId="0" applyFont="1" applyBorder="1" applyAlignment="1">
      <alignment horizontal="centerContinuous"/>
    </xf>
    <xf numFmtId="37" fontId="23" fillId="0" borderId="1" xfId="0" applyFont="1" applyBorder="1"/>
    <xf numFmtId="37" fontId="23" fillId="0" borderId="2" xfId="0" applyFont="1" applyBorder="1" applyAlignment="1">
      <alignment horizontal="centerContinuous"/>
    </xf>
    <xf numFmtId="37" fontId="23" fillId="0" borderId="2" xfId="0" applyFont="1" applyBorder="1"/>
    <xf numFmtId="37" fontId="23" fillId="0" borderId="8" xfId="0" applyFont="1" applyBorder="1" applyAlignment="1">
      <alignment horizontal="centerContinuous"/>
    </xf>
    <xf numFmtId="37" fontId="23" fillId="0" borderId="8" xfId="0" applyFont="1" applyBorder="1"/>
    <xf numFmtId="37" fontId="23" fillId="0" borderId="9" xfId="0" applyFont="1" applyBorder="1"/>
    <xf numFmtId="37" fontId="23" fillId="0" borderId="10" xfId="0" applyFont="1" applyBorder="1"/>
    <xf numFmtId="37" fontId="23" fillId="0" borderId="11" xfId="0" applyFont="1" applyBorder="1"/>
    <xf numFmtId="37" fontId="23" fillId="0" borderId="6" xfId="0" applyFont="1" applyBorder="1" applyAlignment="1">
      <alignment horizontal="centerContinuous"/>
    </xf>
    <xf numFmtId="37" fontId="23" fillId="0" borderId="3" xfId="0" applyFont="1" applyBorder="1"/>
    <xf numFmtId="37" fontId="23" fillId="0" borderId="4" xfId="0" applyFont="1" applyBorder="1" applyAlignment="1">
      <alignment horizontal="centerContinuous"/>
    </xf>
    <xf numFmtId="37" fontId="23" fillId="0" borderId="2" xfId="0" quotePrefix="1" applyFont="1" applyBorder="1" applyAlignment="1">
      <alignment horizontal="center"/>
    </xf>
    <xf numFmtId="37" fontId="23" fillId="0" borderId="6" xfId="0" applyFont="1" applyBorder="1" applyAlignment="1">
      <alignment horizontal="center"/>
    </xf>
    <xf numFmtId="37" fontId="23" fillId="0" borderId="7" xfId="0" applyFont="1" applyBorder="1" applyAlignment="1">
      <alignment horizontal="center"/>
    </xf>
    <xf numFmtId="37" fontId="23" fillId="0" borderId="8" xfId="0" applyFont="1" applyBorder="1" applyAlignment="1">
      <alignment horizontal="left"/>
    </xf>
    <xf numFmtId="37" fontId="23" fillId="0" borderId="2" xfId="0" quotePrefix="1" applyFont="1" applyBorder="1"/>
    <xf numFmtId="37" fontId="5" fillId="0" borderId="2" xfId="0" applyFont="1" applyBorder="1"/>
    <xf numFmtId="37" fontId="5" fillId="0" borderId="2" xfId="0" quotePrefix="1" applyFont="1" applyBorder="1"/>
    <xf numFmtId="37" fontId="5" fillId="0" borderId="2" xfId="0" applyFont="1" applyBorder="1" applyAlignment="1">
      <alignment horizontal="left" indent="1"/>
    </xf>
    <xf numFmtId="37" fontId="23" fillId="0" borderId="2" xfId="0" applyFont="1" applyBorder="1" applyAlignment="1">
      <alignment horizontal="left" indent="1"/>
    </xf>
    <xf numFmtId="37" fontId="23" fillId="0" borderId="12" xfId="0" applyFont="1" applyBorder="1"/>
    <xf numFmtId="37" fontId="23" fillId="0" borderId="1" xfId="0" applyFont="1" applyBorder="1" applyAlignment="1">
      <alignment horizontal="right"/>
    </xf>
    <xf numFmtId="37" fontId="12" fillId="0" borderId="14" xfId="0" applyFont="1" applyBorder="1"/>
    <xf numFmtId="37" fontId="12" fillId="0" borderId="0" xfId="0" applyFont="1" applyAlignment="1">
      <alignment horizontal="center" vertical="center"/>
    </xf>
    <xf numFmtId="2" fontId="12" fillId="0" borderId="0" xfId="0" applyNumberFormat="1" applyFont="1" applyAlignment="1">
      <alignment horizontal="right"/>
    </xf>
    <xf numFmtId="37" fontId="24" fillId="0" borderId="1" xfId="0" quotePrefix="1" applyFont="1" applyBorder="1" applyProtection="1">
      <protection locked="0"/>
    </xf>
    <xf numFmtId="37" fontId="24" fillId="0" borderId="1" xfId="1" quotePrefix="1" applyNumberFormat="1" applyFont="1" applyBorder="1" applyProtection="1">
      <protection locked="0"/>
    </xf>
    <xf numFmtId="37" fontId="24" fillId="0" borderId="1" xfId="0" applyFont="1" applyBorder="1" applyProtection="1">
      <protection locked="0"/>
    </xf>
    <xf numFmtId="38" fontId="24" fillId="4" borderId="1" xfId="0" applyNumberFormat="1" applyFont="1" applyFill="1" applyBorder="1" applyProtection="1">
      <protection locked="0"/>
    </xf>
    <xf numFmtId="49" fontId="24" fillId="4" borderId="1" xfId="0" quotePrefix="1" applyNumberFormat="1" applyFont="1" applyFill="1" applyBorder="1" applyProtection="1">
      <protection locked="0"/>
    </xf>
    <xf numFmtId="38" fontId="24" fillId="4" borderId="1" xfId="0" quotePrefix="1" applyNumberFormat="1" applyFont="1" applyFill="1" applyBorder="1" applyProtection="1">
      <protection locked="0"/>
    </xf>
    <xf numFmtId="38" fontId="24" fillId="4" borderId="14" xfId="0" applyNumberFormat="1" applyFont="1" applyFill="1" applyBorder="1" applyProtection="1">
      <protection locked="0"/>
    </xf>
    <xf numFmtId="37" fontId="24" fillId="4" borderId="1" xfId="0" applyFont="1" applyFill="1" applyBorder="1" applyProtection="1">
      <protection locked="0"/>
    </xf>
    <xf numFmtId="38" fontId="24" fillId="4" borderId="1" xfId="0" applyNumberFormat="1" applyFont="1" applyFill="1" applyBorder="1" applyAlignment="1" applyProtection="1">
      <alignment horizontal="center"/>
      <protection locked="0"/>
    </xf>
    <xf numFmtId="1" fontId="12" fillId="0" borderId="0" xfId="0" applyNumberFormat="1" applyFont="1" applyAlignment="1">
      <alignment horizontal="right"/>
    </xf>
    <xf numFmtId="1" fontId="12" fillId="0" borderId="0" xfId="0" applyNumberFormat="1" applyFont="1" applyAlignment="1">
      <alignment horizontal="left"/>
    </xf>
    <xf numFmtId="49" fontId="12" fillId="0" borderId="0" xfId="0" applyNumberFormat="1" applyFont="1" applyAlignment="1">
      <alignment horizontal="left"/>
    </xf>
    <xf numFmtId="2" fontId="12" fillId="0" borderId="0" xfId="0" applyNumberFormat="1" applyFont="1"/>
    <xf numFmtId="37" fontId="25" fillId="3" borderId="0" xfId="0" applyFont="1" applyFill="1"/>
    <xf numFmtId="37" fontId="24" fillId="0" borderId="1" xfId="1" applyNumberFormat="1" applyFont="1" applyBorder="1" applyProtection="1">
      <protection locked="0"/>
    </xf>
    <xf numFmtId="37" fontId="24" fillId="0" borderId="1" xfId="4" quotePrefix="1" applyNumberFormat="1" applyFont="1" applyBorder="1" applyProtection="1">
      <protection locked="0"/>
    </xf>
    <xf numFmtId="37" fontId="25" fillId="3" borderId="0" xfId="0" quotePrefix="1" applyFont="1" applyFill="1" applyAlignment="1">
      <alignment horizontal="fill"/>
    </xf>
    <xf numFmtId="39" fontId="25" fillId="3" borderId="0" xfId="0" quotePrefix="1" applyNumberFormat="1" applyFont="1" applyFill="1" applyAlignment="1">
      <alignment horizontal="fill"/>
    </xf>
    <xf numFmtId="37" fontId="25" fillId="0" borderId="0" xfId="0" applyFont="1"/>
    <xf numFmtId="43" fontId="12" fillId="7" borderId="0" xfId="1" applyFont="1" applyFill="1"/>
    <xf numFmtId="37" fontId="25" fillId="7" borderId="0" xfId="0" quotePrefix="1" applyFont="1" applyFill="1" applyAlignment="1">
      <alignment horizontal="fill"/>
    </xf>
    <xf numFmtId="38" fontId="16" fillId="4" borderId="1" xfId="0" applyNumberFormat="1" applyFont="1" applyFill="1" applyBorder="1" applyAlignment="1" applyProtection="1">
      <alignment horizontal="right"/>
      <protection locked="0"/>
    </xf>
    <xf numFmtId="38" fontId="24" fillId="4" borderId="1" xfId="0" applyNumberFormat="1" applyFont="1" applyFill="1" applyBorder="1" applyAlignment="1" applyProtection="1">
      <alignment horizontal="right"/>
      <protection locked="0"/>
    </xf>
    <xf numFmtId="38" fontId="16" fillId="0" borderId="1" xfId="0" applyNumberFormat="1" applyFont="1" applyBorder="1" applyProtection="1">
      <protection locked="0"/>
    </xf>
    <xf numFmtId="37" fontId="19" fillId="7" borderId="0" xfId="0" applyFont="1" applyFill="1"/>
    <xf numFmtId="2" fontId="8" fillId="0" borderId="0" xfId="0" applyNumberFormat="1" applyFont="1"/>
    <xf numFmtId="1" fontId="24" fillId="0" borderId="1" xfId="0" quotePrefix="1" applyNumberFormat="1" applyFont="1" applyBorder="1" applyProtection="1">
      <protection locked="0"/>
    </xf>
    <xf numFmtId="2" fontId="12" fillId="3" borderId="0" xfId="0" quotePrefix="1" applyNumberFormat="1" applyFont="1" applyFill="1" applyAlignment="1">
      <alignment horizontal="left"/>
    </xf>
    <xf numFmtId="2" fontId="12" fillId="3" borderId="0" xfId="0" applyNumberFormat="1" applyFont="1" applyFill="1"/>
    <xf numFmtId="2" fontId="24" fillId="0" borderId="1" xfId="0" quotePrefix="1" applyNumberFormat="1" applyFont="1" applyBorder="1" applyProtection="1">
      <protection locked="0"/>
    </xf>
    <xf numFmtId="2" fontId="24" fillId="0" borderId="1" xfId="1" quotePrefix="1" applyNumberFormat="1" applyFont="1" applyBorder="1" applyProtection="1">
      <protection locked="0"/>
    </xf>
    <xf numFmtId="2" fontId="24" fillId="0" borderId="1" xfId="4" quotePrefix="1" applyNumberFormat="1" applyFont="1" applyBorder="1" applyProtection="1">
      <protection locked="0"/>
    </xf>
    <xf numFmtId="2" fontId="24" fillId="0" borderId="1" xfId="1" applyNumberFormat="1" applyFont="1" applyBorder="1" applyProtection="1">
      <protection locked="0"/>
    </xf>
    <xf numFmtId="2" fontId="12" fillId="3" borderId="0" xfId="0" quotePrefix="1" applyNumberFormat="1" applyFont="1" applyFill="1" applyAlignment="1">
      <alignment horizontal="fill"/>
    </xf>
    <xf numFmtId="166" fontId="24" fillId="4" borderId="14" xfId="0" applyNumberFormat="1" applyFont="1" applyFill="1" applyBorder="1" applyAlignment="1" applyProtection="1">
      <alignment horizontal="left"/>
      <protection locked="0"/>
    </xf>
    <xf numFmtId="37" fontId="25" fillId="0" borderId="0" xfId="0" applyFont="1" applyAlignment="1">
      <alignment horizontal="center"/>
    </xf>
    <xf numFmtId="37" fontId="25" fillId="0" borderId="0" xfId="0" applyFont="1" applyAlignment="1">
      <alignment horizontal="left"/>
    </xf>
    <xf numFmtId="164" fontId="25" fillId="0" borderId="0" xfId="0" applyNumberFormat="1" applyFont="1"/>
    <xf numFmtId="37" fontId="25" fillId="0" borderId="0" xfId="0" quotePrefix="1" applyFont="1" applyAlignment="1">
      <alignment horizontal="left"/>
    </xf>
    <xf numFmtId="37" fontId="25" fillId="8" borderId="0" xfId="0" applyFont="1" applyFill="1"/>
    <xf numFmtId="37" fontId="24" fillId="0" borderId="0" xfId="0" applyFont="1"/>
    <xf numFmtId="164" fontId="25" fillId="0" borderId="0" xfId="0" applyNumberFormat="1" applyFont="1" applyAlignment="1">
      <alignment horizontal="left"/>
    </xf>
    <xf numFmtId="37" fontId="25" fillId="9" borderId="0" xfId="0" applyFont="1" applyFill="1"/>
    <xf numFmtId="37" fontId="25" fillId="9" borderId="0" xfId="0" applyFont="1" applyFill="1" applyAlignment="1">
      <alignment horizontal="center"/>
    </xf>
    <xf numFmtId="37" fontId="25" fillId="10" borderId="0" xfId="0" applyFont="1" applyFill="1"/>
    <xf numFmtId="37" fontId="25" fillId="10" borderId="0" xfId="0" applyFont="1" applyFill="1" applyAlignment="1">
      <alignment horizontal="left"/>
    </xf>
    <xf numFmtId="37" fontId="25" fillId="10" borderId="0" xfId="0" applyFont="1" applyFill="1" applyAlignment="1">
      <alignment horizontal="center"/>
    </xf>
    <xf numFmtId="39" fontId="25" fillId="10" borderId="0" xfId="0" applyNumberFormat="1" applyFont="1" applyFill="1"/>
    <xf numFmtId="39" fontId="25" fillId="9" borderId="0" xfId="0" applyNumberFormat="1" applyFont="1" applyFill="1"/>
    <xf numFmtId="37" fontId="25" fillId="7" borderId="0" xfId="1" applyNumberFormat="1" applyFont="1" applyFill="1"/>
    <xf numFmtId="37" fontId="12" fillId="7" borderId="0" xfId="0" quotePrefix="1" applyFont="1" applyFill="1" applyAlignment="1">
      <alignment horizontal="fill"/>
    </xf>
    <xf numFmtId="0" fontId="25" fillId="3" borderId="0" xfId="0" quotePrefix="1" applyNumberFormat="1" applyFont="1" applyFill="1" applyAlignment="1">
      <alignment horizontal="fill"/>
    </xf>
    <xf numFmtId="38" fontId="12" fillId="7" borderId="0" xfId="0" applyNumberFormat="1" applyFont="1" applyFill="1"/>
    <xf numFmtId="39" fontId="12" fillId="7" borderId="0" xfId="0" applyNumberFormat="1" applyFont="1" applyFill="1"/>
    <xf numFmtId="2" fontId="12" fillId="7" borderId="0" xfId="0" applyNumberFormat="1" applyFont="1" applyFill="1"/>
    <xf numFmtId="37" fontId="25" fillId="7" borderId="0" xfId="0" applyFont="1" applyFill="1"/>
    <xf numFmtId="37" fontId="8" fillId="7" borderId="0" xfId="0" applyFont="1" applyFill="1"/>
    <xf numFmtId="37" fontId="25" fillId="0" borderId="1" xfId="0" applyFont="1" applyBorder="1" applyProtection="1">
      <protection locked="0"/>
    </xf>
    <xf numFmtId="37" fontId="12" fillId="11" borderId="0" xfId="0" applyFont="1" applyFill="1"/>
    <xf numFmtId="38" fontId="16" fillId="11" borderId="1" xfId="0" applyNumberFormat="1" applyFont="1" applyFill="1" applyBorder="1" applyProtection="1">
      <protection locked="0"/>
    </xf>
    <xf numFmtId="37" fontId="16" fillId="11" borderId="1" xfId="0" quotePrefix="1" applyFont="1" applyFill="1" applyBorder="1" applyProtection="1">
      <protection locked="0"/>
    </xf>
    <xf numFmtId="37" fontId="8" fillId="0" borderId="0" xfId="0" applyFont="1" applyAlignment="1">
      <alignment vertical="center"/>
    </xf>
    <xf numFmtId="37" fontId="12" fillId="0" borderId="0" xfId="0" applyFont="1" applyAlignment="1">
      <alignment horizontal="right" vertical="center"/>
    </xf>
    <xf numFmtId="37" fontId="12" fillId="0" borderId="0" xfId="0" applyFont="1" applyAlignment="1">
      <alignment horizontal="right" vertical="center" wrapText="1"/>
    </xf>
    <xf numFmtId="37" fontId="8" fillId="0" borderId="1" xfId="0" applyFont="1" applyBorder="1" applyAlignment="1">
      <alignment vertical="center"/>
    </xf>
    <xf numFmtId="37" fontId="26" fillId="0" borderId="1" xfId="0" applyFont="1" applyBorder="1"/>
    <xf numFmtId="37" fontId="26" fillId="0" borderId="0" xfId="0" applyFont="1" applyAlignment="1">
      <alignment horizontal="centerContinuous"/>
    </xf>
    <xf numFmtId="37" fontId="27" fillId="0" borderId="0" xfId="0" applyFont="1" applyAlignment="1">
      <alignment horizontal="centerContinuous"/>
    </xf>
    <xf numFmtId="37" fontId="27" fillId="0" borderId="0" xfId="0" applyFont="1"/>
    <xf numFmtId="37" fontId="26" fillId="0" borderId="0" xfId="0" applyFont="1"/>
    <xf numFmtId="37" fontId="26" fillId="0" borderId="0" xfId="0" quotePrefix="1" applyFont="1" applyAlignment="1">
      <alignment horizontal="right"/>
    </xf>
    <xf numFmtId="37" fontId="27" fillId="0" borderId="0" xfId="0" quotePrefix="1" applyFont="1"/>
    <xf numFmtId="37" fontId="28" fillId="0" borderId="0" xfId="0" applyFont="1"/>
    <xf numFmtId="37" fontId="26" fillId="0" borderId="2" xfId="0" applyFont="1" applyBorder="1"/>
    <xf numFmtId="37" fontId="26" fillId="0" borderId="2" xfId="0" quotePrefix="1" applyFont="1" applyBorder="1" applyAlignment="1">
      <alignment horizontal="center"/>
    </xf>
    <xf numFmtId="37" fontId="26" fillId="0" borderId="2" xfId="0" applyFont="1" applyBorder="1" applyAlignment="1">
      <alignment horizontal="center"/>
    </xf>
    <xf numFmtId="37" fontId="26" fillId="0" borderId="3" xfId="0" applyFont="1" applyBorder="1"/>
    <xf numFmtId="37" fontId="26" fillId="0" borderId="4" xfId="0" applyFont="1" applyBorder="1"/>
    <xf numFmtId="37" fontId="26" fillId="0" borderId="4" xfId="0" quotePrefix="1" applyFont="1" applyBorder="1" applyAlignment="1">
      <alignment horizontal="center"/>
    </xf>
    <xf numFmtId="37" fontId="26" fillId="0" borderId="4" xfId="0" applyFont="1" applyBorder="1" applyAlignment="1">
      <alignment horizontal="center"/>
    </xf>
    <xf numFmtId="39" fontId="26" fillId="0" borderId="2" xfId="0" applyNumberFormat="1" applyFont="1" applyBorder="1"/>
    <xf numFmtId="37" fontId="26" fillId="0" borderId="2" xfId="0" quotePrefix="1" applyFont="1" applyBorder="1"/>
    <xf numFmtId="37" fontId="26" fillId="5" borderId="2" xfId="0" applyFont="1" applyFill="1" applyBorder="1"/>
    <xf numFmtId="37" fontId="26" fillId="6" borderId="2" xfId="0" applyFont="1" applyFill="1" applyBorder="1"/>
    <xf numFmtId="37" fontId="29" fillId="0" borderId="0" xfId="0" applyFont="1"/>
    <xf numFmtId="37" fontId="26" fillId="6" borderId="2" xfId="0" applyFont="1" applyFill="1" applyBorder="1" applyAlignment="1">
      <alignment horizontal="center"/>
    </xf>
    <xf numFmtId="37" fontId="30" fillId="0" borderId="0" xfId="0" applyFont="1"/>
    <xf numFmtId="37" fontId="26" fillId="0" borderId="2" xfId="0" quotePrefix="1" applyFont="1" applyBorder="1" applyAlignment="1">
      <alignment horizontal="left"/>
    </xf>
    <xf numFmtId="37" fontId="26" fillId="6" borderId="2" xfId="0" quotePrefix="1" applyFont="1" applyFill="1" applyBorder="1" applyAlignment="1">
      <alignment horizontal="center"/>
    </xf>
    <xf numFmtId="37" fontId="27" fillId="0" borderId="10" xfId="0" applyFont="1" applyBorder="1"/>
    <xf numFmtId="37" fontId="26" fillId="6" borderId="2" xfId="0" quotePrefix="1" applyFont="1" applyFill="1" applyBorder="1"/>
    <xf numFmtId="39" fontId="26" fillId="6" borderId="2" xfId="0" quotePrefix="1" applyNumberFormat="1" applyFont="1" applyFill="1" applyBorder="1" applyAlignment="1">
      <alignment horizontal="center"/>
    </xf>
    <xf numFmtId="3" fontId="26" fillId="0" borderId="2" xfId="0" applyNumberFormat="1" applyFont="1" applyBorder="1"/>
    <xf numFmtId="37" fontId="27" fillId="0" borderId="2" xfId="0" applyFont="1" applyBorder="1" applyAlignment="1">
      <alignment horizontal="center"/>
    </xf>
    <xf numFmtId="37" fontId="27" fillId="0" borderId="4" xfId="0" applyFont="1" applyBorder="1" applyAlignment="1">
      <alignment horizontal="center"/>
    </xf>
    <xf numFmtId="39" fontId="26" fillId="6" borderId="2" xfId="0" applyNumberFormat="1" applyFont="1" applyFill="1" applyBorder="1"/>
    <xf numFmtId="2" fontId="26" fillId="0" borderId="2" xfId="0" applyNumberFormat="1" applyFont="1" applyBorder="1"/>
    <xf numFmtId="3" fontId="26" fillId="6" borderId="2" xfId="0" applyNumberFormat="1" applyFont="1" applyFill="1" applyBorder="1"/>
    <xf numFmtId="37" fontId="16" fillId="0" borderId="1" xfId="0" applyFont="1" applyBorder="1" applyProtection="1">
      <protection locked="0"/>
    </xf>
    <xf numFmtId="37" fontId="31" fillId="0" borderId="1" xfId="0" applyFont="1" applyBorder="1" applyProtection="1">
      <protection locked="0"/>
    </xf>
    <xf numFmtId="37" fontId="12" fillId="7" borderId="0" xfId="1" applyNumberFormat="1" applyFont="1" applyFill="1"/>
    <xf numFmtId="2" fontId="16" fillId="0" borderId="1" xfId="0" quotePrefix="1" applyNumberFormat="1" applyFont="1" applyBorder="1" applyProtection="1">
      <protection locked="0"/>
    </xf>
    <xf numFmtId="2" fontId="16" fillId="0" borderId="1" xfId="1" quotePrefix="1" applyNumberFormat="1" applyFont="1" applyBorder="1" applyProtection="1">
      <protection locked="0"/>
    </xf>
    <xf numFmtId="2" fontId="16" fillId="0" borderId="1" xfId="4" quotePrefix="1" applyNumberFormat="1" applyFont="1" applyBorder="1" applyProtection="1">
      <protection locked="0"/>
    </xf>
    <xf numFmtId="2" fontId="16" fillId="0" borderId="1" xfId="1" applyNumberFormat="1" applyFont="1" applyBorder="1" applyProtection="1">
      <protection locked="0"/>
    </xf>
    <xf numFmtId="37" fontId="16" fillId="0" borderId="1" xfId="4" quotePrefix="1" applyNumberFormat="1" applyFont="1" applyBorder="1" applyProtection="1">
      <protection locked="0"/>
    </xf>
    <xf numFmtId="1" fontId="16" fillId="0" borderId="1" xfId="0" quotePrefix="1" applyNumberFormat="1" applyFont="1" applyBorder="1" applyProtection="1">
      <protection locked="0"/>
    </xf>
    <xf numFmtId="0" fontId="12" fillId="3" borderId="0" xfId="0" quotePrefix="1" applyNumberFormat="1" applyFont="1" applyFill="1" applyAlignment="1">
      <alignment horizontal="fill"/>
    </xf>
    <xf numFmtId="39" fontId="12" fillId="3" borderId="0" xfId="0" quotePrefix="1" applyNumberFormat="1" applyFont="1" applyFill="1" applyAlignment="1">
      <alignment horizontal="fill"/>
    </xf>
    <xf numFmtId="167" fontId="16" fillId="4" borderId="1" xfId="0" quotePrefix="1" applyNumberFormat="1" applyFont="1" applyFill="1" applyBorder="1" applyProtection="1">
      <protection locked="0"/>
    </xf>
    <xf numFmtId="38" fontId="16" fillId="4" borderId="1" xfId="0" quotePrefix="1" applyNumberFormat="1" applyFont="1" applyFill="1" applyBorder="1" applyAlignment="1" applyProtection="1">
      <alignment horizontal="left"/>
      <protection locked="0"/>
    </xf>
    <xf numFmtId="166" fontId="16" fillId="4" borderId="14" xfId="0" applyNumberFormat="1" applyFont="1" applyFill="1" applyBorder="1" applyAlignment="1" applyProtection="1">
      <alignment horizontal="left"/>
      <protection locked="0"/>
    </xf>
    <xf numFmtId="38" fontId="16" fillId="4" borderId="1" xfId="0" applyNumberFormat="1" applyFont="1" applyFill="1" applyBorder="1" applyAlignment="1" applyProtection="1">
      <alignment horizontal="center"/>
      <protection locked="0"/>
    </xf>
    <xf numFmtId="0" fontId="7" fillId="0" borderId="14" xfId="2" applyBorder="1">
      <alignment vertical="top"/>
      <protection locked="0"/>
    </xf>
    <xf numFmtId="37" fontId="4" fillId="0" borderId="0" xfId="0" applyFont="1"/>
    <xf numFmtId="37" fontId="4" fillId="0" borderId="0" xfId="0" quotePrefix="1" applyFont="1" applyAlignment="1">
      <alignment vertical="center" readingOrder="1"/>
    </xf>
    <xf numFmtId="37" fontId="4" fillId="0" borderId="0" xfId="0" quotePrefix="1" applyFont="1"/>
    <xf numFmtId="37" fontId="19" fillId="0" borderId="0" xfId="0" applyFont="1"/>
    <xf numFmtId="0" fontId="15" fillId="0" borderId="0" xfId="2" applyFont="1">
      <alignment vertical="top"/>
      <protection locked="0"/>
    </xf>
    <xf numFmtId="37" fontId="32" fillId="11" borderId="0" xfId="0" quotePrefix="1" applyFont="1" applyFill="1" applyAlignment="1">
      <alignment horizontal="left"/>
    </xf>
    <xf numFmtId="37" fontId="4" fillId="11" borderId="0" xfId="0" applyFont="1" applyFill="1"/>
    <xf numFmtId="38" fontId="4" fillId="11" borderId="0" xfId="0" applyNumberFormat="1" applyFont="1" applyFill="1"/>
    <xf numFmtId="37" fontId="4" fillId="11" borderId="0" xfId="0" quotePrefix="1" applyFont="1" applyFill="1" applyAlignment="1">
      <alignment vertical="center" readingOrder="1"/>
    </xf>
    <xf numFmtId="37" fontId="4" fillId="11" borderId="0" xfId="0" quotePrefix="1" applyFont="1" applyFill="1" applyAlignment="1">
      <alignment horizontal="left"/>
    </xf>
    <xf numFmtId="37" fontId="4" fillId="11" borderId="0" xfId="0" quotePrefix="1" applyFont="1" applyFill="1"/>
    <xf numFmtId="37" fontId="4" fillId="11" borderId="0" xfId="0" applyFont="1" applyFill="1" applyAlignment="1">
      <alignment vertical="center" readingOrder="1"/>
    </xf>
    <xf numFmtId="37" fontId="3" fillId="11" borderId="0" xfId="0" quotePrefix="1" applyFont="1" applyFill="1"/>
    <xf numFmtId="168" fontId="24" fillId="4" borderId="1" xfId="0" quotePrefix="1" applyNumberFormat="1" applyFont="1" applyFill="1" applyBorder="1" applyAlignment="1" applyProtection="1">
      <alignment horizontal="left"/>
      <protection locked="0"/>
    </xf>
    <xf numFmtId="38" fontId="16" fillId="4" borderId="14" xfId="0" quotePrefix="1" applyNumberFormat="1" applyFont="1" applyFill="1" applyBorder="1" applyProtection="1">
      <protection locked="0"/>
    </xf>
    <xf numFmtId="0" fontId="7" fillId="0" borderId="0" xfId="2">
      <alignment vertical="top"/>
      <protection locked="0"/>
    </xf>
    <xf numFmtId="38" fontId="24" fillId="4" borderId="1" xfId="0" quotePrefix="1" applyNumberFormat="1" applyFont="1" applyFill="1" applyBorder="1" applyAlignment="1" applyProtection="1">
      <alignment horizontal="left"/>
      <protection locked="0"/>
    </xf>
    <xf numFmtId="49" fontId="24" fillId="4" borderId="1" xfId="0" applyNumberFormat="1" applyFont="1" applyFill="1" applyBorder="1" applyAlignment="1" applyProtection="1">
      <alignment horizontal="left"/>
      <protection locked="0"/>
    </xf>
    <xf numFmtId="37" fontId="8" fillId="0" borderId="0" xfId="0" applyFont="1" applyAlignment="1">
      <alignment vertical="center" wrapText="1"/>
    </xf>
    <xf numFmtId="37" fontId="22" fillId="0" borderId="6" xfId="0" applyFont="1" applyBorder="1"/>
    <xf numFmtId="37" fontId="26" fillId="0" borderId="0" xfId="0" applyFont="1" applyAlignment="1">
      <alignment horizontal="center"/>
    </xf>
    <xf numFmtId="37" fontId="26" fillId="0" borderId="10" xfId="0" applyFont="1" applyBorder="1"/>
    <xf numFmtId="37" fontId="12" fillId="0" borderId="21" xfId="0" applyFont="1" applyBorder="1" applyAlignment="1">
      <alignment horizontal="center"/>
    </xf>
    <xf numFmtId="37" fontId="8" fillId="0" borderId="21" xfId="0" applyFont="1" applyBorder="1"/>
    <xf numFmtId="37" fontId="22" fillId="0" borderId="56" xfId="0" applyFont="1" applyBorder="1"/>
    <xf numFmtId="37" fontId="26" fillId="0" borderId="8" xfId="0" applyFont="1" applyBorder="1"/>
    <xf numFmtId="37" fontId="22" fillId="0" borderId="57" xfId="0" applyFont="1" applyBorder="1"/>
    <xf numFmtId="37" fontId="22" fillId="0" borderId="10" xfId="0" applyFont="1" applyBorder="1" applyAlignment="1">
      <alignment horizontal="centerContinuous"/>
    </xf>
    <xf numFmtId="37" fontId="22" fillId="0" borderId="1" xfId="0" quotePrefix="1" applyFont="1" applyBorder="1"/>
    <xf numFmtId="37" fontId="26" fillId="0" borderId="13" xfId="0" applyFont="1" applyBorder="1"/>
    <xf numFmtId="37" fontId="26" fillId="0" borderId="14" xfId="0" applyFont="1" applyBorder="1"/>
    <xf numFmtId="37" fontId="23" fillId="0" borderId="14" xfId="0" applyFont="1" applyBorder="1"/>
    <xf numFmtId="37" fontId="22" fillId="0" borderId="15" xfId="0" applyFont="1" applyBorder="1"/>
    <xf numFmtId="37" fontId="23" fillId="0" borderId="7" xfId="0" applyFont="1" applyBorder="1"/>
    <xf numFmtId="37" fontId="22" fillId="0" borderId="1" xfId="0" quotePrefix="1" applyFont="1" applyBorder="1" applyAlignment="1">
      <alignment horizontal="left"/>
    </xf>
    <xf numFmtId="39" fontId="26" fillId="0" borderId="0" xfId="0" applyNumberFormat="1" applyFont="1"/>
    <xf numFmtId="37" fontId="12" fillId="0" borderId="5" xfId="0" applyFont="1" applyBorder="1"/>
    <xf numFmtId="37" fontId="12" fillId="0" borderId="7" xfId="0" applyFont="1" applyBorder="1"/>
    <xf numFmtId="37" fontId="12" fillId="0" borderId="13" xfId="0" applyFont="1" applyBorder="1"/>
    <xf numFmtId="37" fontId="12" fillId="0" borderId="4" xfId="0" applyFont="1" applyBorder="1"/>
    <xf numFmtId="37" fontId="12" fillId="0" borderId="15" xfId="0" applyFont="1" applyBorder="1"/>
    <xf numFmtId="37" fontId="12" fillId="0" borderId="10" xfId="0" applyFont="1" applyBorder="1"/>
    <xf numFmtId="37" fontId="27" fillId="0" borderId="5" xfId="0" applyFont="1" applyBorder="1"/>
    <xf numFmtId="37" fontId="27" fillId="0" borderId="6" xfId="0" applyFont="1" applyBorder="1"/>
    <xf numFmtId="37" fontId="26" fillId="0" borderId="6" xfId="0" quotePrefix="1" applyFont="1" applyBorder="1" applyAlignment="1">
      <alignment horizontal="right"/>
    </xf>
    <xf numFmtId="37" fontId="27" fillId="0" borderId="7" xfId="0" applyFont="1" applyBorder="1"/>
    <xf numFmtId="37" fontId="27" fillId="0" borderId="13" xfId="0" applyFont="1" applyBorder="1"/>
    <xf numFmtId="37" fontId="27" fillId="0" borderId="4" xfId="0" applyFont="1" applyBorder="1"/>
    <xf numFmtId="37" fontId="26" fillId="0" borderId="9" xfId="0" applyFont="1" applyBorder="1"/>
    <xf numFmtId="37" fontId="12" fillId="0" borderId="5" xfId="0" applyFont="1" applyBorder="1" applyAlignment="1">
      <alignment horizontal="centerContinuous"/>
    </xf>
    <xf numFmtId="37" fontId="12" fillId="0" borderId="6" xfId="0" quotePrefix="1" applyFont="1" applyBorder="1" applyAlignment="1">
      <alignment horizontal="right"/>
    </xf>
    <xf numFmtId="37" fontId="23" fillId="0" borderId="13" xfId="0" applyFont="1" applyBorder="1"/>
    <xf numFmtId="37" fontId="23" fillId="0" borderId="5" xfId="0" quotePrefix="1" applyFont="1" applyBorder="1" applyAlignment="1">
      <alignment horizontal="centerContinuous"/>
    </xf>
    <xf numFmtId="37" fontId="23" fillId="0" borderId="1" xfId="0" applyFont="1" applyBorder="1" applyAlignment="1">
      <alignment horizontal="centerContinuous"/>
    </xf>
    <xf numFmtId="37" fontId="22" fillId="0" borderId="5" xfId="0" applyFont="1" applyBorder="1"/>
    <xf numFmtId="37" fontId="22" fillId="0" borderId="6" xfId="0" quotePrefix="1" applyFont="1" applyBorder="1" applyAlignment="1">
      <alignment horizontal="center"/>
    </xf>
    <xf numFmtId="164" fontId="22" fillId="0" borderId="13" xfId="0" applyNumberFormat="1" applyFont="1" applyBorder="1"/>
    <xf numFmtId="164" fontId="22" fillId="0" borderId="9" xfId="0" applyNumberFormat="1" applyFont="1" applyBorder="1"/>
    <xf numFmtId="37" fontId="8" fillId="0" borderId="5" xfId="0" applyFont="1" applyBorder="1"/>
    <xf numFmtId="37" fontId="22" fillId="0" borderId="13" xfId="0" quotePrefix="1" applyFont="1" applyBorder="1" applyAlignment="1">
      <alignment horizontal="left"/>
    </xf>
    <xf numFmtId="37" fontId="8" fillId="0" borderId="6" xfId="0" applyFont="1" applyBorder="1" applyAlignment="1">
      <alignment horizontal="center"/>
    </xf>
    <xf numFmtId="37" fontId="8" fillId="0" borderId="5" xfId="0" applyFont="1" applyBorder="1" applyAlignment="1">
      <alignment horizontal="centerContinuous"/>
    </xf>
    <xf numFmtId="37" fontId="22" fillId="0" borderId="11" xfId="0" applyFont="1" applyBorder="1" applyAlignment="1">
      <alignment horizontal="center"/>
    </xf>
    <xf numFmtId="37" fontId="22" fillId="0" borderId="13" xfId="0" quotePrefix="1" applyFont="1" applyBorder="1"/>
    <xf numFmtId="37" fontId="8" fillId="0" borderId="13" xfId="0" applyFont="1" applyBorder="1" applyAlignment="1">
      <alignment horizontal="centerContinuous"/>
    </xf>
    <xf numFmtId="37" fontId="26" fillId="0" borderId="12" xfId="0" applyFont="1" applyBorder="1"/>
    <xf numFmtId="37" fontId="8" fillId="0" borderId="12" xfId="0" applyFont="1" applyBorder="1" applyAlignment="1">
      <alignment horizontal="centerContinuous"/>
    </xf>
    <xf numFmtId="37" fontId="8" fillId="0" borderId="10" xfId="0" applyFont="1" applyBorder="1" applyAlignment="1">
      <alignment horizontal="centerContinuous"/>
    </xf>
    <xf numFmtId="37" fontId="26" fillId="0" borderId="56" xfId="0" applyFont="1" applyBorder="1"/>
    <xf numFmtId="37" fontId="26" fillId="0" borderId="30" xfId="0" applyFont="1" applyBorder="1"/>
    <xf numFmtId="37" fontId="26" fillId="0" borderId="21" xfId="0" applyFont="1" applyBorder="1"/>
    <xf numFmtId="37" fontId="26" fillId="0" borderId="21" xfId="0" applyFont="1" applyBorder="1" applyAlignment="1">
      <alignment horizontal="center"/>
    </xf>
    <xf numFmtId="37" fontId="23" fillId="0" borderId="56" xfId="0" applyFont="1" applyBorder="1"/>
    <xf numFmtId="37" fontId="22" fillId="0" borderId="56" xfId="0" applyFont="1" applyBorder="1" applyAlignment="1">
      <alignment horizontal="center"/>
    </xf>
    <xf numFmtId="37" fontId="22" fillId="0" borderId="30" xfId="0" applyFont="1" applyBorder="1"/>
    <xf numFmtId="37" fontId="22" fillId="0" borderId="58" xfId="0" applyFont="1" applyBorder="1"/>
    <xf numFmtId="37" fontId="22" fillId="0" borderId="21" xfId="0" applyFont="1" applyBorder="1"/>
    <xf numFmtId="37" fontId="8" fillId="0" borderId="1" xfId="0" applyFont="1" applyBorder="1" applyAlignment="1">
      <alignment horizontal="centerContinuous"/>
    </xf>
    <xf numFmtId="37" fontId="22" fillId="0" borderId="1" xfId="0" quotePrefix="1" applyFont="1" applyBorder="1" applyAlignment="1">
      <alignment horizontal="right"/>
    </xf>
    <xf numFmtId="37" fontId="22" fillId="0" borderId="1" xfId="0" applyFont="1" applyBorder="1" applyAlignment="1">
      <alignment horizontal="right"/>
    </xf>
    <xf numFmtId="37" fontId="8" fillId="0" borderId="1" xfId="0" applyFont="1" applyBorder="1" applyAlignment="1">
      <alignment horizontal="right"/>
    </xf>
    <xf numFmtId="37" fontId="16" fillId="3" borderId="0" xfId="0" applyFont="1" applyFill="1" applyAlignment="1">
      <alignment horizontal="center" vertical="center"/>
    </xf>
  </cellXfs>
  <cellStyles count="4764">
    <cellStyle name="20% - Accent1" xfId="22" builtinId="30" customBuiltin="1"/>
    <cellStyle name="20% - Accent1 10" xfId="2689" xr:uid="{3BD2E4F3-E2B3-4101-9C20-5145B512E6DC}"/>
    <cellStyle name="20% - Accent1 11" xfId="3343" xr:uid="{A8BEFF75-3361-473C-A4AB-B2A7CDFB0568}"/>
    <cellStyle name="20% - Accent1 12" xfId="4008" xr:uid="{ABE5E175-A63D-4FD7-82A9-D110EEBA0700}"/>
    <cellStyle name="20% - Accent1 13" xfId="727" xr:uid="{D879CBDE-E9FC-4056-824B-86291B6F66ED}"/>
    <cellStyle name="20% - Accent1 14" xfId="155" xr:uid="{E5735AFA-BA12-46FB-AAD1-637EA1523127}"/>
    <cellStyle name="20% - Accent1 2" xfId="78" xr:uid="{B8CD90AB-4224-453E-B24B-7BAEDBD21BA5}"/>
    <cellStyle name="20% - Accent1 2 10" xfId="4026" xr:uid="{B28A2B77-E543-4F32-89CF-EB535DF43D81}"/>
    <cellStyle name="20% - Accent1 2 11" xfId="740" xr:uid="{4C9F6989-DBA0-4B6E-AF84-9C58BF035E2C}"/>
    <cellStyle name="20% - Accent1 2 12" xfId="171" xr:uid="{85F4DFDC-121C-4B9E-841F-45E9E7D022E7}"/>
    <cellStyle name="20% - Accent1 2 2" xfId="1042" xr:uid="{7CDCC31D-C070-4221-ACE1-21C959A8DC21}"/>
    <cellStyle name="20% - Accent1 2 2 2" xfId="1149" xr:uid="{A59CCDAA-BF8C-4A03-87E5-E80665BD8FF6}"/>
    <cellStyle name="20% - Accent1 2 2 2 2" xfId="1486" xr:uid="{6384435A-81D1-440F-9B03-3BED35FD351B}"/>
    <cellStyle name="20% - Accent1 2 2 2 2 2" xfId="2545" xr:uid="{A5B31B83-F575-4856-9493-7296F6CF6D80}"/>
    <cellStyle name="20% - Accent1 2 2 2 2 3" xfId="3196" xr:uid="{4857CA3F-B358-45C1-BE14-2C0DEFE443EC}"/>
    <cellStyle name="20% - Accent1 2 2 2 2 4" xfId="3852" xr:uid="{F56D4F7B-F3B1-4143-90D9-86A9C1E62F88}"/>
    <cellStyle name="20% - Accent1 2 2 2 2 5" xfId="4515" xr:uid="{485E1991-6BB4-4937-9CF3-336D784E563E}"/>
    <cellStyle name="20% - Accent1 2 2 2 3" xfId="2000" xr:uid="{3C63DA1A-7868-4994-A934-7CD313171155}"/>
    <cellStyle name="20% - Accent1 2 2 2 4" xfId="2218" xr:uid="{F21BDB1A-7273-4AC9-B15B-5C54A5C54118}"/>
    <cellStyle name="20% - Accent1 2 2 2 5" xfId="2869" xr:uid="{D82AA8C5-CBDE-4A4D-9DD2-237005A11D2D}"/>
    <cellStyle name="20% - Accent1 2 2 2 6" xfId="3525" xr:uid="{462870BE-D336-4A2C-A9C6-97B0496B7291}"/>
    <cellStyle name="20% - Accent1 2 2 2 7" xfId="4188" xr:uid="{B603448C-0E29-4242-90C7-99F8F6F5070D}"/>
    <cellStyle name="20% - Accent1 2 2 3" xfId="1263" xr:uid="{A2DB01F7-9568-4565-B199-1D7A393DAC5A}"/>
    <cellStyle name="20% - Accent1 2 2 3 2" xfId="1594" xr:uid="{2E0F14D8-5AA1-44EB-B7CD-CB006FAC5784}"/>
    <cellStyle name="20% - Accent1 2 2 3 2 2" xfId="2653" xr:uid="{50B78A06-45C1-49BB-AEC7-0AC4239B1C5C}"/>
    <cellStyle name="20% - Accent1 2 2 3 2 3" xfId="3304" xr:uid="{1B049A34-48D5-44FD-BA60-C713A9C14762}"/>
    <cellStyle name="20% - Accent1 2 2 3 2 4" xfId="3960" xr:uid="{3920CFB5-C3E3-4F76-9C3F-B78BCCFF1147}"/>
    <cellStyle name="20% - Accent1 2 2 3 2 5" xfId="4623" xr:uid="{C0972A66-55DA-4939-BA27-F3C79485F1D6}"/>
    <cellStyle name="20% - Accent1 2 2 3 3" xfId="2326" xr:uid="{EF713CC4-BA24-44E7-B9FC-3B824864F48B}"/>
    <cellStyle name="20% - Accent1 2 2 3 4" xfId="2977" xr:uid="{90BF4185-69FD-419B-A3D1-900906402EF3}"/>
    <cellStyle name="20% - Accent1 2 2 3 5" xfId="3633" xr:uid="{3242341F-A048-48B2-8F13-6DB19789AF21}"/>
    <cellStyle name="20% - Accent1 2 2 3 6" xfId="4296" xr:uid="{73B0E521-710E-4DD3-864C-3F54CB21140A}"/>
    <cellStyle name="20% - Accent1 2 2 4" xfId="1378" xr:uid="{DC773CC8-761F-45C4-827C-0F6DD0CE8999}"/>
    <cellStyle name="20% - Accent1 2 2 4 2" xfId="2437" xr:uid="{DB29BA66-96BE-4BF5-B6F4-5B5D853F35E5}"/>
    <cellStyle name="20% - Accent1 2 2 4 3" xfId="3088" xr:uid="{0035ED2B-97E9-4E7F-B110-4BC8EB7810DA}"/>
    <cellStyle name="20% - Accent1 2 2 4 4" xfId="3744" xr:uid="{DCEACE8A-DA29-4842-84AC-837C660F7A46}"/>
    <cellStyle name="20% - Accent1 2 2 4 5" xfId="4407" xr:uid="{6F276908-07A1-44C5-A5AF-52149859C0AE}"/>
    <cellStyle name="20% - Accent1 2 2 5" xfId="1939" xr:uid="{1E5587D2-41FD-4A82-A4FA-073AE3C2CD00}"/>
    <cellStyle name="20% - Accent1 2 2 6" xfId="2110" xr:uid="{6C726753-96AE-48C4-B91F-6B3CA73C5728}"/>
    <cellStyle name="20% - Accent1 2 2 7" xfId="2761" xr:uid="{D66EAD93-E033-4477-91FB-09E1B7415327}"/>
    <cellStyle name="20% - Accent1 2 2 8" xfId="3417" xr:uid="{AC7B48F7-BC6A-4185-BCA5-7564F7C3BD6F}"/>
    <cellStyle name="20% - Accent1 2 2 9" xfId="4080" xr:uid="{F320A255-255A-471F-8EA3-1E3126F6D38A}"/>
    <cellStyle name="20% - Accent1 2 3" xfId="1095" xr:uid="{F2E59BD2-968C-4019-9A0E-4664DB473579}"/>
    <cellStyle name="20% - Accent1 2 3 2" xfId="1432" xr:uid="{316BAF80-8938-4DB1-81A2-6C7A5769B518}"/>
    <cellStyle name="20% - Accent1 2 3 2 2" xfId="2491" xr:uid="{F6348C84-6EC6-4F1C-8158-51164A240157}"/>
    <cellStyle name="20% - Accent1 2 3 2 3" xfId="3142" xr:uid="{EB8DF2D6-60A4-4622-81C9-75AB4CEE7CCF}"/>
    <cellStyle name="20% - Accent1 2 3 2 4" xfId="3798" xr:uid="{8CB3E3A4-CDF7-43F0-B77C-C0B4ED16E6EC}"/>
    <cellStyle name="20% - Accent1 2 3 2 5" xfId="4461" xr:uid="{A82C5ECA-54B2-459C-BE9A-5472FEA983D3}"/>
    <cellStyle name="20% - Accent1 2 3 3" xfId="1965" xr:uid="{DB738E4C-1681-4495-990A-E289A45C2895}"/>
    <cellStyle name="20% - Accent1 2 3 4" xfId="2164" xr:uid="{A94D7B1B-D151-4C86-B70D-4FFF12B31405}"/>
    <cellStyle name="20% - Accent1 2 3 5" xfId="2815" xr:uid="{83507B6A-93D0-4709-AA76-884D63451F18}"/>
    <cellStyle name="20% - Accent1 2 3 6" xfId="3471" xr:uid="{CAD02CC7-8B5E-4917-A5ED-1C5589ADF354}"/>
    <cellStyle name="20% - Accent1 2 3 7" xfId="4134" xr:uid="{822878C5-1B38-4791-A929-D32E16F7B521}"/>
    <cellStyle name="20% - Accent1 2 4" xfId="1209" xr:uid="{577CFB71-B702-470D-9703-F9C97F697059}"/>
    <cellStyle name="20% - Accent1 2 4 2" xfId="1540" xr:uid="{7898E6F9-0C20-4137-B0B7-F82702348853}"/>
    <cellStyle name="20% - Accent1 2 4 2 2" xfId="2599" xr:uid="{1103202D-2151-4B8C-AC80-2F4A2398D417}"/>
    <cellStyle name="20% - Accent1 2 4 2 3" xfId="3250" xr:uid="{FC9EC8C3-4556-416D-8983-D2940CC6B1E4}"/>
    <cellStyle name="20% - Accent1 2 4 2 4" xfId="3906" xr:uid="{3123BD82-AB9D-448A-A1A7-DD290ACFEB36}"/>
    <cellStyle name="20% - Accent1 2 4 2 5" xfId="4569" xr:uid="{0887B24E-719D-46CB-B531-1BF729841A07}"/>
    <cellStyle name="20% - Accent1 2 4 3" xfId="2272" xr:uid="{E094BEA4-36AA-4529-A925-3C01F8BBB5A2}"/>
    <cellStyle name="20% - Accent1 2 4 4" xfId="2923" xr:uid="{637721BE-749F-4A3E-BDCD-E332CAACC70E}"/>
    <cellStyle name="20% - Accent1 2 4 5" xfId="3579" xr:uid="{7E81C17A-575F-47FA-BCE5-609DEFF0C78F}"/>
    <cellStyle name="20% - Accent1 2 4 6" xfId="4242" xr:uid="{7CFF7D11-C9E5-4270-9F8A-C159E8ABEFB4}"/>
    <cellStyle name="20% - Accent1 2 5" xfId="1324" xr:uid="{160DB308-5CAF-4C63-BC06-948D12A91E3A}"/>
    <cellStyle name="20% - Accent1 2 5 2" xfId="2383" xr:uid="{F5DBFFB6-C684-483B-9EAF-6C6E35B8DCBF}"/>
    <cellStyle name="20% - Accent1 2 5 3" xfId="3034" xr:uid="{826593D9-C852-4C1F-9D8A-41ACCCC05B8D}"/>
    <cellStyle name="20% - Accent1 2 5 4" xfId="3690" xr:uid="{910900EE-4856-440B-B31C-DCFADF15F978}"/>
    <cellStyle name="20% - Accent1 2 5 5" xfId="4353" xr:uid="{A8F0E5B6-0B65-43F4-BD24-ACD78A9EA2B5}"/>
    <cellStyle name="20% - Accent1 2 6" xfId="1847" xr:uid="{CECBDF51-1AF5-4163-A5F7-4AD3287EB33C}"/>
    <cellStyle name="20% - Accent1 2 7" xfId="2056" xr:uid="{74E6A596-60DA-4745-81A0-07C2B3D94063}"/>
    <cellStyle name="20% - Accent1 2 8" xfId="2707" xr:uid="{8F5B0F25-7EE4-442D-AE0D-8C23E3B4F84B}"/>
    <cellStyle name="20% - Accent1 2 9" xfId="3362" xr:uid="{B4EBFABD-03CF-430F-A5C6-A4622440AA12}"/>
    <cellStyle name="20% - Accent1 3" xfId="250" xr:uid="{D83DF6E5-9B4E-40DD-AE64-2066F317822A}"/>
    <cellStyle name="20% - Accent1 3 10" xfId="4043" xr:uid="{FAA0349A-9B55-435C-84F0-AB7550A00938}"/>
    <cellStyle name="20% - Accent1 3 11" xfId="1804" xr:uid="{7D3AA6C7-F1F5-4E4C-8B90-0913A85BFA1F}"/>
    <cellStyle name="20% - Accent1 3 12" xfId="1721" xr:uid="{CF930792-C32B-4B57-9A53-E3402CE2E1BB}"/>
    <cellStyle name="20% - Accent1 3 13" xfId="995" xr:uid="{779671F9-2EB4-4B6E-BA0A-A3E2B103C845}"/>
    <cellStyle name="20% - Accent1 3 2" xfId="346" xr:uid="{9B8D8B7E-E466-47B0-9889-FF14400D79C5}"/>
    <cellStyle name="20% - Accent1 3 2 10" xfId="1059" xr:uid="{704073B8-FCFD-4EC9-B0D1-7568BDFC82D9}"/>
    <cellStyle name="20% - Accent1 3 2 2" xfId="462" xr:uid="{111A259D-F0C6-46E7-A4C9-3812FDD777DB}"/>
    <cellStyle name="20% - Accent1 3 2 2 2" xfId="681" xr:uid="{E0680FDB-5CA7-4FE4-BF0A-EF2F0046F652}"/>
    <cellStyle name="20% - Accent1 3 2 2 2 2" xfId="2562" xr:uid="{1B4F666B-A47A-4A86-B0CF-73001024892A}"/>
    <cellStyle name="20% - Accent1 3 2 2 2 3" xfId="3213" xr:uid="{66016FEE-1B6D-4DCC-B121-A0D0D6A08EDC}"/>
    <cellStyle name="20% - Accent1 3 2 2 2 4" xfId="3869" xr:uid="{D0CA74E6-10B6-44A4-A1E5-782C1D03CA8B}"/>
    <cellStyle name="20% - Accent1 3 2 2 2 5" xfId="4532" xr:uid="{4FADFFFA-895D-442A-BA47-A679E9351DBF}"/>
    <cellStyle name="20% - Accent1 3 2 2 2 6" xfId="1503" xr:uid="{EEADB01C-DA4C-4620-B831-DF289FEDC2C6}"/>
    <cellStyle name="20% - Accent1 3 2 2 3" xfId="1916" xr:uid="{A91015CE-65CC-4E11-BDAF-7E8B1CBA3D3A}"/>
    <cellStyle name="20% - Accent1 3 2 2 4" xfId="2235" xr:uid="{E121CBBD-BD8D-4BFF-8986-F889EB4A89A9}"/>
    <cellStyle name="20% - Accent1 3 2 2 5" xfId="2886" xr:uid="{7E0001F1-B7C0-45C7-A560-19AFC46D7A5C}"/>
    <cellStyle name="20% - Accent1 3 2 2 6" xfId="3542" xr:uid="{CC25C069-5973-44DA-B913-7F7FC787CDAE}"/>
    <cellStyle name="20% - Accent1 3 2 2 7" xfId="4205" xr:uid="{A906093C-74E4-4002-8EE8-2040E78BBF8F}"/>
    <cellStyle name="20% - Accent1 3 2 2 8" xfId="1166" xr:uid="{BF596C8A-C142-44E3-9556-0DD4B73B8EC8}"/>
    <cellStyle name="20% - Accent1 3 2 3" xfId="571" xr:uid="{A6BA7100-B9EF-4E76-910C-21DA701F4041}"/>
    <cellStyle name="20% - Accent1 3 2 3 2" xfId="1611" xr:uid="{AAEA39C2-7F59-4DF1-9A1C-8F4D21D55EE4}"/>
    <cellStyle name="20% - Accent1 3 2 3 2 2" xfId="2670" xr:uid="{4856253C-7596-4F9E-AD0A-3DA9E5917DF2}"/>
    <cellStyle name="20% - Accent1 3 2 3 2 3" xfId="3321" xr:uid="{DA7C4E88-E706-48A0-AF34-122628343962}"/>
    <cellStyle name="20% - Accent1 3 2 3 2 4" xfId="3977" xr:uid="{25E040DB-F76C-47E5-B9DB-A4A78AFBB267}"/>
    <cellStyle name="20% - Accent1 3 2 3 2 5" xfId="4640" xr:uid="{24CF1636-9565-4AA3-A0B2-74D345914502}"/>
    <cellStyle name="20% - Accent1 3 2 3 3" xfId="2343" xr:uid="{4C76E889-5E4B-4970-8992-CABF6A0B93EA}"/>
    <cellStyle name="20% - Accent1 3 2 3 4" xfId="2994" xr:uid="{416AEED7-7644-4B75-93E7-EF38A62F7464}"/>
    <cellStyle name="20% - Accent1 3 2 3 5" xfId="3650" xr:uid="{D5919B79-7514-49F6-96A3-583D9DAED54F}"/>
    <cellStyle name="20% - Accent1 3 2 3 6" xfId="4313" xr:uid="{1419055E-AE49-4340-90BE-CAABF5345E3A}"/>
    <cellStyle name="20% - Accent1 3 2 3 7" xfId="1280" xr:uid="{6BAC90E5-9867-4B89-ABC1-C1131556EA6A}"/>
    <cellStyle name="20% - Accent1 3 2 4" xfId="1395" xr:uid="{4AB127C7-64A2-4594-B110-2C00E521FF8F}"/>
    <cellStyle name="20% - Accent1 3 2 4 2" xfId="2454" xr:uid="{8E0AF9C5-1B91-413F-BFAD-F8DDB6D5006E}"/>
    <cellStyle name="20% - Accent1 3 2 4 3" xfId="3105" xr:uid="{F1BBC7C5-C6D8-4B2B-BD28-2ADE5B4271EE}"/>
    <cellStyle name="20% - Accent1 3 2 4 4" xfId="3761" xr:uid="{6658C6F6-222D-443E-A532-FCA1946EB765}"/>
    <cellStyle name="20% - Accent1 3 2 4 5" xfId="4424" xr:uid="{FE3BBECB-5234-4B54-B59E-D6EDACE84874}"/>
    <cellStyle name="20% - Accent1 3 2 5" xfId="1993" xr:uid="{76DCB0CF-2C7D-4E6F-9F84-EA18E4D6C763}"/>
    <cellStyle name="20% - Accent1 3 2 6" xfId="2127" xr:uid="{E9B4E16A-71A3-4F84-B6A0-36ED1AF8A9A3}"/>
    <cellStyle name="20% - Accent1 3 2 7" xfId="2778" xr:uid="{64809BF3-7B66-46B4-94FE-523E0A4A9B50}"/>
    <cellStyle name="20% - Accent1 3 2 8" xfId="3434" xr:uid="{029772F4-952B-43F4-B4AE-1C69E6783FC7}"/>
    <cellStyle name="20% - Accent1 3 2 9" xfId="4097" xr:uid="{03CA2C67-AF62-4780-8951-64E2624F57A6}"/>
    <cellStyle name="20% - Accent1 3 3" xfId="419" xr:uid="{76889C12-C1FA-468E-B128-4449767500A1}"/>
    <cellStyle name="20% - Accent1 3 3 2" xfId="638" xr:uid="{00A62AF6-05C4-4D84-B09C-C8C7DFEF8763}"/>
    <cellStyle name="20% - Accent1 3 3 2 2" xfId="2508" xr:uid="{D5EC16F6-C0D6-4E4B-93F9-2BA39D217D7B}"/>
    <cellStyle name="20% - Accent1 3 3 2 3" xfId="3159" xr:uid="{212E6281-E2D3-49EF-A5C7-269386EDF841}"/>
    <cellStyle name="20% - Accent1 3 3 2 4" xfId="3815" xr:uid="{B82DA3F7-9BC8-48EC-8D69-D47DB91ADFA3}"/>
    <cellStyle name="20% - Accent1 3 3 2 5" xfId="4478" xr:uid="{E79A0110-F9DD-4928-A4C1-DDBBF1CAC2A7}"/>
    <cellStyle name="20% - Accent1 3 3 2 6" xfId="1449" xr:uid="{A2050861-22A0-45EB-856D-1FCFF196787D}"/>
    <cellStyle name="20% - Accent1 3 3 3" xfId="2024" xr:uid="{4EEF5344-842D-4284-A102-D281712CB76C}"/>
    <cellStyle name="20% - Accent1 3 3 4" xfId="2181" xr:uid="{AFC35D26-6C07-40D6-835B-EE029ECFEE65}"/>
    <cellStyle name="20% - Accent1 3 3 5" xfId="2832" xr:uid="{553864F3-08D1-4302-96CE-BC5F9C2B5BDE}"/>
    <cellStyle name="20% - Accent1 3 3 6" xfId="3488" xr:uid="{40209A4E-28CF-4232-B7B1-355D6B57487B}"/>
    <cellStyle name="20% - Accent1 3 3 7" xfId="4151" xr:uid="{A5899895-228B-47FF-B95D-29D79F7BC6C3}"/>
    <cellStyle name="20% - Accent1 3 3 8" xfId="1112" xr:uid="{8BC0A3B9-783C-4FE0-87B3-212CFDE95098}"/>
    <cellStyle name="20% - Accent1 3 4" xfId="528" xr:uid="{728F467C-110B-495B-A3AA-6415B9D36BA5}"/>
    <cellStyle name="20% - Accent1 3 4 2" xfId="1557" xr:uid="{47A58339-5F0E-4410-96C5-FB7CF1D2F868}"/>
    <cellStyle name="20% - Accent1 3 4 2 2" xfId="2616" xr:uid="{7E894E1B-A7B3-4CC3-8AFE-B84E5A8C31D8}"/>
    <cellStyle name="20% - Accent1 3 4 2 3" xfId="3267" xr:uid="{3763F453-3987-4A29-975A-5C84354CE766}"/>
    <cellStyle name="20% - Accent1 3 4 2 4" xfId="3923" xr:uid="{C618E4E8-87C3-424F-92DD-F175AA014D9F}"/>
    <cellStyle name="20% - Accent1 3 4 2 5" xfId="4586" xr:uid="{DF62439B-A948-433A-874F-623C28C48297}"/>
    <cellStyle name="20% - Accent1 3 4 3" xfId="2289" xr:uid="{E9564B6B-44CE-4ED5-847F-88EE9F9B717A}"/>
    <cellStyle name="20% - Accent1 3 4 4" xfId="2940" xr:uid="{DF7A0778-6B6A-4488-9A15-F92E51EED1BA}"/>
    <cellStyle name="20% - Accent1 3 4 5" xfId="3596" xr:uid="{AF2EFD67-2A09-4B45-8AA5-0F95F73CA4E3}"/>
    <cellStyle name="20% - Accent1 3 4 6" xfId="4259" xr:uid="{8A808C3C-2CC1-46EE-889F-0D52AAE4D1D9}"/>
    <cellStyle name="20% - Accent1 3 4 7" xfId="1226" xr:uid="{5E33222D-CE16-4250-B64C-1E569176DAB2}"/>
    <cellStyle name="20% - Accent1 3 5" xfId="298" xr:uid="{7BEA42C4-BAB3-46BB-A86A-9FAA0DFDC77A}"/>
    <cellStyle name="20% - Accent1 3 5 2" xfId="2400" xr:uid="{E10D74ED-B86F-4504-BA6A-96880135F31A}"/>
    <cellStyle name="20% - Accent1 3 5 3" xfId="3051" xr:uid="{A875AF8C-D4D9-4910-9D24-EE114799574D}"/>
    <cellStyle name="20% - Accent1 3 5 4" xfId="3707" xr:uid="{BE7E8E96-6E33-4358-AD18-6D1EB179312F}"/>
    <cellStyle name="20% - Accent1 3 5 5" xfId="4370" xr:uid="{EDDF87AA-A535-4286-885C-A96208D0060B}"/>
    <cellStyle name="20% - Accent1 3 5 6" xfId="1341" xr:uid="{C70CB754-C968-4B01-9429-32B830E7560C}"/>
    <cellStyle name="20% - Accent1 3 6" xfId="1985" xr:uid="{F0AF9A6B-A8EB-4464-B398-8782796634BD}"/>
    <cellStyle name="20% - Accent1 3 7" xfId="2073" xr:uid="{18CBAA55-7FEB-4DA9-B900-0D4C85E8DB98}"/>
    <cellStyle name="20% - Accent1 3 8" xfId="2724" xr:uid="{731F3EA4-D5C2-42B1-A6D8-D03887E22326}"/>
    <cellStyle name="20% - Accent1 3 9" xfId="3379" xr:uid="{BD48D361-4D3E-4D63-A339-3094BE1F7D41}"/>
    <cellStyle name="20% - Accent1 4" xfId="365" xr:uid="{8F53B0E8-A68D-47EF-97A9-F246DA9C417D}"/>
    <cellStyle name="20% - Accent1 4 10" xfId="1026" xr:uid="{BE5C0CDE-90B4-4A75-8167-E52AA18EC3D2}"/>
    <cellStyle name="20% - Accent1 4 2" xfId="481" xr:uid="{2E17A8A4-E13A-4271-8122-D190D60769D9}"/>
    <cellStyle name="20% - Accent1 4 2 2" xfId="700" xr:uid="{0DD54744-184B-458F-960F-820310698D64}"/>
    <cellStyle name="20% - Accent1 4 2 2 2" xfId="2529" xr:uid="{7E5EC9DC-81EB-44AC-A854-E51BCDDCE403}"/>
    <cellStyle name="20% - Accent1 4 2 2 3" xfId="3180" xr:uid="{CBB20599-F7CD-4218-9870-73AB4C7F4C51}"/>
    <cellStyle name="20% - Accent1 4 2 2 4" xfId="3836" xr:uid="{50FA0D53-17A7-48CA-AA9C-AEE8E41E7E8D}"/>
    <cellStyle name="20% - Accent1 4 2 2 5" xfId="4499" xr:uid="{B3B25110-7A87-438A-B688-4973F4D27434}"/>
    <cellStyle name="20% - Accent1 4 2 2 6" xfId="1470" xr:uid="{ABF0D4E7-A9C5-46D5-9403-82EAAC37128A}"/>
    <cellStyle name="20% - Accent1 4 2 3" xfId="1968" xr:uid="{38A28DA5-A9B5-4503-A3D9-65027FC27E0C}"/>
    <cellStyle name="20% - Accent1 4 2 4" xfId="2202" xr:uid="{608739F3-27B1-468A-A29D-17DD22511892}"/>
    <cellStyle name="20% - Accent1 4 2 5" xfId="2853" xr:uid="{B97FB29B-CF53-423D-B012-5C40437DCFDF}"/>
    <cellStyle name="20% - Accent1 4 2 6" xfId="3509" xr:uid="{72A038A0-0E3E-49DA-9390-442577BD833A}"/>
    <cellStyle name="20% - Accent1 4 2 7" xfId="4172" xr:uid="{1C24AAE8-7D04-4380-BD19-345632207A16}"/>
    <cellStyle name="20% - Accent1 4 2 8" xfId="1133" xr:uid="{B1940051-F38B-4A91-BF4B-E6A37CC1BB67}"/>
    <cellStyle name="20% - Accent1 4 3" xfId="590" xr:uid="{1CA0EC9E-B4F2-4297-A4DF-8B1EBE0FDD21}"/>
    <cellStyle name="20% - Accent1 4 3 2" xfId="1578" xr:uid="{3F37FE40-D971-4908-ADD1-7B1EC72E4DDA}"/>
    <cellStyle name="20% - Accent1 4 3 2 2" xfId="2637" xr:uid="{25267349-75F5-4316-860B-999B63AB87F3}"/>
    <cellStyle name="20% - Accent1 4 3 2 3" xfId="3288" xr:uid="{1F69EDEE-1A4F-4AD2-97BC-E75A25FCAE0C}"/>
    <cellStyle name="20% - Accent1 4 3 2 4" xfId="3944" xr:uid="{42DD7FBC-1897-4A45-922E-1EBCAEB192C9}"/>
    <cellStyle name="20% - Accent1 4 3 2 5" xfId="4607" xr:uid="{8A06D766-9087-4E1C-97DB-13A5F563CF3B}"/>
    <cellStyle name="20% - Accent1 4 3 3" xfId="2310" xr:uid="{590B1FD7-7237-443F-AF1F-B821A6C8D125}"/>
    <cellStyle name="20% - Accent1 4 3 4" xfId="2961" xr:uid="{F12B5E77-FC5C-44D3-A842-F14F204A581B}"/>
    <cellStyle name="20% - Accent1 4 3 5" xfId="3617" xr:uid="{A7F75F1A-DFCC-403E-8709-86A167F40752}"/>
    <cellStyle name="20% - Accent1 4 3 6" xfId="4280" xr:uid="{6889D13F-5464-4C90-BD83-AD584132DA6B}"/>
    <cellStyle name="20% - Accent1 4 3 7" xfId="1247" xr:uid="{68DEBFAA-8C98-469A-8BB3-8F43F3E3C686}"/>
    <cellStyle name="20% - Accent1 4 4" xfId="1362" xr:uid="{DE3973DC-88FF-4328-8AA9-51BF548ABE6D}"/>
    <cellStyle name="20% - Accent1 4 4 2" xfId="2421" xr:uid="{1870D777-16B5-4810-9FD3-9BB92886BF16}"/>
    <cellStyle name="20% - Accent1 4 4 3" xfId="3072" xr:uid="{440DE097-322C-4273-8F79-FB6C84EAC476}"/>
    <cellStyle name="20% - Accent1 4 4 4" xfId="3728" xr:uid="{31CE8DF2-E0CE-4456-950A-4F24916DF6AD}"/>
    <cellStyle name="20% - Accent1 4 4 5" xfId="4391" xr:uid="{D6C246BD-1423-4CFF-AA00-60F0FE4C84A3}"/>
    <cellStyle name="20% - Accent1 4 5" xfId="1783" xr:uid="{68833279-D266-4366-9FFD-B0A4EED9D6E9}"/>
    <cellStyle name="20% - Accent1 4 6" xfId="2094" xr:uid="{08F80956-5C56-486D-A249-76A6A5EF1E1D}"/>
    <cellStyle name="20% - Accent1 4 7" xfId="2745" xr:uid="{A9A46139-B620-4DF3-9DD1-F91F07346248}"/>
    <cellStyle name="20% - Accent1 4 8" xfId="3401" xr:uid="{A37A5EE9-E746-4609-9C06-C96C03242AFD}"/>
    <cellStyle name="20% - Accent1 4 9" xfId="4064" xr:uid="{9B307CCE-97CA-4618-BDBE-06FFB521E83D}"/>
    <cellStyle name="20% - Accent1 5" xfId="322" xr:uid="{0655CD6E-93FA-4BF4-BADC-8CCEB82649D7}"/>
    <cellStyle name="20% - Accent1 5 10" xfId="1077" xr:uid="{039B7DE5-3106-452F-AAC8-6FB634189C2D}"/>
    <cellStyle name="20% - Accent1 5 2" xfId="443" xr:uid="{AEDC0E04-FC5F-4F45-995D-FC0CE95C125D}"/>
    <cellStyle name="20% - Accent1 5 2 2" xfId="662" xr:uid="{7E19BFF4-931B-4F45-94C8-D84E824E220D}"/>
    <cellStyle name="20% - Accent1 5 2 2 2" xfId="2473" xr:uid="{E58E9D87-B696-411B-9885-BDCB2017997D}"/>
    <cellStyle name="20% - Accent1 5 2 3" xfId="3124" xr:uid="{14BBD2C1-4447-4D7D-A6D7-922CED31CA6B}"/>
    <cellStyle name="20% - Accent1 5 2 4" xfId="3780" xr:uid="{DF48E9D5-87F5-44FF-9A26-A09EE7321761}"/>
    <cellStyle name="20% - Accent1 5 2 5" xfId="4443" xr:uid="{39F08EDB-AEBA-4CF8-B62F-2C5B6BE39233}"/>
    <cellStyle name="20% - Accent1 5 2 6" xfId="1414" xr:uid="{56D429FE-7172-4725-AFAA-04D5CD0149EE}"/>
    <cellStyle name="20% - Accent1 5 3" xfId="552" xr:uid="{6A0F5495-F0AB-42C0-8CB5-C1325ACEA4F4}"/>
    <cellStyle name="20% - Accent1 5 3 2" xfId="1989" xr:uid="{12DF3A26-79EF-4C3E-A9F0-D751FE3C3EFC}"/>
    <cellStyle name="20% - Accent1 5 4" xfId="2146" xr:uid="{78044856-B1F0-4656-8585-A320EC73D08F}"/>
    <cellStyle name="20% - Accent1 5 5" xfId="2797" xr:uid="{649857D7-017C-4831-B30A-20435AF0B1DB}"/>
    <cellStyle name="20% - Accent1 5 6" xfId="3453" xr:uid="{9CFCA1F4-1F08-4E4E-A1DF-E5E71A5CCC15}"/>
    <cellStyle name="20% - Accent1 5 7" xfId="4116" xr:uid="{0ED64A28-8984-4782-9238-175599C0F854}"/>
    <cellStyle name="20% - Accent1 5 8" xfId="1819" xr:uid="{626E6286-2C91-454E-998A-54B57A19B3E9}"/>
    <cellStyle name="20% - Accent1 5 9" xfId="1663" xr:uid="{617E11EE-BE14-482B-BC1D-CF880D3EAF9D}"/>
    <cellStyle name="20% - Accent1 6" xfId="396" xr:uid="{7743A626-467A-434E-947C-38D75B442058}"/>
    <cellStyle name="20% - Accent1 6 2" xfId="616" xr:uid="{D38B2BFB-1746-40EA-A95E-D770B6469693}"/>
    <cellStyle name="20% - Accent1 6 2 2" xfId="2581" xr:uid="{E70D72F7-A7F9-451F-A6C7-51F8AF62B3DC}"/>
    <cellStyle name="20% - Accent1 6 2 3" xfId="3232" xr:uid="{EF80BC83-22AB-4EC8-B954-9B8F8E16A5C9}"/>
    <cellStyle name="20% - Accent1 6 2 4" xfId="3888" xr:uid="{E8AC2D73-825D-4E81-83DD-C17B437E2866}"/>
    <cellStyle name="20% - Accent1 6 2 5" xfId="4551" xr:uid="{9616D6A2-F31A-4AA7-8748-0AAF04ED169A}"/>
    <cellStyle name="20% - Accent1 6 2 6" xfId="1522" xr:uid="{D6421752-A5B4-473F-8FB9-AEF2001FB9D2}"/>
    <cellStyle name="20% - Accent1 6 3" xfId="2254" xr:uid="{C65479D9-1E3A-4607-8F69-B498854B5992}"/>
    <cellStyle name="20% - Accent1 6 4" xfId="2905" xr:uid="{68FC6DA5-BE60-48ED-BA2A-66B5BA809E43}"/>
    <cellStyle name="20% - Accent1 6 5" xfId="3561" xr:uid="{76BF907A-8F2E-499E-BA51-28484D8CAE03}"/>
    <cellStyle name="20% - Accent1 6 6" xfId="4224" xr:uid="{B1EF2B8E-E2E2-4250-8E10-2CC7DF7A6CD3}"/>
    <cellStyle name="20% - Accent1 6 7" xfId="1191" xr:uid="{05FFCB44-3594-4B9F-95D2-34350CE409BF}"/>
    <cellStyle name="20% - Accent1 7" xfId="506" xr:uid="{35635D0C-9B94-49D2-B252-8A02E35DC9C5}"/>
    <cellStyle name="20% - Accent1 7 2" xfId="2365" xr:uid="{B5E09E7A-BEB8-4F79-9219-E36BD172BCF3}"/>
    <cellStyle name="20% - Accent1 7 3" xfId="3016" xr:uid="{DF375680-1A63-4C93-83D9-0D5D964C419E}"/>
    <cellStyle name="20% - Accent1 7 4" xfId="3672" xr:uid="{7CCB53C7-F2E9-4D83-AB68-2B41C718C600}"/>
    <cellStyle name="20% - Accent1 7 5" xfId="4335" xr:uid="{75D4AD0C-F977-499B-839E-8265547F57B3}"/>
    <cellStyle name="20% - Accent1 7 6" xfId="1301" xr:uid="{E600A491-A9CB-4751-B723-F4045A302BEC}"/>
    <cellStyle name="20% - Accent1 8" xfId="274" xr:uid="{E8D726C5-FBDE-4ADF-8C99-FEFCFFEF4E68}"/>
    <cellStyle name="20% - Accent1 8 2" xfId="2027" xr:uid="{3E7C00DF-113E-4FF2-890F-60E466BA8AF1}"/>
    <cellStyle name="20% - Accent1 9" xfId="2038" xr:uid="{9E78A292-C991-4295-9030-FBA0C81EEA4C}"/>
    <cellStyle name="20% - Accent2" xfId="26" builtinId="34" customBuiltin="1"/>
    <cellStyle name="20% - Accent2 10" xfId="2691" xr:uid="{DB6C66F4-748F-4233-BA62-E9AE8552D1E8}"/>
    <cellStyle name="20% - Accent2 11" xfId="3345" xr:uid="{3F3E173C-17C0-498F-8B7A-42BF9CA0F901}"/>
    <cellStyle name="20% - Accent2 12" xfId="4010" xr:uid="{526E2EE1-797D-43BA-96B8-D3769E805DEA}"/>
    <cellStyle name="20% - Accent2 13" xfId="729" xr:uid="{F9E80D0F-5D96-4D02-8C3B-EF71B0155380}"/>
    <cellStyle name="20% - Accent2 14" xfId="157" xr:uid="{7741B64A-4A15-4F38-B739-3BE30B9C3D57}"/>
    <cellStyle name="20% - Accent2 2" xfId="79" xr:uid="{BCB58741-6D10-4644-95A8-48A460A94E05}"/>
    <cellStyle name="20% - Accent2 2 10" xfId="4027" xr:uid="{1A2B928F-9779-4577-9D3C-AEC7D3334796}"/>
    <cellStyle name="20% - Accent2 2 11" xfId="741" xr:uid="{9288C712-9B5E-466B-9782-DF805FFB9608}"/>
    <cellStyle name="20% - Accent2 2 12" xfId="172" xr:uid="{05FE3D76-9E39-42F6-A6B7-D4A77F0A6B89}"/>
    <cellStyle name="20% - Accent2 2 2" xfId="1043" xr:uid="{FC7F4983-B02F-4E77-9F9B-E24F99AF38CE}"/>
    <cellStyle name="20% - Accent2 2 2 2" xfId="1150" xr:uid="{8DA53450-FCB1-4D70-9B46-8ACB7FB16108}"/>
    <cellStyle name="20% - Accent2 2 2 2 2" xfId="1487" xr:uid="{8F7230AF-EB2F-405E-884D-99BD3E94E104}"/>
    <cellStyle name="20% - Accent2 2 2 2 2 2" xfId="2546" xr:uid="{C6FDB62C-C601-447D-AD2E-E7AFA66B2B5C}"/>
    <cellStyle name="20% - Accent2 2 2 2 2 3" xfId="3197" xr:uid="{9D0BB746-6EBD-4186-B7BC-EBF42D162ADD}"/>
    <cellStyle name="20% - Accent2 2 2 2 2 4" xfId="3853" xr:uid="{3728705B-8313-4ABC-BFE8-328BDCA8883F}"/>
    <cellStyle name="20% - Accent2 2 2 2 2 5" xfId="4516" xr:uid="{DE5A57FA-C428-43C1-98C4-D4FFF81BEF43}"/>
    <cellStyle name="20% - Accent2 2 2 2 3" xfId="1911" xr:uid="{9A55C9DD-1497-4BF4-9287-5B00F2A1648A}"/>
    <cellStyle name="20% - Accent2 2 2 2 4" xfId="2219" xr:uid="{06F871CF-5AC8-404E-A4FD-E9D784293562}"/>
    <cellStyle name="20% - Accent2 2 2 2 5" xfId="2870" xr:uid="{AEDE7882-12DB-42EA-BB46-CFCA9DC82B87}"/>
    <cellStyle name="20% - Accent2 2 2 2 6" xfId="3526" xr:uid="{87D2D2E1-1C55-4273-842A-93040C2B898C}"/>
    <cellStyle name="20% - Accent2 2 2 2 7" xfId="4189" xr:uid="{D3ED17D9-23F3-4C74-97BE-3AD6AEC47E02}"/>
    <cellStyle name="20% - Accent2 2 2 3" xfId="1264" xr:uid="{B9C1722A-6496-428C-B58B-FF5057290365}"/>
    <cellStyle name="20% - Accent2 2 2 3 2" xfId="1595" xr:uid="{BEEFD06B-A90A-44DF-918C-13466D1467EA}"/>
    <cellStyle name="20% - Accent2 2 2 3 2 2" xfId="2654" xr:uid="{EB11861B-B12E-4A23-893A-C909CD0F5841}"/>
    <cellStyle name="20% - Accent2 2 2 3 2 3" xfId="3305" xr:uid="{7EC6096D-D027-4EFC-8882-ADF05691AAD8}"/>
    <cellStyle name="20% - Accent2 2 2 3 2 4" xfId="3961" xr:uid="{A4C615AA-1F86-466A-892D-878929C9FE60}"/>
    <cellStyle name="20% - Accent2 2 2 3 2 5" xfId="4624" xr:uid="{44939433-798D-4E3B-B6F3-3478757AC4B4}"/>
    <cellStyle name="20% - Accent2 2 2 3 3" xfId="2327" xr:uid="{9C64899F-965C-41C5-873A-1E1D69654522}"/>
    <cellStyle name="20% - Accent2 2 2 3 4" xfId="2978" xr:uid="{5184021F-F2D6-4464-8C26-6A98376F4A87}"/>
    <cellStyle name="20% - Accent2 2 2 3 5" xfId="3634" xr:uid="{EF024E79-698D-45D8-BDF4-4C2051A7E7C1}"/>
    <cellStyle name="20% - Accent2 2 2 3 6" xfId="4297" xr:uid="{C7843050-52AE-47BA-AF18-A439F4C423CA}"/>
    <cellStyle name="20% - Accent2 2 2 4" xfId="1379" xr:uid="{1BD584A7-379E-4802-BFD4-C821F58D9974}"/>
    <cellStyle name="20% - Accent2 2 2 4 2" xfId="2438" xr:uid="{63F87532-7FAC-49E1-B29D-DA6721325622}"/>
    <cellStyle name="20% - Accent2 2 2 4 3" xfId="3089" xr:uid="{8222F280-A981-42AC-8371-ADDCD3141C3A}"/>
    <cellStyle name="20% - Accent2 2 2 4 4" xfId="3745" xr:uid="{084B99DB-3287-488C-A6A4-430990EDF6A9}"/>
    <cellStyle name="20% - Accent2 2 2 4 5" xfId="4408" xr:uid="{0BA8CEA0-11D3-47C9-A881-13C476CC1605}"/>
    <cellStyle name="20% - Accent2 2 2 5" xfId="1790" xr:uid="{DB58F795-AFDE-4B65-BD9F-61547DF2C0E7}"/>
    <cellStyle name="20% - Accent2 2 2 6" xfId="2111" xr:uid="{F7B2058F-7E40-4820-8E1A-1B1735D8B0D8}"/>
    <cellStyle name="20% - Accent2 2 2 7" xfId="2762" xr:uid="{2B125689-AACE-4CD0-ABDE-D6E3D121E276}"/>
    <cellStyle name="20% - Accent2 2 2 8" xfId="3418" xr:uid="{32B3BE91-6380-4B50-AF66-4FD9A2F283B7}"/>
    <cellStyle name="20% - Accent2 2 2 9" xfId="4081" xr:uid="{DF980261-CF60-4B76-9B18-EF9D878C8487}"/>
    <cellStyle name="20% - Accent2 2 3" xfId="1096" xr:uid="{57EE7C57-57ED-45C5-BBD5-A48DDD62F5A7}"/>
    <cellStyle name="20% - Accent2 2 3 2" xfId="1433" xr:uid="{1D6C6FAF-A8D4-40EA-9C11-520C76FDF6BA}"/>
    <cellStyle name="20% - Accent2 2 3 2 2" xfId="2492" xr:uid="{E84636B4-CD4B-4709-831F-7D988366AD7D}"/>
    <cellStyle name="20% - Accent2 2 3 2 3" xfId="3143" xr:uid="{C8C8B00D-A063-48F0-B091-C2E3358EDF6F}"/>
    <cellStyle name="20% - Accent2 2 3 2 4" xfId="3799" xr:uid="{D2A6EDAE-ABC1-4857-AFEC-BC4BF2C78F88}"/>
    <cellStyle name="20% - Accent2 2 3 2 5" xfId="4462" xr:uid="{69AA5FE7-1F10-411D-81DD-6029A41D0D4A}"/>
    <cellStyle name="20% - Accent2 2 3 3" xfId="1981" xr:uid="{35BBA409-9D6E-4D17-97A2-6128A72F1F02}"/>
    <cellStyle name="20% - Accent2 2 3 4" xfId="2165" xr:uid="{3338167F-7527-43B9-AE15-2153A6F928B1}"/>
    <cellStyle name="20% - Accent2 2 3 5" xfId="2816" xr:uid="{D4D87319-CE97-4C1A-8875-893B99830AFE}"/>
    <cellStyle name="20% - Accent2 2 3 6" xfId="3472" xr:uid="{26791553-B9F8-4E4B-A96D-B7BD1B386C17}"/>
    <cellStyle name="20% - Accent2 2 3 7" xfId="4135" xr:uid="{21B55525-3F50-4FDE-B8C3-93AB8F43E012}"/>
    <cellStyle name="20% - Accent2 2 4" xfId="1210" xr:uid="{D8BBB4F4-1BB1-4D1B-93DA-C3734C5F23CC}"/>
    <cellStyle name="20% - Accent2 2 4 2" xfId="1541" xr:uid="{3C4CA530-C8E0-4069-8298-AF73D3743880}"/>
    <cellStyle name="20% - Accent2 2 4 2 2" xfId="2600" xr:uid="{AA3B4315-A4F8-44D4-A390-C50F642D749F}"/>
    <cellStyle name="20% - Accent2 2 4 2 3" xfId="3251" xr:uid="{CADE2EEF-97F5-4CC0-909D-D040D2806787}"/>
    <cellStyle name="20% - Accent2 2 4 2 4" xfId="3907" xr:uid="{30051826-5C42-42CA-8634-6B70239FE15F}"/>
    <cellStyle name="20% - Accent2 2 4 2 5" xfId="4570" xr:uid="{CDF8CBC3-1809-441F-A8F9-18898173FC20}"/>
    <cellStyle name="20% - Accent2 2 4 3" xfId="2273" xr:uid="{24A7BAF4-1773-46CE-996D-C3505357E053}"/>
    <cellStyle name="20% - Accent2 2 4 4" xfId="2924" xr:uid="{FE8EDDC6-F5F8-4F41-8BE9-CFDBBB21DC9B}"/>
    <cellStyle name="20% - Accent2 2 4 5" xfId="3580" xr:uid="{BF44C943-E0EF-4144-9C8E-3D0F7A13592B}"/>
    <cellStyle name="20% - Accent2 2 4 6" xfId="4243" xr:uid="{E0CE9B28-10D0-427E-9F62-7927C91A478B}"/>
    <cellStyle name="20% - Accent2 2 5" xfId="1325" xr:uid="{93ACFC3D-135D-4882-B02A-00CFF03FA46C}"/>
    <cellStyle name="20% - Accent2 2 5 2" xfId="2384" xr:uid="{E9E02723-C053-4136-96ED-69DE1103626E}"/>
    <cellStyle name="20% - Accent2 2 5 3" xfId="3035" xr:uid="{B5E3770A-127B-4836-8C3C-33399A749E4C}"/>
    <cellStyle name="20% - Accent2 2 5 4" xfId="3691" xr:uid="{94BE2002-810E-4296-8A6F-929FB22258B9}"/>
    <cellStyle name="20% - Accent2 2 5 5" xfId="4354" xr:uid="{6D628D81-1344-40FD-8194-94578F094F83}"/>
    <cellStyle name="20% - Accent2 2 6" xfId="1896" xr:uid="{539EE0A6-FC5D-4B24-AB14-E73F3E8651AC}"/>
    <cellStyle name="20% - Accent2 2 7" xfId="2057" xr:uid="{F660AA49-1C6D-46A3-8A41-F7EFC32B7920}"/>
    <cellStyle name="20% - Accent2 2 8" xfId="2708" xr:uid="{AB461C3C-0AF0-4BC3-B3FD-DFACA8920984}"/>
    <cellStyle name="20% - Accent2 2 9" xfId="3363" xr:uid="{3CEC271A-2AB8-4792-87CB-5BF19B67081B}"/>
    <cellStyle name="20% - Accent2 3" xfId="252" xr:uid="{7C57494F-E7B7-45F5-A990-29B41D130BE7}"/>
    <cellStyle name="20% - Accent2 3 10" xfId="4045" xr:uid="{5B04BD65-59E0-4BC7-9042-BF23684CBF52}"/>
    <cellStyle name="20% - Accent2 3 11" xfId="1806" xr:uid="{5B26ED3F-85F6-44C2-9DF9-0DCE6FA8FDE1}"/>
    <cellStyle name="20% - Accent2 3 12" xfId="1728" xr:uid="{0CC5E99E-F0DB-4571-9A9E-CC81E55DA25F}"/>
    <cellStyle name="20% - Accent2 3 13" xfId="997" xr:uid="{A908A5CB-9F83-4341-A3D6-4568A1AA3E47}"/>
    <cellStyle name="20% - Accent2 3 2" xfId="348" xr:uid="{8A797124-5379-4EF3-8F6F-7D9E77E0FDA2}"/>
    <cellStyle name="20% - Accent2 3 2 10" xfId="1061" xr:uid="{D5F37E17-E5E5-4117-99D8-9F3E42B4243A}"/>
    <cellStyle name="20% - Accent2 3 2 2" xfId="464" xr:uid="{A36F51E4-7AC0-49F9-B489-45BE12781AE5}"/>
    <cellStyle name="20% - Accent2 3 2 2 2" xfId="683" xr:uid="{7BAEC71C-B987-4487-AD0E-2839EDE62826}"/>
    <cellStyle name="20% - Accent2 3 2 2 2 2" xfId="2564" xr:uid="{1D95C20C-5485-4D67-A000-9043486F939B}"/>
    <cellStyle name="20% - Accent2 3 2 2 2 3" xfId="3215" xr:uid="{0DFDE9DC-E0A0-48DC-AE4E-5D1E833D289C}"/>
    <cellStyle name="20% - Accent2 3 2 2 2 4" xfId="3871" xr:uid="{FFEC81EE-7918-4689-854A-9CD68E7A8F33}"/>
    <cellStyle name="20% - Accent2 3 2 2 2 5" xfId="4534" xr:uid="{29F314A3-9EAB-4A4C-8CEB-94C03A5A10B6}"/>
    <cellStyle name="20% - Accent2 3 2 2 2 6" xfId="1505" xr:uid="{88C9F01C-80EA-4817-A5E6-69CC8F6593E1}"/>
    <cellStyle name="20% - Accent2 3 2 2 3" xfId="1957" xr:uid="{E4CAFB76-4673-4E94-A07F-562C4951C8DF}"/>
    <cellStyle name="20% - Accent2 3 2 2 4" xfId="2237" xr:uid="{1A188311-8D91-4728-A839-7420E2D47B82}"/>
    <cellStyle name="20% - Accent2 3 2 2 5" xfId="2888" xr:uid="{7364B564-069E-4CB7-9E73-32777415915F}"/>
    <cellStyle name="20% - Accent2 3 2 2 6" xfId="3544" xr:uid="{9426BDFB-DACD-441F-9E11-B4AFA0F8A926}"/>
    <cellStyle name="20% - Accent2 3 2 2 7" xfId="4207" xr:uid="{F38E25B4-FFC5-45C4-8B5B-AE99764B7891}"/>
    <cellStyle name="20% - Accent2 3 2 2 8" xfId="1168" xr:uid="{A65024B2-7280-4CAD-A5F1-E7A8D260B5C2}"/>
    <cellStyle name="20% - Accent2 3 2 3" xfId="573" xr:uid="{BCF4B821-2DB7-4ED2-888E-B03FA3F49C78}"/>
    <cellStyle name="20% - Accent2 3 2 3 2" xfId="1613" xr:uid="{FC21670E-42DE-47DD-AD38-6EE75B48D120}"/>
    <cellStyle name="20% - Accent2 3 2 3 2 2" xfId="2672" xr:uid="{221C5FFA-97B2-41EA-A00C-E1EF2F1E9830}"/>
    <cellStyle name="20% - Accent2 3 2 3 2 3" xfId="3323" xr:uid="{940866A9-B78B-4129-9AAD-6875F639BC57}"/>
    <cellStyle name="20% - Accent2 3 2 3 2 4" xfId="3979" xr:uid="{88E4F055-34DF-4EFF-9826-8089F15BC69F}"/>
    <cellStyle name="20% - Accent2 3 2 3 2 5" xfId="4642" xr:uid="{4D0D407A-3C95-40B7-901B-6C06CF5FAB22}"/>
    <cellStyle name="20% - Accent2 3 2 3 3" xfId="2345" xr:uid="{55BCE48D-FE1B-4DD9-8F15-157193F5CE68}"/>
    <cellStyle name="20% - Accent2 3 2 3 4" xfId="2996" xr:uid="{F3EED492-13D4-4E3D-8073-1ABFF048B143}"/>
    <cellStyle name="20% - Accent2 3 2 3 5" xfId="3652" xr:uid="{5FE642B7-3F05-4E54-8A97-639873BD0BE1}"/>
    <cellStyle name="20% - Accent2 3 2 3 6" xfId="4315" xr:uid="{16CE9D60-045E-47FC-9B7E-8551E56861CC}"/>
    <cellStyle name="20% - Accent2 3 2 3 7" xfId="1282" xr:uid="{1D436FA9-03B3-448F-83EF-8977AE37997D}"/>
    <cellStyle name="20% - Accent2 3 2 4" xfId="1397" xr:uid="{AD1C44F9-9A71-44D8-AA85-3BFAF77346A3}"/>
    <cellStyle name="20% - Accent2 3 2 4 2" xfId="2456" xr:uid="{5402C94A-BF13-422A-8B75-DEC362F87870}"/>
    <cellStyle name="20% - Accent2 3 2 4 3" xfId="3107" xr:uid="{F0F794A2-8292-4127-9EEF-98906B353E82}"/>
    <cellStyle name="20% - Accent2 3 2 4 4" xfId="3763" xr:uid="{9C31AB81-1DB5-4087-9CB4-DABDB2D5DF01}"/>
    <cellStyle name="20% - Accent2 3 2 4 5" xfId="4426" xr:uid="{AA7AAE58-2690-428D-A622-EAB0804DE177}"/>
    <cellStyle name="20% - Accent2 3 2 5" xfId="1910" xr:uid="{6FF911FA-8785-4FCF-A7CE-A605E368F158}"/>
    <cellStyle name="20% - Accent2 3 2 6" xfId="2129" xr:uid="{38669FF5-8BF5-4AA8-AF77-96944629E435}"/>
    <cellStyle name="20% - Accent2 3 2 7" xfId="2780" xr:uid="{DAB3164C-9D7C-4CC4-AFC2-C549A752B3A2}"/>
    <cellStyle name="20% - Accent2 3 2 8" xfId="3436" xr:uid="{B4F84DDB-E6EF-4D1A-BA7C-280F7EC78EE9}"/>
    <cellStyle name="20% - Accent2 3 2 9" xfId="4099" xr:uid="{0B5B1BB2-229F-4042-8771-626DC67680A4}"/>
    <cellStyle name="20% - Accent2 3 3" xfId="421" xr:uid="{ADDAF1A9-9265-4610-974E-2AADA623CD47}"/>
    <cellStyle name="20% - Accent2 3 3 2" xfId="640" xr:uid="{FBCA78E4-FB6F-456F-99F7-A94EF08FCD29}"/>
    <cellStyle name="20% - Accent2 3 3 2 2" xfId="2510" xr:uid="{C70CFAFB-C329-42EB-A918-84CC42036A84}"/>
    <cellStyle name="20% - Accent2 3 3 2 3" xfId="3161" xr:uid="{E16702B9-C8FE-4CDF-8D47-1996450FEE40}"/>
    <cellStyle name="20% - Accent2 3 3 2 4" xfId="3817" xr:uid="{2A59E930-AEC6-422B-A5AC-1DB34CA6F37E}"/>
    <cellStyle name="20% - Accent2 3 3 2 5" xfId="4480" xr:uid="{15E25D0F-B045-403B-B23A-B302D8308DD6}"/>
    <cellStyle name="20% - Accent2 3 3 2 6" xfId="1451" xr:uid="{C2F11B19-2266-4F02-BECC-14C12C424D67}"/>
    <cellStyle name="20% - Accent2 3 3 3" xfId="2006" xr:uid="{34F2D8FD-E83A-4365-9EBA-55DDC4DA17C5}"/>
    <cellStyle name="20% - Accent2 3 3 4" xfId="2183" xr:uid="{4473E209-76B5-4ADB-A76F-C12D93AD8EF5}"/>
    <cellStyle name="20% - Accent2 3 3 5" xfId="2834" xr:uid="{EC306CAE-562C-49B2-8E01-6B63FF6B9506}"/>
    <cellStyle name="20% - Accent2 3 3 6" xfId="3490" xr:uid="{D32E638D-DDD9-4860-B00B-92B3AD346ECB}"/>
    <cellStyle name="20% - Accent2 3 3 7" xfId="4153" xr:uid="{0CC085B3-B336-416D-A9FC-1FAFAAADEF82}"/>
    <cellStyle name="20% - Accent2 3 3 8" xfId="1114" xr:uid="{1AA4EC84-A24F-42DC-A15A-27D99C9FFCD4}"/>
    <cellStyle name="20% - Accent2 3 4" xfId="530" xr:uid="{1B755CE5-F7F1-497B-8DED-671FC2F8A2B8}"/>
    <cellStyle name="20% - Accent2 3 4 2" xfId="1559" xr:uid="{D8575FA3-2AD2-4464-83C7-BA1F8D1FB496}"/>
    <cellStyle name="20% - Accent2 3 4 2 2" xfId="2618" xr:uid="{03A0DEF1-BFD4-4390-A7D7-560EDAB1E879}"/>
    <cellStyle name="20% - Accent2 3 4 2 3" xfId="3269" xr:uid="{0B4CF7CC-F83F-4930-A348-DB7467EC09AE}"/>
    <cellStyle name="20% - Accent2 3 4 2 4" xfId="3925" xr:uid="{05B20111-AE8A-4C31-A359-E04919D1D178}"/>
    <cellStyle name="20% - Accent2 3 4 2 5" xfId="4588" xr:uid="{EC0820B8-A45D-4495-95A8-3E1963F70798}"/>
    <cellStyle name="20% - Accent2 3 4 3" xfId="2291" xr:uid="{34DEB684-27C8-4DD4-AEC8-2C8D7603F7E4}"/>
    <cellStyle name="20% - Accent2 3 4 4" xfId="2942" xr:uid="{17EA3FF5-6AF2-4E35-99EE-3DAAAEFDEED7}"/>
    <cellStyle name="20% - Accent2 3 4 5" xfId="3598" xr:uid="{951D25D1-3DAA-4444-9D88-5837C81CB0AB}"/>
    <cellStyle name="20% - Accent2 3 4 6" xfId="4261" xr:uid="{79FFEE96-2189-4B4F-8A5D-960D4BE4BAF9}"/>
    <cellStyle name="20% - Accent2 3 4 7" xfId="1228" xr:uid="{0B4EB4BA-6121-46E2-BF30-488BD284ACDA}"/>
    <cellStyle name="20% - Accent2 3 5" xfId="300" xr:uid="{47BA1CD3-2820-4351-97D1-5698828C6B4C}"/>
    <cellStyle name="20% - Accent2 3 5 2" xfId="2402" xr:uid="{ADBDAAA0-5FC4-4A4A-8490-5C0D48094727}"/>
    <cellStyle name="20% - Accent2 3 5 3" xfId="3053" xr:uid="{D21D598E-873A-441C-B53D-CFB064964F8C}"/>
    <cellStyle name="20% - Accent2 3 5 4" xfId="3709" xr:uid="{0DE32E9E-26C3-4945-8923-00780E92099C}"/>
    <cellStyle name="20% - Accent2 3 5 5" xfId="4372" xr:uid="{48EF7180-9AC9-496F-913D-14017EDBC8C9}"/>
    <cellStyle name="20% - Accent2 3 5 6" xfId="1343" xr:uid="{8711929F-E857-43C4-B543-705AE6FDD08B}"/>
    <cellStyle name="20% - Accent2 3 6" xfId="2036" xr:uid="{5D5D4C6E-7887-4BC2-A46E-6E60D4FE4FBD}"/>
    <cellStyle name="20% - Accent2 3 7" xfId="2075" xr:uid="{4A58759A-63B5-4210-97A7-27335CD919BF}"/>
    <cellStyle name="20% - Accent2 3 8" xfId="2726" xr:uid="{89886023-BECD-43AF-9AB2-C7F42E717320}"/>
    <cellStyle name="20% - Accent2 3 9" xfId="3381" xr:uid="{EA63844E-719D-4BB4-B1F9-473E93602385}"/>
    <cellStyle name="20% - Accent2 4" xfId="367" xr:uid="{8F224347-8FA3-4E9C-B257-0C3F64D0B37B}"/>
    <cellStyle name="20% - Accent2 4 10" xfId="1028" xr:uid="{B401CCD3-4893-44E1-BCF1-3D0E06D7180E}"/>
    <cellStyle name="20% - Accent2 4 2" xfId="483" xr:uid="{1BDD141F-2828-4BC1-8F1E-EBF07371D271}"/>
    <cellStyle name="20% - Accent2 4 2 2" xfId="702" xr:uid="{D0A0E6A6-0642-44DF-954C-0C44B29D6CFB}"/>
    <cellStyle name="20% - Accent2 4 2 2 2" xfId="2531" xr:uid="{980DCFF3-85E3-4FE1-AC0E-76227E094D51}"/>
    <cellStyle name="20% - Accent2 4 2 2 3" xfId="3182" xr:uid="{D099926B-4D12-474A-B03E-9A634A8FD68C}"/>
    <cellStyle name="20% - Accent2 4 2 2 4" xfId="3838" xr:uid="{06656B18-8D7D-436E-B477-2C65070C85B4}"/>
    <cellStyle name="20% - Accent2 4 2 2 5" xfId="4501" xr:uid="{7E49FF5A-D792-449C-A633-1658D014DDA8}"/>
    <cellStyle name="20% - Accent2 4 2 2 6" xfId="1472" xr:uid="{D176BA1A-E854-4044-8454-28484797001A}"/>
    <cellStyle name="20% - Accent2 4 2 3" xfId="1943" xr:uid="{CC33BEC0-1336-42F2-9F95-8A48FCE0224A}"/>
    <cellStyle name="20% - Accent2 4 2 4" xfId="2204" xr:uid="{7BBD4B74-94A4-4BA2-B599-A51E280A92AB}"/>
    <cellStyle name="20% - Accent2 4 2 5" xfId="2855" xr:uid="{FFE9547D-C1FF-4298-A210-5904CD0F2E21}"/>
    <cellStyle name="20% - Accent2 4 2 6" xfId="3511" xr:uid="{DAFD11DF-0469-4F01-8D02-50ED3FA23222}"/>
    <cellStyle name="20% - Accent2 4 2 7" xfId="4174" xr:uid="{230683BC-481A-4A4D-B87D-40C79B3962BE}"/>
    <cellStyle name="20% - Accent2 4 2 8" xfId="1135" xr:uid="{80204D0B-E1B0-4FF8-BAC1-83502B5BB842}"/>
    <cellStyle name="20% - Accent2 4 3" xfId="592" xr:uid="{5D62D2B9-6703-4B2F-B721-1C7065EE0EF2}"/>
    <cellStyle name="20% - Accent2 4 3 2" xfId="1580" xr:uid="{C32EFF55-AC3F-44CA-98DE-73D433041453}"/>
    <cellStyle name="20% - Accent2 4 3 2 2" xfId="2639" xr:uid="{71F3E51C-1AF1-42B9-9674-71796C028ADE}"/>
    <cellStyle name="20% - Accent2 4 3 2 3" xfId="3290" xr:uid="{91B7C638-2C5C-4AA6-9331-B850C7A89CB3}"/>
    <cellStyle name="20% - Accent2 4 3 2 4" xfId="3946" xr:uid="{52DDEB5F-65B8-4A5B-A731-889513D8F1F1}"/>
    <cellStyle name="20% - Accent2 4 3 2 5" xfId="4609" xr:uid="{AC031685-2E37-4C89-B748-985C212846E5}"/>
    <cellStyle name="20% - Accent2 4 3 3" xfId="2312" xr:uid="{33CE60B7-9BEA-4F8D-9281-13BD67B1650D}"/>
    <cellStyle name="20% - Accent2 4 3 4" xfId="2963" xr:uid="{25BA5FDF-D7F4-431E-BD32-F453E4BA7D4D}"/>
    <cellStyle name="20% - Accent2 4 3 5" xfId="3619" xr:uid="{A21724D9-13A4-492D-B52E-7235AC8D13AB}"/>
    <cellStyle name="20% - Accent2 4 3 6" xfId="4282" xr:uid="{83E220CA-AE28-459C-8B29-AABAA85A0CD0}"/>
    <cellStyle name="20% - Accent2 4 3 7" xfId="1249" xr:uid="{E7B74D1C-2C11-47F9-9282-A5EBA93815E1}"/>
    <cellStyle name="20% - Accent2 4 4" xfId="1364" xr:uid="{CA258B41-F12F-40E4-B533-D6BA2EE6955F}"/>
    <cellStyle name="20% - Accent2 4 4 2" xfId="2423" xr:uid="{0A0A850E-90E9-4C5C-9B56-D75CFD297D35}"/>
    <cellStyle name="20% - Accent2 4 4 3" xfId="3074" xr:uid="{7A114FEE-C3C5-46EB-8A1A-7228CCBE40AF}"/>
    <cellStyle name="20% - Accent2 4 4 4" xfId="3730" xr:uid="{3D3CF18E-B40E-45E8-BAFE-9BF107C10E7C}"/>
    <cellStyle name="20% - Accent2 4 4 5" xfId="4393" xr:uid="{74325C92-7A9F-4495-AA9F-70023DDC65FA}"/>
    <cellStyle name="20% - Accent2 4 5" xfId="1984" xr:uid="{BEDCB156-6926-4FD2-89B7-EF195ABFBC00}"/>
    <cellStyle name="20% - Accent2 4 6" xfId="2096" xr:uid="{AC3C9EAE-ECEC-4018-8FE8-20451BF22ED1}"/>
    <cellStyle name="20% - Accent2 4 7" xfId="2747" xr:uid="{5FECF69C-F1DB-45A7-A191-3D4B8A370634}"/>
    <cellStyle name="20% - Accent2 4 8" xfId="3403" xr:uid="{2342371B-6B20-4164-95CC-0370E9CFA0AF}"/>
    <cellStyle name="20% - Accent2 4 9" xfId="4066" xr:uid="{C82F4E06-EF3A-489F-A4C0-49837B119BDE}"/>
    <cellStyle name="20% - Accent2 5" xfId="324" xr:uid="{8C5EAE3B-12FE-43C2-A131-D4372E452240}"/>
    <cellStyle name="20% - Accent2 5 10" xfId="1079" xr:uid="{B90204B5-BEA1-4C2C-9526-97E1F2968509}"/>
    <cellStyle name="20% - Accent2 5 2" xfId="445" xr:uid="{42B31E7C-549B-4C58-985D-3C8B3644F040}"/>
    <cellStyle name="20% - Accent2 5 2 2" xfId="664" xr:uid="{87564C52-5584-49E0-BC6E-E3321736CEE7}"/>
    <cellStyle name="20% - Accent2 5 2 2 2" xfId="2475" xr:uid="{138BBCB3-AE5A-43A3-A151-C4858FA8ACF5}"/>
    <cellStyle name="20% - Accent2 5 2 3" xfId="3126" xr:uid="{6B8D5F6D-4218-46E1-93C0-C94380441EA3}"/>
    <cellStyle name="20% - Accent2 5 2 4" xfId="3782" xr:uid="{8EE800C7-06AA-4AE7-8187-7B0EAB715618}"/>
    <cellStyle name="20% - Accent2 5 2 5" xfId="4445" xr:uid="{6CA28418-711B-4F89-87E4-CECCC918B1A4}"/>
    <cellStyle name="20% - Accent2 5 2 6" xfId="1416" xr:uid="{02749DD1-E297-47B8-9D65-AEB60C94A35E}"/>
    <cellStyle name="20% - Accent2 5 3" xfId="554" xr:uid="{0AB5E51A-4843-4E79-A0BE-32680ECF75D8}"/>
    <cellStyle name="20% - Accent2 5 3 2" xfId="1955" xr:uid="{D11F405A-8CDF-4990-9401-6362C89C8700}"/>
    <cellStyle name="20% - Accent2 5 4" xfId="2148" xr:uid="{157A61B7-E9EE-4784-A73A-9F57D938369E}"/>
    <cellStyle name="20% - Accent2 5 5" xfId="2799" xr:uid="{26B01A01-C3FE-43CF-A452-CF2DAA060E10}"/>
    <cellStyle name="20% - Accent2 5 6" xfId="3455" xr:uid="{68257A6D-CFB2-4930-9837-DA9FB1D043F1}"/>
    <cellStyle name="20% - Accent2 5 7" xfId="4118" xr:uid="{1A94141D-186F-4AE4-955E-1CE52BE31752}"/>
    <cellStyle name="20% - Accent2 5 8" xfId="1821" xr:uid="{25D543A8-43BC-4634-BEF1-79CBA397AA14}"/>
    <cellStyle name="20% - Accent2 5 9" xfId="1667" xr:uid="{33954F09-2156-4915-AAB7-0D114197956D}"/>
    <cellStyle name="20% - Accent2 6" xfId="398" xr:uid="{D147B8FC-BAB8-4139-83B2-88FAFB63F9A5}"/>
    <cellStyle name="20% - Accent2 6 2" xfId="618" xr:uid="{F8581BD8-1FAC-415C-B543-8A3C28CC5CB8}"/>
    <cellStyle name="20% - Accent2 6 2 2" xfId="2583" xr:uid="{2D356B59-E58D-4257-8EC8-E356F5A94384}"/>
    <cellStyle name="20% - Accent2 6 2 3" xfId="3234" xr:uid="{99228925-FC1A-468D-B04D-95AA2898852C}"/>
    <cellStyle name="20% - Accent2 6 2 4" xfId="3890" xr:uid="{8CBF305C-CF81-47AF-882D-8347FC5AA4B7}"/>
    <cellStyle name="20% - Accent2 6 2 5" xfId="4553" xr:uid="{F84E5665-9B27-40FC-9A4E-89A7E4E3A168}"/>
    <cellStyle name="20% - Accent2 6 2 6" xfId="1524" xr:uid="{ED34068D-D4F3-473F-BC95-1168BBD050C3}"/>
    <cellStyle name="20% - Accent2 6 3" xfId="2256" xr:uid="{43F1C359-6EA9-44F8-BEA1-4EB8A45DE3E1}"/>
    <cellStyle name="20% - Accent2 6 4" xfId="2907" xr:uid="{79BC8B40-B70B-4154-BF73-E763FD6A3256}"/>
    <cellStyle name="20% - Accent2 6 5" xfId="3563" xr:uid="{FEAF9C47-B8C3-47F0-899F-46499675954F}"/>
    <cellStyle name="20% - Accent2 6 6" xfId="4226" xr:uid="{7C81AF15-AEBA-4437-91F2-96F2A3898E59}"/>
    <cellStyle name="20% - Accent2 6 7" xfId="1193" xr:uid="{178D7A86-F961-4912-8BBA-F0BFE9B9D4C4}"/>
    <cellStyle name="20% - Accent2 7" xfId="508" xr:uid="{D78B3B9D-E16F-4A15-82DC-AF00D44A1D4D}"/>
    <cellStyle name="20% - Accent2 7 2" xfId="2367" xr:uid="{E1A407FF-1951-48A5-BF0D-7560B5C84F05}"/>
    <cellStyle name="20% - Accent2 7 3" xfId="3018" xr:uid="{79E548DD-F86C-42CE-844A-08DCE96D7220}"/>
    <cellStyle name="20% - Accent2 7 4" xfId="3674" xr:uid="{D668B761-96BA-4AE6-BE65-FBEEF685FCDC}"/>
    <cellStyle name="20% - Accent2 7 5" xfId="4337" xr:uid="{3B8109AB-3EA4-492A-A2C9-6A8FF76D6934}"/>
    <cellStyle name="20% - Accent2 7 6" xfId="1303" xr:uid="{9F0A351A-F256-442D-B452-8EA59A0B189A}"/>
    <cellStyle name="20% - Accent2 8" xfId="276" xr:uid="{53D37D63-95AD-425D-A9F9-CE8A7E521403}"/>
    <cellStyle name="20% - Accent2 8 2" xfId="1962" xr:uid="{A58C822B-4697-45CC-862F-252F689F5684}"/>
    <cellStyle name="20% - Accent2 9" xfId="2040" xr:uid="{D2D4CDE9-4236-4C10-99A6-3CC0D91F2FDB}"/>
    <cellStyle name="20% - Accent3" xfId="30" builtinId="38" customBuiltin="1"/>
    <cellStyle name="20% - Accent3 10" xfId="2693" xr:uid="{706C51F7-339B-4F36-BA16-FBABB0E4A033}"/>
    <cellStyle name="20% - Accent3 11" xfId="3347" xr:uid="{DEFBC0B1-FBA1-4A38-AEAA-5645F82EC74F}"/>
    <cellStyle name="20% - Accent3 12" xfId="4012" xr:uid="{7A44F1CB-B4A8-4782-9DE3-5EA704F5ECC3}"/>
    <cellStyle name="20% - Accent3 13" xfId="731" xr:uid="{6AF4D6FF-1565-43EB-BEF0-754F1967ECEB}"/>
    <cellStyle name="20% - Accent3 14" xfId="159" xr:uid="{5B97AFAB-A61B-4DF3-B2B5-05916B7DB27D}"/>
    <cellStyle name="20% - Accent3 2" xfId="80" xr:uid="{63447BBC-2412-45B7-9D68-04DDB65D35D6}"/>
    <cellStyle name="20% - Accent3 2 10" xfId="4028" xr:uid="{0FC458A8-500F-40D3-95A9-E90A9B1B9E07}"/>
    <cellStyle name="20% - Accent3 2 11" xfId="742" xr:uid="{CBADFACD-D117-4085-B66D-B7D3620123FC}"/>
    <cellStyle name="20% - Accent3 2 12" xfId="173" xr:uid="{C34B0376-2BBC-430F-A55A-CE3909DE7176}"/>
    <cellStyle name="20% - Accent3 2 2" xfId="1044" xr:uid="{4263457C-CB44-48F8-B58C-81B215AE6F57}"/>
    <cellStyle name="20% - Accent3 2 2 2" xfId="1151" xr:uid="{CD3A7804-1691-46F5-9559-8B516336843B}"/>
    <cellStyle name="20% - Accent3 2 2 2 2" xfId="1488" xr:uid="{E2B0B10F-1AB4-41BC-A769-DA9A0877D910}"/>
    <cellStyle name="20% - Accent3 2 2 2 2 2" xfId="2547" xr:uid="{F1025D02-75D2-463C-94A2-94754FA23CA6}"/>
    <cellStyle name="20% - Accent3 2 2 2 2 3" xfId="3198" xr:uid="{D74AF7BE-D7BA-46F1-AA2E-BF7700C87AAC}"/>
    <cellStyle name="20% - Accent3 2 2 2 2 4" xfId="3854" xr:uid="{2C4CD333-C421-4CA5-9306-EDEFCCC0C68A}"/>
    <cellStyle name="20% - Accent3 2 2 2 2 5" xfId="4517" xr:uid="{FE52DA87-F8E2-4457-A9F5-4B0FDE369FB0}"/>
    <cellStyle name="20% - Accent3 2 2 2 3" xfId="2017" xr:uid="{CD0383A1-0D36-44D9-894C-34A1E54CE459}"/>
    <cellStyle name="20% - Accent3 2 2 2 4" xfId="2220" xr:uid="{2F891753-B98B-409D-9806-B9E097768F74}"/>
    <cellStyle name="20% - Accent3 2 2 2 5" xfId="2871" xr:uid="{2B9C989C-C58B-43D5-A0A3-EB7F29D5F268}"/>
    <cellStyle name="20% - Accent3 2 2 2 6" xfId="3527" xr:uid="{BD2C424F-A5EA-4DB9-9158-F7CBAEEBE668}"/>
    <cellStyle name="20% - Accent3 2 2 2 7" xfId="4190" xr:uid="{6EC187D1-A7ED-40F7-B647-BAE6995E1258}"/>
    <cellStyle name="20% - Accent3 2 2 3" xfId="1265" xr:uid="{8787EE2B-5AD1-4A6E-AA96-97A67BCA15D7}"/>
    <cellStyle name="20% - Accent3 2 2 3 2" xfId="1596" xr:uid="{6D7A0230-B0B1-4EE3-8F0E-03FC13ED1C9C}"/>
    <cellStyle name="20% - Accent3 2 2 3 2 2" xfId="2655" xr:uid="{149984EB-2339-4470-97D5-108A063DD20B}"/>
    <cellStyle name="20% - Accent3 2 2 3 2 3" xfId="3306" xr:uid="{CC0BF385-1A7D-479B-9056-C6D95A409DAF}"/>
    <cellStyle name="20% - Accent3 2 2 3 2 4" xfId="3962" xr:uid="{8905B67D-0FD7-4D1A-A07E-DC9F074CA59A}"/>
    <cellStyle name="20% - Accent3 2 2 3 2 5" xfId="4625" xr:uid="{7806D620-56DC-413D-AF1F-0221D06FF2C1}"/>
    <cellStyle name="20% - Accent3 2 2 3 3" xfId="2328" xr:uid="{9B1E0D5A-5F8C-4E8B-8E08-770CE710A1B8}"/>
    <cellStyle name="20% - Accent3 2 2 3 4" xfId="2979" xr:uid="{574A68AE-BA28-468D-9CB1-E767DF8F0BF2}"/>
    <cellStyle name="20% - Accent3 2 2 3 5" xfId="3635" xr:uid="{F40114F4-A034-4E30-8970-8DF78BE0424F}"/>
    <cellStyle name="20% - Accent3 2 2 3 6" xfId="4298" xr:uid="{CA79B3FD-1823-48A0-878B-34D613698B7E}"/>
    <cellStyle name="20% - Accent3 2 2 4" xfId="1380" xr:uid="{B1BD8745-F1E1-409B-8F3C-86DA982B8019}"/>
    <cellStyle name="20% - Accent3 2 2 4 2" xfId="2439" xr:uid="{53FCAA64-CDFF-400D-A004-93D3300036B4}"/>
    <cellStyle name="20% - Accent3 2 2 4 3" xfId="3090" xr:uid="{F2BD1894-C6E2-4E81-9F2A-02E29F827634}"/>
    <cellStyle name="20% - Accent3 2 2 4 4" xfId="3746" xr:uid="{79C451DE-EF71-438A-9D68-3F0FD609164C}"/>
    <cellStyle name="20% - Accent3 2 2 4 5" xfId="4409" xr:uid="{20805260-6197-4E6F-B4EC-058B37898A44}"/>
    <cellStyle name="20% - Accent3 2 2 5" xfId="1921" xr:uid="{6742F58A-3DE1-494B-A714-5B5A8C380286}"/>
    <cellStyle name="20% - Accent3 2 2 6" xfId="2112" xr:uid="{121EEEFF-3FB6-4E54-94D7-D2142F6F850A}"/>
    <cellStyle name="20% - Accent3 2 2 7" xfId="2763" xr:uid="{B3E5CA2E-A3D8-4447-9FA6-AF29B569E840}"/>
    <cellStyle name="20% - Accent3 2 2 8" xfId="3419" xr:uid="{ED23A3C1-A83C-42B5-BEEA-98E22FE6D763}"/>
    <cellStyle name="20% - Accent3 2 2 9" xfId="4082" xr:uid="{43650E6F-4234-468D-BD3B-B889CCA571EB}"/>
    <cellStyle name="20% - Accent3 2 3" xfId="1097" xr:uid="{DE0083D8-C247-423E-B32C-338F7603A9BE}"/>
    <cellStyle name="20% - Accent3 2 3 2" xfId="1434" xr:uid="{6AADF3B3-CF0A-475C-A56E-82B753E91ADB}"/>
    <cellStyle name="20% - Accent3 2 3 2 2" xfId="2493" xr:uid="{87C49E56-E99D-48B7-AA29-AAC75BFA7DDE}"/>
    <cellStyle name="20% - Accent3 2 3 2 3" xfId="3144" xr:uid="{CA1F3C77-CBDA-4EF4-9B41-E20FC66129FA}"/>
    <cellStyle name="20% - Accent3 2 3 2 4" xfId="3800" xr:uid="{F6C98B36-4CF4-479A-9E1E-2D74A09BAA43}"/>
    <cellStyle name="20% - Accent3 2 3 2 5" xfId="4463" xr:uid="{352525DD-BE51-48F3-93F1-816422AEF4C4}"/>
    <cellStyle name="20% - Accent3 2 3 3" xfId="1872" xr:uid="{C795D58D-84FD-4EBD-8836-8BF69D4BE4AE}"/>
    <cellStyle name="20% - Accent3 2 3 4" xfId="2166" xr:uid="{43CAF566-9585-498E-804B-6A254A9DA22B}"/>
    <cellStyle name="20% - Accent3 2 3 5" xfId="2817" xr:uid="{2A4B2F2A-9DD1-46AC-A0A8-5B8112A61DA0}"/>
    <cellStyle name="20% - Accent3 2 3 6" xfId="3473" xr:uid="{E221F3B4-D908-4C87-BF16-EA32FE31C75B}"/>
    <cellStyle name="20% - Accent3 2 3 7" xfId="4136" xr:uid="{212D0AA5-EF21-4E61-804C-E23D8A3EE5BD}"/>
    <cellStyle name="20% - Accent3 2 4" xfId="1211" xr:uid="{156D5728-096B-4572-8B35-71EFB13DD927}"/>
    <cellStyle name="20% - Accent3 2 4 2" xfId="1542" xr:uid="{CCBFDF73-80EF-445B-8732-C85AD6133011}"/>
    <cellStyle name="20% - Accent3 2 4 2 2" xfId="2601" xr:uid="{25F12DB3-95A0-4FF7-98A7-17E4ED05AD3C}"/>
    <cellStyle name="20% - Accent3 2 4 2 3" xfId="3252" xr:uid="{4434C73B-CFD8-4E6F-9AB0-6B26EBE30004}"/>
    <cellStyle name="20% - Accent3 2 4 2 4" xfId="3908" xr:uid="{F7B6DD88-050F-49BA-90C0-F6205CA833C8}"/>
    <cellStyle name="20% - Accent3 2 4 2 5" xfId="4571" xr:uid="{49ADE07B-45C5-4B78-9B45-06738D4F7A9C}"/>
    <cellStyle name="20% - Accent3 2 4 3" xfId="2274" xr:uid="{E0D506FC-13C9-4779-A818-01BF04A78CF2}"/>
    <cellStyle name="20% - Accent3 2 4 4" xfId="2925" xr:uid="{F0EB2C74-FAEA-4B17-9B96-A199CF1472C1}"/>
    <cellStyle name="20% - Accent3 2 4 5" xfId="3581" xr:uid="{61702A4A-7098-414B-8A1C-3583E6FFC7B7}"/>
    <cellStyle name="20% - Accent3 2 4 6" xfId="4244" xr:uid="{ACF5EDF6-A395-48D2-B99F-BB352D26CB6D}"/>
    <cellStyle name="20% - Accent3 2 5" xfId="1326" xr:uid="{0CFA1FC0-75B7-45AB-8470-7B3C38CDB0C1}"/>
    <cellStyle name="20% - Accent3 2 5 2" xfId="2385" xr:uid="{C77F7A15-15CA-47A3-9E2D-9D349EFCC40C}"/>
    <cellStyle name="20% - Accent3 2 5 3" xfId="3036" xr:uid="{A0E22EA7-EE8C-4567-9317-D3EF2A02BC2C}"/>
    <cellStyle name="20% - Accent3 2 5 4" xfId="3692" xr:uid="{D0C2CFA3-0A08-4FCE-B640-F601ADD1C22D}"/>
    <cellStyle name="20% - Accent3 2 5 5" xfId="4355" xr:uid="{FA495720-392E-454C-A1BE-52FB93D99A08}"/>
    <cellStyle name="20% - Accent3 2 6" xfId="1902" xr:uid="{444F07DE-2C72-42F0-A2E4-AF006863F028}"/>
    <cellStyle name="20% - Accent3 2 7" xfId="2058" xr:uid="{A5449DEC-80FF-4988-BD2B-3EBE3E64FA41}"/>
    <cellStyle name="20% - Accent3 2 8" xfId="2709" xr:uid="{19C2380F-862C-45EC-986E-F0C5DC42E4DD}"/>
    <cellStyle name="20% - Accent3 2 9" xfId="3364" xr:uid="{CD671807-731B-4300-9C79-D1B2BAF19CAE}"/>
    <cellStyle name="20% - Accent3 3" xfId="254" xr:uid="{C4C14641-DDBD-4AD4-A6B9-50510825CA89}"/>
    <cellStyle name="20% - Accent3 3 10" xfId="4047" xr:uid="{D1DAAC61-CFD1-4F47-B875-1FE188406E1F}"/>
    <cellStyle name="20% - Accent3 3 11" xfId="1808" xr:uid="{00CF943F-B485-42D3-8F0F-89BAB04FA09D}"/>
    <cellStyle name="20% - Accent3 3 12" xfId="1735" xr:uid="{581175D9-7413-4B52-B7B0-94A51A12D1C0}"/>
    <cellStyle name="20% - Accent3 3 13" xfId="999" xr:uid="{95B6A4C4-F3D0-4384-818A-085EAFE8C14F}"/>
    <cellStyle name="20% - Accent3 3 2" xfId="350" xr:uid="{D4F46FC3-286B-4F09-B9DB-22BEB70CDC17}"/>
    <cellStyle name="20% - Accent3 3 2 10" xfId="1063" xr:uid="{0658F936-C6CD-4A12-97A9-EAB5372E052C}"/>
    <cellStyle name="20% - Accent3 3 2 2" xfId="466" xr:uid="{DB2C52AD-2D21-47F5-B093-AB1A5D2EDF48}"/>
    <cellStyle name="20% - Accent3 3 2 2 2" xfId="685" xr:uid="{322B2B29-7414-45E3-A322-5527BFB392EF}"/>
    <cellStyle name="20% - Accent3 3 2 2 2 2" xfId="2566" xr:uid="{26E6FE15-9975-45D8-BA34-FC5CFE1E16A0}"/>
    <cellStyle name="20% - Accent3 3 2 2 2 3" xfId="3217" xr:uid="{1EE16453-E0E8-4930-BAED-3FE042313075}"/>
    <cellStyle name="20% - Accent3 3 2 2 2 4" xfId="3873" xr:uid="{E8083DFE-8BE5-4B19-A4FC-577E81303079}"/>
    <cellStyle name="20% - Accent3 3 2 2 2 5" xfId="4536" xr:uid="{64F1C6E6-60FF-471C-B27A-F1BDD49563A3}"/>
    <cellStyle name="20% - Accent3 3 2 2 2 6" xfId="1507" xr:uid="{AE60C135-EF7A-4367-B1F4-7F7C01FBEA0B}"/>
    <cellStyle name="20% - Accent3 3 2 2 3" xfId="1784" xr:uid="{911D7DF3-111E-4D44-96DF-ECA10497BC53}"/>
    <cellStyle name="20% - Accent3 3 2 2 4" xfId="2239" xr:uid="{555CCAB4-C782-49D8-ADEF-8DE43293F91C}"/>
    <cellStyle name="20% - Accent3 3 2 2 5" xfId="2890" xr:uid="{AC83E20F-FA6D-4217-90E5-DF4CD08E9AAD}"/>
    <cellStyle name="20% - Accent3 3 2 2 6" xfId="3546" xr:uid="{355B59E5-DE24-455C-BB7B-25109B9772F9}"/>
    <cellStyle name="20% - Accent3 3 2 2 7" xfId="4209" xr:uid="{9991AEE0-6D57-4100-A635-A5CEE23A67B7}"/>
    <cellStyle name="20% - Accent3 3 2 2 8" xfId="1170" xr:uid="{365D4255-E495-4AFD-A362-408CBE5D4579}"/>
    <cellStyle name="20% - Accent3 3 2 3" xfId="575" xr:uid="{94ED1C34-B828-4413-AEFD-E8E78A761D3E}"/>
    <cellStyle name="20% - Accent3 3 2 3 2" xfId="1615" xr:uid="{44427019-F521-42BD-A5DA-29BE8C3A3799}"/>
    <cellStyle name="20% - Accent3 3 2 3 2 2" xfId="2674" xr:uid="{0E2B39BE-ABE8-46B1-9F68-B1441F74A09D}"/>
    <cellStyle name="20% - Accent3 3 2 3 2 3" xfId="3325" xr:uid="{188811D2-57DB-4A65-A1F4-53AD105A5FE4}"/>
    <cellStyle name="20% - Accent3 3 2 3 2 4" xfId="3981" xr:uid="{205AAFA9-7D4E-4645-8BAC-8D17519D041A}"/>
    <cellStyle name="20% - Accent3 3 2 3 2 5" xfId="4644" xr:uid="{745ABFD0-169B-4797-8963-57FFD0C416E2}"/>
    <cellStyle name="20% - Accent3 3 2 3 3" xfId="2347" xr:uid="{C929068A-11E2-47BF-BC58-C50EFAA1771F}"/>
    <cellStyle name="20% - Accent3 3 2 3 4" xfId="2998" xr:uid="{8D562B4C-DCEB-4891-A043-AEA49A3FC774}"/>
    <cellStyle name="20% - Accent3 3 2 3 5" xfId="3654" xr:uid="{5CFB29E0-6141-4639-85B3-08670D592F16}"/>
    <cellStyle name="20% - Accent3 3 2 3 6" xfId="4317" xr:uid="{6613E4D7-C18E-4823-BDF7-348F6C1D1090}"/>
    <cellStyle name="20% - Accent3 3 2 3 7" xfId="1284" xr:uid="{22D34390-7DC5-4999-8EB6-A359DACAD6E8}"/>
    <cellStyle name="20% - Accent3 3 2 4" xfId="1399" xr:uid="{FB23CD56-884B-43EC-B5C2-156D000BD4BC}"/>
    <cellStyle name="20% - Accent3 3 2 4 2" xfId="2458" xr:uid="{07087CA4-F030-426A-BA25-D4A08AA36268}"/>
    <cellStyle name="20% - Accent3 3 2 4 3" xfId="3109" xr:uid="{920C1D82-896F-4A61-ADAC-D846812D04FF}"/>
    <cellStyle name="20% - Accent3 3 2 4 4" xfId="3765" xr:uid="{9C028316-42A2-4845-8A8E-83B51A3AB4F7}"/>
    <cellStyle name="20% - Accent3 3 2 4 5" xfId="4428" xr:uid="{4347464D-FEE9-4612-A310-A5CE89096C3C}"/>
    <cellStyle name="20% - Accent3 3 2 5" xfId="1949" xr:uid="{1F9A07E2-33C2-4D03-8249-9DA1E2740254}"/>
    <cellStyle name="20% - Accent3 3 2 6" xfId="2131" xr:uid="{F6B73C4F-977E-4992-8023-B2120489A19A}"/>
    <cellStyle name="20% - Accent3 3 2 7" xfId="2782" xr:uid="{A26C8AD5-4AE1-4E3C-B47B-86C85D205243}"/>
    <cellStyle name="20% - Accent3 3 2 8" xfId="3438" xr:uid="{EC52F2DD-E43A-47F2-8FD0-F3DD5D7A41E7}"/>
    <cellStyle name="20% - Accent3 3 2 9" xfId="4101" xr:uid="{0035CDCD-497D-4601-80C6-205AC68F65B0}"/>
    <cellStyle name="20% - Accent3 3 3" xfId="423" xr:uid="{3E6278A0-ADEA-4CC2-9B38-1DCE347F7820}"/>
    <cellStyle name="20% - Accent3 3 3 2" xfId="642" xr:uid="{A07E0C9A-A062-4263-81F7-9D5D0EC5B9C0}"/>
    <cellStyle name="20% - Accent3 3 3 2 2" xfId="2512" xr:uid="{CED9D4F5-E8AF-45F8-B0B9-3395FD8DAA64}"/>
    <cellStyle name="20% - Accent3 3 3 2 3" xfId="3163" xr:uid="{8BCE75B9-934A-4431-A042-E26BFD3B92AA}"/>
    <cellStyle name="20% - Accent3 3 3 2 4" xfId="3819" xr:uid="{FB4324E6-9C4A-43A0-93BF-404C4E631CCD}"/>
    <cellStyle name="20% - Accent3 3 3 2 5" xfId="4482" xr:uid="{D66E3B1B-C23B-4605-8BCF-BD9ABEF0D570}"/>
    <cellStyle name="20% - Accent3 3 3 2 6" xfId="1453" xr:uid="{F995CCE7-79BE-4DFC-AD20-39299501F788}"/>
    <cellStyle name="20% - Accent3 3 3 3" xfId="2004" xr:uid="{2C2E69D0-C426-485B-A461-DB31974A1340}"/>
    <cellStyle name="20% - Accent3 3 3 4" xfId="2185" xr:uid="{832351E2-F7EE-46D9-8649-545C1BAA2F46}"/>
    <cellStyle name="20% - Accent3 3 3 5" xfId="2836" xr:uid="{EABF929F-C9D8-4748-B95E-B17212BADE0B}"/>
    <cellStyle name="20% - Accent3 3 3 6" xfId="3492" xr:uid="{8D2FCBDF-7A75-4312-8A52-4C70F2CA3885}"/>
    <cellStyle name="20% - Accent3 3 3 7" xfId="4155" xr:uid="{A527FB43-2A5E-4B14-AC90-81713A2B2531}"/>
    <cellStyle name="20% - Accent3 3 3 8" xfId="1116" xr:uid="{8EDC214B-71CB-4E24-B820-F9C0B4831622}"/>
    <cellStyle name="20% - Accent3 3 4" xfId="532" xr:uid="{EFA453A9-0045-4242-AE7F-4C6A28AB1F09}"/>
    <cellStyle name="20% - Accent3 3 4 2" xfId="1561" xr:uid="{89597D13-E7C6-4977-8A85-2CC95B80D102}"/>
    <cellStyle name="20% - Accent3 3 4 2 2" xfId="2620" xr:uid="{01049F7A-B3E9-4EE6-B7F7-AA0DB45381A8}"/>
    <cellStyle name="20% - Accent3 3 4 2 3" xfId="3271" xr:uid="{8027CAB7-4886-488A-8F7C-04C5A808C5AB}"/>
    <cellStyle name="20% - Accent3 3 4 2 4" xfId="3927" xr:uid="{6801EDED-7297-4082-B8D5-E83FDF20C3AB}"/>
    <cellStyle name="20% - Accent3 3 4 2 5" xfId="4590" xr:uid="{CB98084C-77F5-4CF6-8092-12EFCEFADA8F}"/>
    <cellStyle name="20% - Accent3 3 4 3" xfId="2293" xr:uid="{41175205-C05F-4F87-B939-AFFAF4B66D58}"/>
    <cellStyle name="20% - Accent3 3 4 4" xfId="2944" xr:uid="{BDC7B0E9-9739-4FF2-8B6F-9A0BE47E51B4}"/>
    <cellStyle name="20% - Accent3 3 4 5" xfId="3600" xr:uid="{8F6F2408-1607-487D-831A-3FFBBA047667}"/>
    <cellStyle name="20% - Accent3 3 4 6" xfId="4263" xr:uid="{5C6A24DA-D9B6-42DB-AEE2-5C0304B2D444}"/>
    <cellStyle name="20% - Accent3 3 4 7" xfId="1230" xr:uid="{F7F3914B-553D-41F7-BC28-123C00BB4592}"/>
    <cellStyle name="20% - Accent3 3 5" xfId="302" xr:uid="{DC4314A2-9D89-4C6B-AD66-8629B31EE2FF}"/>
    <cellStyle name="20% - Accent3 3 5 2" xfId="2404" xr:uid="{67CA956C-ABE7-4279-9576-2D01263C93FD}"/>
    <cellStyle name="20% - Accent3 3 5 3" xfId="3055" xr:uid="{5C4B066F-18A0-45CE-B601-440BFF0E962D}"/>
    <cellStyle name="20% - Accent3 3 5 4" xfId="3711" xr:uid="{05CF254A-CD9C-4A9B-8F54-C07A9C91DE3A}"/>
    <cellStyle name="20% - Accent3 3 5 5" xfId="4374" xr:uid="{40570B8A-B86E-4631-8C9D-699FB8CA8046}"/>
    <cellStyle name="20% - Accent3 3 5 6" xfId="1345" xr:uid="{2B105CCE-2F2E-4F5B-9FC1-ADB645BC682B}"/>
    <cellStyle name="20% - Accent3 3 6" xfId="2034" xr:uid="{27FAACD0-50A3-488C-A75A-EF009E36DDC1}"/>
    <cellStyle name="20% - Accent3 3 7" xfId="2077" xr:uid="{2616CF8B-C95B-41EB-A753-4071B6261481}"/>
    <cellStyle name="20% - Accent3 3 8" xfId="2728" xr:uid="{FE908A18-EA57-4112-86A8-AA194DEF9234}"/>
    <cellStyle name="20% - Accent3 3 9" xfId="3383" xr:uid="{0F055349-6D90-4F88-B882-9435FD0298E9}"/>
    <cellStyle name="20% - Accent3 4" xfId="369" xr:uid="{8AE4F5A2-DDC4-4E2B-BD26-595C530B6778}"/>
    <cellStyle name="20% - Accent3 4 10" xfId="1030" xr:uid="{8FC0A9B4-BF8D-4A5B-AA7B-B0D7884E8E1D}"/>
    <cellStyle name="20% - Accent3 4 2" xfId="485" xr:uid="{BD942A85-8607-4C07-A148-AD56C2F1FFB5}"/>
    <cellStyle name="20% - Accent3 4 2 2" xfId="704" xr:uid="{74CEAF75-99D1-43E8-B71D-EFB03761EDDA}"/>
    <cellStyle name="20% - Accent3 4 2 2 2" xfId="2533" xr:uid="{E7F13277-44DB-4AA3-AEC7-1BC8FB39AE1A}"/>
    <cellStyle name="20% - Accent3 4 2 2 3" xfId="3184" xr:uid="{99513D65-574C-483A-A413-DF53FB3238EF}"/>
    <cellStyle name="20% - Accent3 4 2 2 4" xfId="3840" xr:uid="{F2B4F60A-9CFF-4223-A5F2-914B0E42D3C2}"/>
    <cellStyle name="20% - Accent3 4 2 2 5" xfId="4503" xr:uid="{F3D83FF6-39E6-4D9A-8BFE-71528FD2BB05}"/>
    <cellStyle name="20% - Accent3 4 2 2 6" xfId="1474" xr:uid="{3B0C02C2-D81C-4EC2-AE5D-0B5E901ADDC4}"/>
    <cellStyle name="20% - Accent3 4 2 3" xfId="1940" xr:uid="{80A7013F-1FDB-4DF4-96AB-C8D2E6A25DDA}"/>
    <cellStyle name="20% - Accent3 4 2 4" xfId="2206" xr:uid="{65D87F51-C0FB-4C55-9396-71C26D3D18E9}"/>
    <cellStyle name="20% - Accent3 4 2 5" xfId="2857" xr:uid="{D8029F4B-EDA8-4150-867A-F63A223FB5AE}"/>
    <cellStyle name="20% - Accent3 4 2 6" xfId="3513" xr:uid="{9E096026-E597-4685-818E-034A28E61F71}"/>
    <cellStyle name="20% - Accent3 4 2 7" xfId="4176" xr:uid="{F10C0B70-B967-42A2-9339-55FFF30079CA}"/>
    <cellStyle name="20% - Accent3 4 2 8" xfId="1137" xr:uid="{526EAEC2-70BE-4FDA-96B2-7BA8A720A7CF}"/>
    <cellStyle name="20% - Accent3 4 3" xfId="594" xr:uid="{11FAE860-BB83-4D8D-8C9D-885C214FF994}"/>
    <cellStyle name="20% - Accent3 4 3 2" xfId="1582" xr:uid="{4A210AA4-66F8-4E94-A22F-84C2BDB4BCAB}"/>
    <cellStyle name="20% - Accent3 4 3 2 2" xfId="2641" xr:uid="{6DF2C167-2D7B-416F-8D06-FA2FBC970F92}"/>
    <cellStyle name="20% - Accent3 4 3 2 3" xfId="3292" xr:uid="{A643FD09-89B5-4D5F-9F2B-CB0DB5EF2604}"/>
    <cellStyle name="20% - Accent3 4 3 2 4" xfId="3948" xr:uid="{104A1982-2F08-4F48-B7F8-09BEAD72C779}"/>
    <cellStyle name="20% - Accent3 4 3 2 5" xfId="4611" xr:uid="{58BFEF9B-AA74-41A9-AD8C-5213A0C237BF}"/>
    <cellStyle name="20% - Accent3 4 3 3" xfId="2314" xr:uid="{0DEC6F06-BFFE-40F0-9220-CFC6304C5346}"/>
    <cellStyle name="20% - Accent3 4 3 4" xfId="2965" xr:uid="{13659C24-E5C4-46CB-ABF5-1791D1617E53}"/>
    <cellStyle name="20% - Accent3 4 3 5" xfId="3621" xr:uid="{D4E406FE-5F5C-4BA1-8FB5-E436C65F0F16}"/>
    <cellStyle name="20% - Accent3 4 3 6" xfId="4284" xr:uid="{7EBAC9EF-6011-4C67-88D9-469E6D869412}"/>
    <cellStyle name="20% - Accent3 4 3 7" xfId="1251" xr:uid="{D8B78500-8E45-4C78-B1AC-385A3AA5981C}"/>
    <cellStyle name="20% - Accent3 4 4" xfId="1366" xr:uid="{653328D2-7B6E-450C-8CF0-45D59D9861AD}"/>
    <cellStyle name="20% - Accent3 4 4 2" xfId="2425" xr:uid="{A67AD0FE-9CA3-415A-A974-3D900042D1E6}"/>
    <cellStyle name="20% - Accent3 4 4 3" xfId="3076" xr:uid="{D4D3F4B6-AA99-4D98-A522-36F5C9D95664}"/>
    <cellStyle name="20% - Accent3 4 4 4" xfId="3732" xr:uid="{01E8027E-6CC2-449A-A826-350043FB907E}"/>
    <cellStyle name="20% - Accent3 4 4 5" xfId="4395" xr:uid="{4499DBF2-6122-4ADA-A20E-38B5749EC492}"/>
    <cellStyle name="20% - Accent3 4 5" xfId="1914" xr:uid="{CA319643-58CD-4253-91BC-F1E4972E70A6}"/>
    <cellStyle name="20% - Accent3 4 6" xfId="2098" xr:uid="{B1226624-C3EE-44B1-A5CA-078CA285B0F4}"/>
    <cellStyle name="20% - Accent3 4 7" xfId="2749" xr:uid="{3F578680-859F-4AD1-ACDF-99AD7D54E574}"/>
    <cellStyle name="20% - Accent3 4 8" xfId="3405" xr:uid="{975CD414-08DC-4957-BF65-E89C352273AF}"/>
    <cellStyle name="20% - Accent3 4 9" xfId="4068" xr:uid="{89D9413C-B22B-4A88-9881-CBDC338E8E73}"/>
    <cellStyle name="20% - Accent3 5" xfId="326" xr:uid="{CD9EA4BC-F6E0-4F24-90A9-0DD7BA353BEB}"/>
    <cellStyle name="20% - Accent3 5 10" xfId="1081" xr:uid="{9DBC9E52-E9F7-41A1-AEA8-2F40B742A9A2}"/>
    <cellStyle name="20% - Accent3 5 2" xfId="447" xr:uid="{345AC581-6BD0-4B60-B61F-B611759DB61B}"/>
    <cellStyle name="20% - Accent3 5 2 2" xfId="666" xr:uid="{9AFDF49E-C76A-44B1-B3CA-A4C65F4F0F0A}"/>
    <cellStyle name="20% - Accent3 5 2 2 2" xfId="2477" xr:uid="{DF87B5CD-2BC2-40D8-93FA-ACC0DD9CB19E}"/>
    <cellStyle name="20% - Accent3 5 2 3" xfId="3128" xr:uid="{AC54B317-29C3-4CAF-8A08-62FB76A18563}"/>
    <cellStyle name="20% - Accent3 5 2 4" xfId="3784" xr:uid="{F9D2A5DC-08B5-4764-A19D-D3D50201D5EE}"/>
    <cellStyle name="20% - Accent3 5 2 5" xfId="4447" xr:uid="{BC1E72C9-36E2-435A-86CA-E9C5BFFA032F}"/>
    <cellStyle name="20% - Accent3 5 2 6" xfId="1418" xr:uid="{A71B305A-3B33-4C81-8940-A7CFBD1FBE90}"/>
    <cellStyle name="20% - Accent3 5 3" xfId="556" xr:uid="{E6C58559-B48F-4E5F-8C0A-BC3BC7F2DAAC}"/>
    <cellStyle name="20% - Accent3 5 3 2" xfId="2011" xr:uid="{127A5A26-02FF-417C-87EC-3A5186BDE71B}"/>
    <cellStyle name="20% - Accent3 5 4" xfId="2150" xr:uid="{34F4593E-7876-4131-A459-198CC9957850}"/>
    <cellStyle name="20% - Accent3 5 5" xfId="2801" xr:uid="{934D7F59-EC64-41B0-B94F-78575053AA28}"/>
    <cellStyle name="20% - Accent3 5 6" xfId="3457" xr:uid="{973D328C-B9B1-4A6B-B73B-744048B4CA61}"/>
    <cellStyle name="20% - Accent3 5 7" xfId="4120" xr:uid="{00218D0A-C950-41B8-972A-5632C0EEF628}"/>
    <cellStyle name="20% - Accent3 5 8" xfId="1823" xr:uid="{D710351B-E08E-41BC-A9B9-3FB717328175}"/>
    <cellStyle name="20% - Accent3 5 9" xfId="1671" xr:uid="{4288F577-63D0-4F11-BCDF-54E029E998C7}"/>
    <cellStyle name="20% - Accent3 6" xfId="400" xr:uid="{0943A936-8A49-4035-BCA2-48B53E0BB65E}"/>
    <cellStyle name="20% - Accent3 6 2" xfId="620" xr:uid="{8CD50E4C-BF1D-4E4E-AA99-63AB2CF66730}"/>
    <cellStyle name="20% - Accent3 6 2 2" xfId="2585" xr:uid="{028018DD-66B7-4C1F-BECD-38D6D8148782}"/>
    <cellStyle name="20% - Accent3 6 2 3" xfId="3236" xr:uid="{A4B4E5F9-D886-41E1-925B-DD4C806C7C65}"/>
    <cellStyle name="20% - Accent3 6 2 4" xfId="3892" xr:uid="{375000BA-C37F-4F79-82D4-82FCD191F609}"/>
    <cellStyle name="20% - Accent3 6 2 5" xfId="4555" xr:uid="{2E612EC7-80ED-4F6D-B788-EB5CBBF7C3BF}"/>
    <cellStyle name="20% - Accent3 6 2 6" xfId="1526" xr:uid="{98B6FD5D-62FA-40F7-8447-3D1C455544F2}"/>
    <cellStyle name="20% - Accent3 6 3" xfId="2258" xr:uid="{4C99DD65-9C38-44CA-8515-20C241C97101}"/>
    <cellStyle name="20% - Accent3 6 4" xfId="2909" xr:uid="{4C5FBFFC-67D7-4F39-87F9-F463E678FA33}"/>
    <cellStyle name="20% - Accent3 6 5" xfId="3565" xr:uid="{0BE860F2-B84B-4981-9762-A8FDF208A6B1}"/>
    <cellStyle name="20% - Accent3 6 6" xfId="4228" xr:uid="{FA7B1043-4872-4B81-A456-2028E3F41B8A}"/>
    <cellStyle name="20% - Accent3 6 7" xfId="1195" xr:uid="{814537B2-C11C-4CCB-BA49-8EB10D8A66BA}"/>
    <cellStyle name="20% - Accent3 7" xfId="510" xr:uid="{3F33126D-D74A-4FEF-85CC-79666C25ECFF}"/>
    <cellStyle name="20% - Accent3 7 2" xfId="2369" xr:uid="{DB7466FB-11EC-400E-87DD-5D87284A6B50}"/>
    <cellStyle name="20% - Accent3 7 3" xfId="3020" xr:uid="{9D0E8900-CE36-4F37-8585-D6C3B4130779}"/>
    <cellStyle name="20% - Accent3 7 4" xfId="3676" xr:uid="{43D22ABF-F5D1-4316-92BA-2CE4FBA48780}"/>
    <cellStyle name="20% - Accent3 7 5" xfId="4339" xr:uid="{70C7AF2E-3060-4BA2-9653-11068239E81D}"/>
    <cellStyle name="20% - Accent3 7 6" xfId="1305" xr:uid="{08495146-AE1D-4EBE-968E-BDEF37493CE5}"/>
    <cellStyle name="20% - Accent3 8" xfId="278" xr:uid="{3FD65A5A-30FC-46EE-8777-485DE2CF35B1}"/>
    <cellStyle name="20% - Accent3 8 2" xfId="1992" xr:uid="{A4DFF232-4EDC-4AA6-8E7A-E03D4BA43AFE}"/>
    <cellStyle name="20% - Accent3 9" xfId="2042" xr:uid="{E9578893-3E5F-47C3-89CE-933F84EB3398}"/>
    <cellStyle name="20% - Accent4" xfId="34" builtinId="42" customBuiltin="1"/>
    <cellStyle name="20% - Accent4 10" xfId="2695" xr:uid="{F2CBC36E-DFAE-4F74-9A22-506C9B7DC358}"/>
    <cellStyle name="20% - Accent4 11" xfId="3349" xr:uid="{B0829BC8-63AB-41C5-8406-0CEF19F67CC9}"/>
    <cellStyle name="20% - Accent4 12" xfId="4014" xr:uid="{A572074D-C7A0-49D4-A768-DCB5CF02634D}"/>
    <cellStyle name="20% - Accent4 13" xfId="733" xr:uid="{DB434367-8589-44A8-BDC9-D7C6B4B61D23}"/>
    <cellStyle name="20% - Accent4 14" xfId="161" xr:uid="{C6A8F00F-8ACB-4AC1-A5D0-759283C61210}"/>
    <cellStyle name="20% - Accent4 2" xfId="81" xr:uid="{BF4B0D87-712B-432F-961B-E477FD3AC0F2}"/>
    <cellStyle name="20% - Accent4 2 10" xfId="4029" xr:uid="{BE82030F-F889-4EEF-B41A-8115E54703A1}"/>
    <cellStyle name="20% - Accent4 2 11" xfId="743" xr:uid="{8B02BDFD-768A-489E-AD06-750221E49577}"/>
    <cellStyle name="20% - Accent4 2 12" xfId="174" xr:uid="{BC9AEDAA-93FE-4DE9-93EE-D22D7153C9A4}"/>
    <cellStyle name="20% - Accent4 2 2" xfId="1045" xr:uid="{E4F742D2-5DBC-4E58-9FB6-59E5FD29AF36}"/>
    <cellStyle name="20% - Accent4 2 2 2" xfId="1152" xr:uid="{320F693C-BE3D-47BD-BA13-1680605EFCBD}"/>
    <cellStyle name="20% - Accent4 2 2 2 2" xfId="1489" xr:uid="{8400A4E3-B27F-4FFF-B7EF-33E100C863EC}"/>
    <cellStyle name="20% - Accent4 2 2 2 2 2" xfId="2548" xr:uid="{8782F342-304C-46F0-9118-6AC48777A6C9}"/>
    <cellStyle name="20% - Accent4 2 2 2 2 3" xfId="3199" xr:uid="{1FD0EEFB-58A7-4380-9914-9A4DC688B9C8}"/>
    <cellStyle name="20% - Accent4 2 2 2 2 4" xfId="3855" xr:uid="{39FA05ED-5528-4DF4-B2E1-F07DC2F7FF78}"/>
    <cellStyle name="20% - Accent4 2 2 2 2 5" xfId="4518" xr:uid="{7CAA22C1-FD13-43F2-83CE-D249144A7BB7}"/>
    <cellStyle name="20% - Accent4 2 2 2 3" xfId="2023" xr:uid="{6F5F883C-430F-4559-B4B2-1C572B54D2A1}"/>
    <cellStyle name="20% - Accent4 2 2 2 4" xfId="2221" xr:uid="{AC4A3D45-D321-4113-88B5-C52F18809603}"/>
    <cellStyle name="20% - Accent4 2 2 2 5" xfId="2872" xr:uid="{ED779FB5-CF3A-42EC-9F32-F0E91B390C16}"/>
    <cellStyle name="20% - Accent4 2 2 2 6" xfId="3528" xr:uid="{540C4EFD-473F-4B42-B2A2-AE60FBE46992}"/>
    <cellStyle name="20% - Accent4 2 2 2 7" xfId="4191" xr:uid="{E9244701-95A0-4376-8C1F-DCFEB5F7145D}"/>
    <cellStyle name="20% - Accent4 2 2 3" xfId="1266" xr:uid="{E69FBE60-24DB-4BE7-8647-5A56888F3F3F}"/>
    <cellStyle name="20% - Accent4 2 2 3 2" xfId="1597" xr:uid="{308FD365-F9E5-47FF-A8ED-288389E52BC9}"/>
    <cellStyle name="20% - Accent4 2 2 3 2 2" xfId="2656" xr:uid="{5A5E59E9-B347-490F-9EB2-C1F257C07461}"/>
    <cellStyle name="20% - Accent4 2 2 3 2 3" xfId="3307" xr:uid="{8892C37B-E5B9-471B-98C7-07BE3F508D89}"/>
    <cellStyle name="20% - Accent4 2 2 3 2 4" xfId="3963" xr:uid="{D7A4835E-079C-4B9E-B844-25059A87D0B7}"/>
    <cellStyle name="20% - Accent4 2 2 3 2 5" xfId="4626" xr:uid="{F21E5C22-23E2-422E-9328-5028B8A2324F}"/>
    <cellStyle name="20% - Accent4 2 2 3 3" xfId="2329" xr:uid="{FB350C7E-20DE-453E-8186-64A1186D4D1B}"/>
    <cellStyle name="20% - Accent4 2 2 3 4" xfId="2980" xr:uid="{6881F252-DBCC-4AAA-A709-6B1C42FE2419}"/>
    <cellStyle name="20% - Accent4 2 2 3 5" xfId="3636" xr:uid="{9C15F71F-B486-41B8-89F5-D865EAF29E54}"/>
    <cellStyle name="20% - Accent4 2 2 3 6" xfId="4299" xr:uid="{9C46A358-4020-407D-B1E6-B082C9DE4A2C}"/>
    <cellStyle name="20% - Accent4 2 2 4" xfId="1381" xr:uid="{E6DE62BC-F798-40B7-A8F5-FDB23A84C501}"/>
    <cellStyle name="20% - Accent4 2 2 4 2" xfId="2440" xr:uid="{02CC2263-43A5-40D8-8455-A56223F86384}"/>
    <cellStyle name="20% - Accent4 2 2 4 3" xfId="3091" xr:uid="{6644D4DF-91A9-412F-8C48-23D7A29500BF}"/>
    <cellStyle name="20% - Accent4 2 2 4 4" xfId="3747" xr:uid="{0137EEC7-6CCF-4F27-8B22-20F0AB7A73A2}"/>
    <cellStyle name="20% - Accent4 2 2 4 5" xfId="4410" xr:uid="{87725593-9263-4893-A5DA-A0B3DA52CC39}"/>
    <cellStyle name="20% - Accent4 2 2 5" xfId="1889" xr:uid="{E61137F5-AE4A-493E-9478-ED9C23232C53}"/>
    <cellStyle name="20% - Accent4 2 2 6" xfId="2113" xr:uid="{AE574213-1EA4-4E9B-B77A-DF535E560D1A}"/>
    <cellStyle name="20% - Accent4 2 2 7" xfId="2764" xr:uid="{83C68658-082B-4458-AD6C-6F595914C185}"/>
    <cellStyle name="20% - Accent4 2 2 8" xfId="3420" xr:uid="{B4110C64-CB1D-409E-98EB-8D98D8B69499}"/>
    <cellStyle name="20% - Accent4 2 2 9" xfId="4083" xr:uid="{48AB0702-FCE9-4D27-95AB-3115F72D0711}"/>
    <cellStyle name="20% - Accent4 2 3" xfId="1098" xr:uid="{2B3CCE57-32C6-4376-801F-89B359D5B1FF}"/>
    <cellStyle name="20% - Accent4 2 3 2" xfId="1435" xr:uid="{DC2BE029-BB27-4602-AD30-7ABF3A0FA8E8}"/>
    <cellStyle name="20% - Accent4 2 3 2 2" xfId="2494" xr:uid="{22C245FA-D040-4604-B4AC-EA0A586D5A04}"/>
    <cellStyle name="20% - Accent4 2 3 2 3" xfId="3145" xr:uid="{3D7C8C6C-F59B-4E59-BC2A-993CD08E6BD1}"/>
    <cellStyle name="20% - Accent4 2 3 2 4" xfId="3801" xr:uid="{070E04FD-921C-400A-8E82-09B5A6172173}"/>
    <cellStyle name="20% - Accent4 2 3 2 5" xfId="4464" xr:uid="{87DF6669-BC58-4A98-BA7D-1D1C1B939FFE}"/>
    <cellStyle name="20% - Accent4 2 3 3" xfId="1873" xr:uid="{885692F5-E17D-43BF-8E89-15B31628C7C2}"/>
    <cellStyle name="20% - Accent4 2 3 4" xfId="2167" xr:uid="{950E3975-439B-41D1-8CA4-3708C24C7F7D}"/>
    <cellStyle name="20% - Accent4 2 3 5" xfId="2818" xr:uid="{830521DB-84BC-45A7-949F-FA4DC462743F}"/>
    <cellStyle name="20% - Accent4 2 3 6" xfId="3474" xr:uid="{FA606AAE-B729-4B24-8C23-A134F3CFB301}"/>
    <cellStyle name="20% - Accent4 2 3 7" xfId="4137" xr:uid="{E90C6D41-6019-4CC2-B344-C0BEB6A2E5B0}"/>
    <cellStyle name="20% - Accent4 2 4" xfId="1212" xr:uid="{F431DD2B-73D3-4BA9-BBFD-4CD674F13A9B}"/>
    <cellStyle name="20% - Accent4 2 4 2" xfId="1543" xr:uid="{29795920-5B5A-418C-A622-C7BC7D7110BE}"/>
    <cellStyle name="20% - Accent4 2 4 2 2" xfId="2602" xr:uid="{0ACBE6DC-B113-427B-A0DE-1F25C4DD1BF9}"/>
    <cellStyle name="20% - Accent4 2 4 2 3" xfId="3253" xr:uid="{7A32B5A5-7D1A-43AC-B1C8-61AF0C9149E0}"/>
    <cellStyle name="20% - Accent4 2 4 2 4" xfId="3909" xr:uid="{7EA5719A-5D0D-46D3-BC9B-C276C9AE2338}"/>
    <cellStyle name="20% - Accent4 2 4 2 5" xfId="4572" xr:uid="{4399E6BB-DC39-44F5-A439-0A25397F09CB}"/>
    <cellStyle name="20% - Accent4 2 4 3" xfId="2275" xr:uid="{8223BD7F-D177-41DA-BBBC-774A2FB8F8A6}"/>
    <cellStyle name="20% - Accent4 2 4 4" xfId="2926" xr:uid="{FFD17386-E97B-4EB7-A624-3A39D8B2EF75}"/>
    <cellStyle name="20% - Accent4 2 4 5" xfId="3582" xr:uid="{75812152-5C67-49FB-A1A6-AB1377E6723F}"/>
    <cellStyle name="20% - Accent4 2 4 6" xfId="4245" xr:uid="{C8355A80-9044-420C-A6B7-5FF9CB52B19A}"/>
    <cellStyle name="20% - Accent4 2 5" xfId="1327" xr:uid="{DAF2A7F8-BFC5-4341-AA17-9DBCF40A5D4D}"/>
    <cellStyle name="20% - Accent4 2 5 2" xfId="2386" xr:uid="{DF44CBF9-84B1-4598-89CD-E3E13B6C3E60}"/>
    <cellStyle name="20% - Accent4 2 5 3" xfId="3037" xr:uid="{0CAB342E-1A11-4AC0-8C31-0C1860632987}"/>
    <cellStyle name="20% - Accent4 2 5 4" xfId="3693" xr:uid="{0B7169D1-0683-427A-8979-BDD9483C5AB9}"/>
    <cellStyle name="20% - Accent4 2 5 5" xfId="4356" xr:uid="{6319F368-C6CB-4187-9E10-79772BD23D3A}"/>
    <cellStyle name="20% - Accent4 2 6" xfId="1835" xr:uid="{3D48C969-8B1F-40D2-A761-49B7FD212B70}"/>
    <cellStyle name="20% - Accent4 2 7" xfId="2059" xr:uid="{15F047E1-7E1F-4EE4-B777-DEB393DDA2AC}"/>
    <cellStyle name="20% - Accent4 2 8" xfId="2710" xr:uid="{B9884AC5-BFD6-4472-A881-350F6728C1E4}"/>
    <cellStyle name="20% - Accent4 2 9" xfId="3365" xr:uid="{196C1CF5-0EE8-4965-8F9F-7EF43CB8A9AB}"/>
    <cellStyle name="20% - Accent4 3" xfId="256" xr:uid="{9A916B9B-6CAB-41EE-9932-F6FA2C1CA0F6}"/>
    <cellStyle name="20% - Accent4 3 10" xfId="4049" xr:uid="{DE89517F-8E58-4283-B59E-888B32F99411}"/>
    <cellStyle name="20% - Accent4 3 11" xfId="1810" xr:uid="{892138C6-FE11-439A-A494-ACC7AF42367C}"/>
    <cellStyle name="20% - Accent4 3 12" xfId="1719" xr:uid="{C7C5EC00-497C-4567-97B8-F63330283CD2}"/>
    <cellStyle name="20% - Accent4 3 13" xfId="1001" xr:uid="{F26B491B-1CC7-490F-971D-FA3FC1DD85B3}"/>
    <cellStyle name="20% - Accent4 3 2" xfId="352" xr:uid="{8B66BFB3-FE04-4F7C-B429-EDC763F171FB}"/>
    <cellStyle name="20% - Accent4 3 2 10" xfId="1065" xr:uid="{87C9673B-FC88-4E62-85CD-843C48250260}"/>
    <cellStyle name="20% - Accent4 3 2 2" xfId="468" xr:uid="{83574CBA-BBFD-4FCA-B071-F91D828FEA6A}"/>
    <cellStyle name="20% - Accent4 3 2 2 2" xfId="687" xr:uid="{2BA1F5FC-89BE-4B10-A23A-9FB97D2D8664}"/>
    <cellStyle name="20% - Accent4 3 2 2 2 2" xfId="2568" xr:uid="{2EE3BA40-8A3D-43C3-920C-A841DC3E104C}"/>
    <cellStyle name="20% - Accent4 3 2 2 2 3" xfId="3219" xr:uid="{068523AD-7CC1-447B-8123-B99D97683BEB}"/>
    <cellStyle name="20% - Accent4 3 2 2 2 4" xfId="3875" xr:uid="{5875E5CA-FB2A-4891-882F-1EAB8CFADD3E}"/>
    <cellStyle name="20% - Accent4 3 2 2 2 5" xfId="4538" xr:uid="{0A97D69A-A904-48F3-8531-17F64142A081}"/>
    <cellStyle name="20% - Accent4 3 2 2 2 6" xfId="1509" xr:uid="{DDAE67ED-D22C-4BA4-BACF-EBBC439B88FD}"/>
    <cellStyle name="20% - Accent4 3 2 2 3" xfId="2029" xr:uid="{E82498E6-E72B-472A-9122-EAC58E62B0E4}"/>
    <cellStyle name="20% - Accent4 3 2 2 4" xfId="2241" xr:uid="{1FA5DACC-B7B8-4ECB-B804-9D43AA9DD52D}"/>
    <cellStyle name="20% - Accent4 3 2 2 5" xfId="2892" xr:uid="{757B75E5-7ADA-4154-A5AD-15699866C806}"/>
    <cellStyle name="20% - Accent4 3 2 2 6" xfId="3548" xr:uid="{A0F02023-2A55-4FEE-9BBF-D1DC760725F3}"/>
    <cellStyle name="20% - Accent4 3 2 2 7" xfId="4211" xr:uid="{BAFFAFCD-2D7E-4CE3-9521-5493DC803C38}"/>
    <cellStyle name="20% - Accent4 3 2 2 8" xfId="1172" xr:uid="{B5D6ED92-0830-428F-91B0-FC06580046F3}"/>
    <cellStyle name="20% - Accent4 3 2 3" xfId="577" xr:uid="{DA35A4B1-945F-45FF-800E-5BAD4298BF4F}"/>
    <cellStyle name="20% - Accent4 3 2 3 2" xfId="1617" xr:uid="{B4504BCE-3ED5-4709-9041-EC144DAADC4A}"/>
    <cellStyle name="20% - Accent4 3 2 3 2 2" xfId="2676" xr:uid="{92C53539-BB9C-48C8-8F13-144134A1D7EC}"/>
    <cellStyle name="20% - Accent4 3 2 3 2 3" xfId="3327" xr:uid="{A164F090-238D-4E11-9BE2-73AAB43EE0BD}"/>
    <cellStyle name="20% - Accent4 3 2 3 2 4" xfId="3983" xr:uid="{D28E0F05-250B-4452-AA8A-F8DA2FD79871}"/>
    <cellStyle name="20% - Accent4 3 2 3 2 5" xfId="4646" xr:uid="{44DCDE1D-D050-4C55-9B0C-9532A03369BF}"/>
    <cellStyle name="20% - Accent4 3 2 3 3" xfId="2349" xr:uid="{F2A79585-58D9-48E0-B67E-9E0FADC26EC4}"/>
    <cellStyle name="20% - Accent4 3 2 3 4" xfId="3000" xr:uid="{D791ED65-E4B4-4312-876C-110D92EABB57}"/>
    <cellStyle name="20% - Accent4 3 2 3 5" xfId="3656" xr:uid="{34211A5B-47CE-4739-B260-37A92EACF8D3}"/>
    <cellStyle name="20% - Accent4 3 2 3 6" xfId="4319" xr:uid="{6061FBDB-E96B-4F43-82D3-EFE063E23069}"/>
    <cellStyle name="20% - Accent4 3 2 3 7" xfId="1286" xr:uid="{F26DBB33-B8A1-4D55-81AF-F75CB9C97C80}"/>
    <cellStyle name="20% - Accent4 3 2 4" xfId="1401" xr:uid="{7EADB283-484D-426C-80B9-F16B349F6AA3}"/>
    <cellStyle name="20% - Accent4 3 2 4 2" xfId="2460" xr:uid="{AC519AF5-9959-48D7-9A52-703ADABDCD30}"/>
    <cellStyle name="20% - Accent4 3 2 4 3" xfId="3111" xr:uid="{9E01A077-D0E5-4607-A09D-53A2E14B65AA}"/>
    <cellStyle name="20% - Accent4 3 2 4 4" xfId="3767" xr:uid="{A69B221F-CF5B-4C2C-B67F-82BF6A7511DF}"/>
    <cellStyle name="20% - Accent4 3 2 4 5" xfId="4430" xr:uid="{AD001102-B27A-44FB-9920-8A6DFD03BBDE}"/>
    <cellStyle name="20% - Accent4 3 2 5" xfId="1969" xr:uid="{50E9E93C-0760-4413-B24E-6E5B215D34A7}"/>
    <cellStyle name="20% - Accent4 3 2 6" xfId="2133" xr:uid="{906A0EDC-1221-4D21-BEA6-75A86E6037AB}"/>
    <cellStyle name="20% - Accent4 3 2 7" xfId="2784" xr:uid="{74DD7DAE-2ACE-46D0-83D4-37664D152BED}"/>
    <cellStyle name="20% - Accent4 3 2 8" xfId="3440" xr:uid="{F07E8105-2CF4-440B-9BEB-0B22D3F172C0}"/>
    <cellStyle name="20% - Accent4 3 2 9" xfId="4103" xr:uid="{D06BB34D-8D00-4A98-B2A5-3AE1A3FB898C}"/>
    <cellStyle name="20% - Accent4 3 3" xfId="425" xr:uid="{F94A1448-AC42-4763-A280-DDA85D4422A1}"/>
    <cellStyle name="20% - Accent4 3 3 2" xfId="644" xr:uid="{18D54652-77A0-4EDC-8E9A-9147B96A2BF2}"/>
    <cellStyle name="20% - Accent4 3 3 2 2" xfId="2514" xr:uid="{117668C2-D6A5-4AA8-B4B7-72E0A6D7BCCD}"/>
    <cellStyle name="20% - Accent4 3 3 2 3" xfId="3165" xr:uid="{C8092488-FB3A-403E-BD39-BBCC58249E67}"/>
    <cellStyle name="20% - Accent4 3 3 2 4" xfId="3821" xr:uid="{161D495C-FE63-4217-8938-849A64F268B6}"/>
    <cellStyle name="20% - Accent4 3 3 2 5" xfId="4484" xr:uid="{E8EDB3DD-9E67-4B55-A278-6D8E0CCF84C3}"/>
    <cellStyle name="20% - Accent4 3 3 2 6" xfId="1455" xr:uid="{25EFD50A-6552-48CE-8FAB-80ED39CB979E}"/>
    <cellStyle name="20% - Accent4 3 3 3" xfId="1870" xr:uid="{C704E5C6-F0C9-4BC4-84EF-9F7E1A8C6A54}"/>
    <cellStyle name="20% - Accent4 3 3 4" xfId="2187" xr:uid="{C45D15C6-7D78-4864-82ED-E36EDB689C34}"/>
    <cellStyle name="20% - Accent4 3 3 5" xfId="2838" xr:uid="{9703A1D6-9BC3-4A80-8FE8-4345E7F87F9A}"/>
    <cellStyle name="20% - Accent4 3 3 6" xfId="3494" xr:uid="{B6744784-2F34-495E-8CFB-1DEFBE57C041}"/>
    <cellStyle name="20% - Accent4 3 3 7" xfId="4157" xr:uid="{7E244DA6-4E29-4A6A-A73F-D46396E677E0}"/>
    <cellStyle name="20% - Accent4 3 3 8" xfId="1118" xr:uid="{6587FADD-98A8-432B-A033-3F4FCCD2BFE5}"/>
    <cellStyle name="20% - Accent4 3 4" xfId="534" xr:uid="{4562E290-1281-4EDE-8FFA-16CFC7C2CD56}"/>
    <cellStyle name="20% - Accent4 3 4 2" xfId="1563" xr:uid="{AD331007-82A0-4359-8302-563F39AD0220}"/>
    <cellStyle name="20% - Accent4 3 4 2 2" xfId="2622" xr:uid="{EBEF0474-97FF-49AF-AC3C-236F1EA229F5}"/>
    <cellStyle name="20% - Accent4 3 4 2 3" xfId="3273" xr:uid="{1B762291-A65D-4212-A438-2D815288C540}"/>
    <cellStyle name="20% - Accent4 3 4 2 4" xfId="3929" xr:uid="{EFE89DD5-46EB-491A-9FD6-E93C332B487A}"/>
    <cellStyle name="20% - Accent4 3 4 2 5" xfId="4592" xr:uid="{3B1C8C0D-8CFE-43AF-B282-B5F1DF52B7C2}"/>
    <cellStyle name="20% - Accent4 3 4 3" xfId="2295" xr:uid="{6F929A21-5921-4C5E-B3FC-66F666269C3E}"/>
    <cellStyle name="20% - Accent4 3 4 4" xfId="2946" xr:uid="{DADDB890-5970-4935-9B8B-BA5EC63F2472}"/>
    <cellStyle name="20% - Accent4 3 4 5" xfId="3602" xr:uid="{2DA55520-58A0-4B10-8CBB-B41F95184FD1}"/>
    <cellStyle name="20% - Accent4 3 4 6" xfId="4265" xr:uid="{42D26C82-1959-4935-BFF7-18B4FF62D8E9}"/>
    <cellStyle name="20% - Accent4 3 4 7" xfId="1232" xr:uid="{8E1AFD9E-7C26-4D28-96F3-DF07C8D49949}"/>
    <cellStyle name="20% - Accent4 3 5" xfId="304" xr:uid="{37E21AE2-7627-47A5-B3C9-A1EBA9098614}"/>
    <cellStyle name="20% - Accent4 3 5 2" xfId="2406" xr:uid="{51497CC3-C865-4ADB-8B79-E448BA1CC276}"/>
    <cellStyle name="20% - Accent4 3 5 3" xfId="3057" xr:uid="{5D56B81C-F0E7-4239-A394-F0DEFB61FC7B}"/>
    <cellStyle name="20% - Accent4 3 5 4" xfId="3713" xr:uid="{72084742-6FAC-43A3-8462-4D3E452F378C}"/>
    <cellStyle name="20% - Accent4 3 5 5" xfId="4376" xr:uid="{917BA05F-0AC2-48CA-A072-F37726ABA697}"/>
    <cellStyle name="20% - Accent4 3 5 6" xfId="1347" xr:uid="{0F56F95F-E832-42E6-B33E-4115F5350364}"/>
    <cellStyle name="20% - Accent4 3 6" xfId="1833" xr:uid="{1E8ABF47-E2FA-4DFA-84F3-B01D6099A73D}"/>
    <cellStyle name="20% - Accent4 3 7" xfId="2079" xr:uid="{8B00E301-CF5E-44B6-BA97-8A3222FF86E7}"/>
    <cellStyle name="20% - Accent4 3 8" xfId="2730" xr:uid="{65D298D8-143B-4D2B-BB8D-B9416C6A3C06}"/>
    <cellStyle name="20% - Accent4 3 9" xfId="3385" xr:uid="{8ABCC8BC-C08C-42C9-A9B6-30D8CD2D8D6A}"/>
    <cellStyle name="20% - Accent4 4" xfId="372" xr:uid="{47B6B042-3EF4-4B05-ACD9-A3CDDF4CA6C8}"/>
    <cellStyle name="20% - Accent4 4 10" xfId="1032" xr:uid="{63843834-AC36-4722-977A-E571DA465BC1}"/>
    <cellStyle name="20% - Accent4 4 2" xfId="487" xr:uid="{9DCEBBE9-4DBA-4DCE-B9E8-7368968E26F7}"/>
    <cellStyle name="20% - Accent4 4 2 2" xfId="706" xr:uid="{7EB04392-394C-48FC-A5F9-A3F1C365DA00}"/>
    <cellStyle name="20% - Accent4 4 2 2 2" xfId="2535" xr:uid="{40534AA5-5E5E-44EB-88BE-3CA8FD2A0F34}"/>
    <cellStyle name="20% - Accent4 4 2 2 3" xfId="3186" xr:uid="{10308D8D-DF7A-4047-B817-7DD31937E257}"/>
    <cellStyle name="20% - Accent4 4 2 2 4" xfId="3842" xr:uid="{D16A861B-4AF6-4098-BC09-65FA08964C79}"/>
    <cellStyle name="20% - Accent4 4 2 2 5" xfId="4505" xr:uid="{63E0782A-BCDB-4FD8-BEEA-FD972F0A133F}"/>
    <cellStyle name="20% - Accent4 4 2 2 6" xfId="1476" xr:uid="{B5935CB9-356E-4A67-9DC1-5477DB0A1ED2}"/>
    <cellStyle name="20% - Accent4 4 2 3" xfId="1856" xr:uid="{09AFB18F-B61D-4FE0-98CD-28C77B1EEEA0}"/>
    <cellStyle name="20% - Accent4 4 2 4" xfId="2208" xr:uid="{B546F399-C13D-4ECB-BFC4-FD6B734456E4}"/>
    <cellStyle name="20% - Accent4 4 2 5" xfId="2859" xr:uid="{A4EB988B-4A0D-4FD5-854A-A0D702E9585D}"/>
    <cellStyle name="20% - Accent4 4 2 6" xfId="3515" xr:uid="{DEFE9E37-B40A-4B64-92C0-116428A858CB}"/>
    <cellStyle name="20% - Accent4 4 2 7" xfId="4178" xr:uid="{D7AAE556-1F7C-41F9-B54C-D35570851C3B}"/>
    <cellStyle name="20% - Accent4 4 2 8" xfId="1139" xr:uid="{FF8A3550-A080-4A00-B34B-F6C3FA4DB666}"/>
    <cellStyle name="20% - Accent4 4 3" xfId="596" xr:uid="{31325E8B-5E77-439A-8CA8-EA6C13C49666}"/>
    <cellStyle name="20% - Accent4 4 3 2" xfId="1584" xr:uid="{8E9D7BF5-92A4-4946-AC49-95BDE5AF280C}"/>
    <cellStyle name="20% - Accent4 4 3 2 2" xfId="2643" xr:uid="{3957B9E6-FFDE-4F5F-811B-4D4A96B485AB}"/>
    <cellStyle name="20% - Accent4 4 3 2 3" xfId="3294" xr:uid="{680FAA8E-A42B-418B-A17A-DADECC3FF870}"/>
    <cellStyle name="20% - Accent4 4 3 2 4" xfId="3950" xr:uid="{BE1DF381-CA8C-469E-B1FF-B62AACB96ACC}"/>
    <cellStyle name="20% - Accent4 4 3 2 5" xfId="4613" xr:uid="{8F6A0F38-017B-4C27-B827-07B8AEDAE056}"/>
    <cellStyle name="20% - Accent4 4 3 3" xfId="2316" xr:uid="{C88F6108-6308-4AD9-AD5F-FA97833BDDAA}"/>
    <cellStyle name="20% - Accent4 4 3 4" xfId="2967" xr:uid="{642E1B02-6326-48AC-BE3D-B6EFE14946D3}"/>
    <cellStyle name="20% - Accent4 4 3 5" xfId="3623" xr:uid="{49578A95-667B-4274-BE19-8AA08D1E7410}"/>
    <cellStyle name="20% - Accent4 4 3 6" xfId="4286" xr:uid="{871A701D-D9B4-407B-9D64-79E6B878ED46}"/>
    <cellStyle name="20% - Accent4 4 3 7" xfId="1253" xr:uid="{06A22D43-2678-4C3A-9CDF-2883618B4ADE}"/>
    <cellStyle name="20% - Accent4 4 4" xfId="1368" xr:uid="{61B5D211-0160-4D3E-9ED6-98216E7DEC15}"/>
    <cellStyle name="20% - Accent4 4 4 2" xfId="2427" xr:uid="{3345EB35-56D9-4450-9614-3C699CD0620B}"/>
    <cellStyle name="20% - Accent4 4 4 3" xfId="3078" xr:uid="{46F55636-3F61-4E15-B72E-11497B4AA07A}"/>
    <cellStyle name="20% - Accent4 4 4 4" xfId="3734" xr:uid="{EC951C3F-32AA-436C-BA44-445F29CFE1E3}"/>
    <cellStyle name="20% - Accent4 4 4 5" xfId="4397" xr:uid="{77610593-C4F6-4F36-B75A-6AE1C37285B0}"/>
    <cellStyle name="20% - Accent4 4 5" xfId="1883" xr:uid="{F2AEA568-8E7D-4028-9AC7-C9612462D1AD}"/>
    <cellStyle name="20% - Accent4 4 6" xfId="2100" xr:uid="{63212B54-6E35-4F42-A2B0-4FBDB1B72E27}"/>
    <cellStyle name="20% - Accent4 4 7" xfId="2751" xr:uid="{4149CFDA-F1B1-447C-8A8B-5F1128D9AA2F}"/>
    <cellStyle name="20% - Accent4 4 8" xfId="3407" xr:uid="{BCC5E05C-9481-427D-BA12-689A85A090EA}"/>
    <cellStyle name="20% - Accent4 4 9" xfId="4070" xr:uid="{4A6AB3DE-0021-4E21-B6DE-3DD2ED171883}"/>
    <cellStyle name="20% - Accent4 5" xfId="328" xr:uid="{54385BD8-7785-4CE9-95F6-9AE5B7389279}"/>
    <cellStyle name="20% - Accent4 5 10" xfId="1083" xr:uid="{FD7232BE-6F4B-4D3D-8A95-F999A2FD3F27}"/>
    <cellStyle name="20% - Accent4 5 2" xfId="449" xr:uid="{734B0EF2-062C-41EC-9D5C-55EF3FC20846}"/>
    <cellStyle name="20% - Accent4 5 2 2" xfId="668" xr:uid="{2488762F-2651-4766-9702-7237C9AF9B8D}"/>
    <cellStyle name="20% - Accent4 5 2 2 2" xfId="2479" xr:uid="{B856C6C0-4636-4180-B6FB-FA9FCE148769}"/>
    <cellStyle name="20% - Accent4 5 2 3" xfId="3130" xr:uid="{6FADB510-B548-4037-A76B-7D47791973EF}"/>
    <cellStyle name="20% - Accent4 5 2 4" xfId="3786" xr:uid="{74D291CF-FCEF-48A3-B89A-DDB8BDAB724A}"/>
    <cellStyle name="20% - Accent4 5 2 5" xfId="4449" xr:uid="{90CAC379-8B78-4ED0-B00D-92C36571DF73}"/>
    <cellStyle name="20% - Accent4 5 2 6" xfId="1420" xr:uid="{48618D0A-50CF-48C2-AB9B-CB4D4E3E1C17}"/>
    <cellStyle name="20% - Accent4 5 3" xfId="558" xr:uid="{44E7014E-9C65-41C5-BA1D-ACD971736FA2}"/>
    <cellStyle name="20% - Accent4 5 3 2" xfId="1951" xr:uid="{BA9BEA2E-775D-4687-B8D6-299F505DAD0D}"/>
    <cellStyle name="20% - Accent4 5 4" xfId="2152" xr:uid="{5E7C43E2-2788-41EC-BF59-6D8DEAAAF825}"/>
    <cellStyle name="20% - Accent4 5 5" xfId="2803" xr:uid="{4419B607-8B91-4067-AFAF-5BEF055DED13}"/>
    <cellStyle name="20% - Accent4 5 6" xfId="3459" xr:uid="{4CD82B14-4150-4B94-9885-4AA01144DE2D}"/>
    <cellStyle name="20% - Accent4 5 7" xfId="4122" xr:uid="{BBE0DB2E-1912-470B-8B38-B5BE2814CA19}"/>
    <cellStyle name="20% - Accent4 5 8" xfId="1825" xr:uid="{717C22BE-A22D-458C-8ADF-B907ADF2D2F5}"/>
    <cellStyle name="20% - Accent4 5 9" xfId="1675" xr:uid="{BD80A450-8A91-4DD7-86BF-AC5011D7C2AC}"/>
    <cellStyle name="20% - Accent4 6" xfId="402" xr:uid="{C796C102-22E6-40FF-9F4E-B2C69EA2046C}"/>
    <cellStyle name="20% - Accent4 6 2" xfId="622" xr:uid="{FA3BC32D-2317-4533-BF8F-A4EF93AA5083}"/>
    <cellStyle name="20% - Accent4 6 2 2" xfId="2587" xr:uid="{7AC313ED-14E8-4D09-A064-28B674DF4275}"/>
    <cellStyle name="20% - Accent4 6 2 3" xfId="3238" xr:uid="{4A931886-BB73-45AC-BB16-76E7FFF025A4}"/>
    <cellStyle name="20% - Accent4 6 2 4" xfId="3894" xr:uid="{D21680D6-3865-4EE7-8E67-EB5458691F36}"/>
    <cellStyle name="20% - Accent4 6 2 5" xfId="4557" xr:uid="{1FE50F15-393D-480C-B59C-AD0859ADC82D}"/>
    <cellStyle name="20% - Accent4 6 2 6" xfId="1528" xr:uid="{B2FBD97F-57FB-41C5-B238-1DE051739A67}"/>
    <cellStyle name="20% - Accent4 6 3" xfId="2260" xr:uid="{D8B3EE86-44CA-47BF-8EF0-021427B2FB76}"/>
    <cellStyle name="20% - Accent4 6 4" xfId="2911" xr:uid="{17C0833D-C006-4BE2-9FED-B54BE896D1EA}"/>
    <cellStyle name="20% - Accent4 6 5" xfId="3567" xr:uid="{C34AE88E-2815-4DA4-BFF9-B630934916A4}"/>
    <cellStyle name="20% - Accent4 6 6" xfId="4230" xr:uid="{7306464E-4EAC-4959-AB41-3F58C0208602}"/>
    <cellStyle name="20% - Accent4 6 7" xfId="1197" xr:uid="{5E20A1C6-B191-4010-978D-151CE3E3F318}"/>
    <cellStyle name="20% - Accent4 7" xfId="512" xr:uid="{7B4E12ED-1C0D-4EF7-9950-90744DA047DD}"/>
    <cellStyle name="20% - Accent4 7 2" xfId="2371" xr:uid="{C5DFDF52-9229-459E-8D32-00359E038A63}"/>
    <cellStyle name="20% - Accent4 7 3" xfId="3022" xr:uid="{6BF7BA6F-B440-4688-8602-0333FA264F1C}"/>
    <cellStyle name="20% - Accent4 7 4" xfId="3678" xr:uid="{8ADFFBCE-673B-4DBF-949A-413BAD890F95}"/>
    <cellStyle name="20% - Accent4 7 5" xfId="4341" xr:uid="{2AB4CE0E-8D38-4903-BD99-695B116EEA70}"/>
    <cellStyle name="20% - Accent4 7 6" xfId="1307" xr:uid="{4B753ACE-2E5E-482D-B28B-B0B969F9F8E0}"/>
    <cellStyle name="20% - Accent4 8" xfId="280" xr:uid="{05AD36D8-8F5B-4675-82B3-6FFEFE5C37CC}"/>
    <cellStyle name="20% - Accent4 8 2" xfId="1980" xr:uid="{2FECA27E-1F30-405E-8E03-7E6CE4811162}"/>
    <cellStyle name="20% - Accent4 9" xfId="2044" xr:uid="{90E56EF0-7F50-4D3A-948C-9E2BF87F9936}"/>
    <cellStyle name="20% - Accent5" xfId="38" builtinId="46" customBuiltin="1"/>
    <cellStyle name="20% - Accent5 10" xfId="2697" xr:uid="{647E39DC-AEEE-4570-AC25-3D999006B7D3}"/>
    <cellStyle name="20% - Accent5 11" xfId="3351" xr:uid="{E1093EF2-7B85-416F-AAA5-E6245D1DB829}"/>
    <cellStyle name="20% - Accent5 12" xfId="4016" xr:uid="{312521D9-1CAD-46A2-8131-71314C789620}"/>
    <cellStyle name="20% - Accent5 13" xfId="735" xr:uid="{185FCF27-F330-4B0D-A295-F7D7595F0837}"/>
    <cellStyle name="20% - Accent5 14" xfId="163" xr:uid="{AE4587B7-42F8-42A0-8D23-16D65F52AF2A}"/>
    <cellStyle name="20% - Accent5 2" xfId="82" xr:uid="{BFAD75F1-A14B-4AC5-A20A-5496C8EC4786}"/>
    <cellStyle name="20% - Accent5 2 10" xfId="4030" xr:uid="{74379661-1950-4D6E-907E-38B310146ADE}"/>
    <cellStyle name="20% - Accent5 2 11" xfId="744" xr:uid="{2402DCCD-DF87-45B5-A701-A57F10BB877F}"/>
    <cellStyle name="20% - Accent5 2 12" xfId="175" xr:uid="{F924DADC-4198-45B6-B4FD-858D7714C756}"/>
    <cellStyle name="20% - Accent5 2 2" xfId="1046" xr:uid="{CE87491E-C19C-4ABA-A326-4E447A16FBE1}"/>
    <cellStyle name="20% - Accent5 2 2 2" xfId="1153" xr:uid="{ACD175BC-6AD2-42FB-B6AB-20C945571D7D}"/>
    <cellStyle name="20% - Accent5 2 2 2 2" xfId="1490" xr:uid="{C87DEE1D-DD5F-49E7-BD96-8686C53BA48E}"/>
    <cellStyle name="20% - Accent5 2 2 2 2 2" xfId="2549" xr:uid="{F0DEDA03-873D-45E4-A5B1-BB9011E52C16}"/>
    <cellStyle name="20% - Accent5 2 2 2 2 3" xfId="3200" xr:uid="{E36DE1EA-DDE5-42FA-8449-A2208CDE9E59}"/>
    <cellStyle name="20% - Accent5 2 2 2 2 4" xfId="3856" xr:uid="{67CB9170-5160-45E6-A579-F7A20692ED05}"/>
    <cellStyle name="20% - Accent5 2 2 2 2 5" xfId="4519" xr:uid="{12E3FCF6-8C0B-4849-9287-45CD716A17E9}"/>
    <cellStyle name="20% - Accent5 2 2 2 3" xfId="1875" xr:uid="{EDA0FF0F-B0CE-4EB1-B9AF-39345A9022A4}"/>
    <cellStyle name="20% - Accent5 2 2 2 4" xfId="2222" xr:uid="{BFA478A4-EE4B-4E69-AF52-F978710772A1}"/>
    <cellStyle name="20% - Accent5 2 2 2 5" xfId="2873" xr:uid="{3CF48E5A-161E-4047-B99D-484F4ECA4FFF}"/>
    <cellStyle name="20% - Accent5 2 2 2 6" xfId="3529" xr:uid="{B29A8600-364B-4AAC-86FB-EA16EE8ABF75}"/>
    <cellStyle name="20% - Accent5 2 2 2 7" xfId="4192" xr:uid="{C3220B38-08A6-41C1-A911-173403197116}"/>
    <cellStyle name="20% - Accent5 2 2 3" xfId="1267" xr:uid="{22DA471C-6F4D-4684-B3AA-577E9910F352}"/>
    <cellStyle name="20% - Accent5 2 2 3 2" xfId="1598" xr:uid="{A846D9D7-E672-4B59-A4D3-C715B4B43B3D}"/>
    <cellStyle name="20% - Accent5 2 2 3 2 2" xfId="2657" xr:uid="{4D534DC9-42C3-429C-9D0F-09F7B422E55C}"/>
    <cellStyle name="20% - Accent5 2 2 3 2 3" xfId="3308" xr:uid="{7DA87C0B-45AF-4CC2-82EC-37C58B517761}"/>
    <cellStyle name="20% - Accent5 2 2 3 2 4" xfId="3964" xr:uid="{4BE73A48-0499-4EA6-B311-B4C31ADDAA83}"/>
    <cellStyle name="20% - Accent5 2 2 3 2 5" xfId="4627" xr:uid="{A1FB6966-D28C-4CBA-9EFC-997BBD003D29}"/>
    <cellStyle name="20% - Accent5 2 2 3 3" xfId="2330" xr:uid="{F5741EF3-0EE5-41C9-B3F3-5437CC026C92}"/>
    <cellStyle name="20% - Accent5 2 2 3 4" xfId="2981" xr:uid="{3E7002D0-92E0-4C9F-8FBE-5C1555AA6FA5}"/>
    <cellStyle name="20% - Accent5 2 2 3 5" xfId="3637" xr:uid="{D52211E1-0B60-4DDC-AFB4-A2AB443E731D}"/>
    <cellStyle name="20% - Accent5 2 2 3 6" xfId="4300" xr:uid="{19244F2D-193A-4F86-9252-54FFB19D957A}"/>
    <cellStyle name="20% - Accent5 2 2 4" xfId="1382" xr:uid="{03BBD162-6D1E-467D-9978-4C71BEE8CACB}"/>
    <cellStyle name="20% - Accent5 2 2 4 2" xfId="2441" xr:uid="{26A0DB22-0322-4C5D-AB01-CA384CDF1319}"/>
    <cellStyle name="20% - Accent5 2 2 4 3" xfId="3092" xr:uid="{4795CEEE-10DA-4385-999A-A01785078AA6}"/>
    <cellStyle name="20% - Accent5 2 2 4 4" xfId="3748" xr:uid="{07C7E150-9492-4E72-A226-D558E6B92FFD}"/>
    <cellStyle name="20% - Accent5 2 2 4 5" xfId="4411" xr:uid="{9AA12235-2F29-42E6-BDC2-896B29981781}"/>
    <cellStyle name="20% - Accent5 2 2 5" xfId="1964" xr:uid="{F6F7B86D-DCFA-41CC-A5FC-ED3553BA1C16}"/>
    <cellStyle name="20% - Accent5 2 2 6" xfId="2114" xr:uid="{99463C21-B6C8-4A26-8448-1919E30F3BB6}"/>
    <cellStyle name="20% - Accent5 2 2 7" xfId="2765" xr:uid="{13901D26-5DA0-466A-8E10-640811ECDCCC}"/>
    <cellStyle name="20% - Accent5 2 2 8" xfId="3421" xr:uid="{0E26E07F-5982-4D1B-BD08-3EE117D101B0}"/>
    <cellStyle name="20% - Accent5 2 2 9" xfId="4084" xr:uid="{64E32027-51B3-4E03-BF5C-404094D624BB}"/>
    <cellStyle name="20% - Accent5 2 3" xfId="1099" xr:uid="{02FEFDDA-F172-4DDB-B696-4A0E7656BB6D}"/>
    <cellStyle name="20% - Accent5 2 3 2" xfId="1436" xr:uid="{296C1E4A-C00F-48E7-8B84-5966B6FD3B74}"/>
    <cellStyle name="20% - Accent5 2 3 2 2" xfId="2495" xr:uid="{97308B2A-7D2D-4425-9C9A-684ACB7DC28C}"/>
    <cellStyle name="20% - Accent5 2 3 2 3" xfId="3146" xr:uid="{CDC6B6B9-0683-40F4-A9B9-3572E5817F74}"/>
    <cellStyle name="20% - Accent5 2 3 2 4" xfId="3802" xr:uid="{200EC855-7BF0-4C99-A083-CEAC5A7E74C5}"/>
    <cellStyle name="20% - Accent5 2 3 2 5" xfId="4465" xr:uid="{921750E1-D529-4C19-BFFE-89554AA10F27}"/>
    <cellStyle name="20% - Accent5 2 3 3" xfId="1781" xr:uid="{433E6AE6-9844-46D4-9D23-B8D9BBADEF9D}"/>
    <cellStyle name="20% - Accent5 2 3 4" xfId="2168" xr:uid="{58EE49A8-B465-4927-B997-30B266C0DE99}"/>
    <cellStyle name="20% - Accent5 2 3 5" xfId="2819" xr:uid="{712B9393-C4C8-47BD-B763-6DB085A24142}"/>
    <cellStyle name="20% - Accent5 2 3 6" xfId="3475" xr:uid="{E945DE6C-681F-466F-90B8-965E7149B306}"/>
    <cellStyle name="20% - Accent5 2 3 7" xfId="4138" xr:uid="{B452B111-92AC-4268-A02C-F1F7CB0578C8}"/>
    <cellStyle name="20% - Accent5 2 4" xfId="1213" xr:uid="{6CA8657D-BA53-41BD-BE1E-B3D71FA71936}"/>
    <cellStyle name="20% - Accent5 2 4 2" xfId="1544" xr:uid="{65085F8E-C1A3-4B8B-8448-D5BB97E8CAC7}"/>
    <cellStyle name="20% - Accent5 2 4 2 2" xfId="2603" xr:uid="{68619D85-17ED-404F-B180-CB04A42E0E27}"/>
    <cellStyle name="20% - Accent5 2 4 2 3" xfId="3254" xr:uid="{2B51CAB6-485F-4FC0-9BF9-30870CE5E2AD}"/>
    <cellStyle name="20% - Accent5 2 4 2 4" xfId="3910" xr:uid="{5866286F-18A6-4AA7-A54A-E8371F118F31}"/>
    <cellStyle name="20% - Accent5 2 4 2 5" xfId="4573" xr:uid="{48DE0866-D80A-4348-BD0C-3AF98D34B83A}"/>
    <cellStyle name="20% - Accent5 2 4 3" xfId="2276" xr:uid="{A3B427D9-492E-43BA-853A-CDDE3D52194B}"/>
    <cellStyle name="20% - Accent5 2 4 4" xfId="2927" xr:uid="{45CAD1FE-66E7-44F3-8238-5A7CDFE9160B}"/>
    <cellStyle name="20% - Accent5 2 4 5" xfId="3583" xr:uid="{8DF25279-D955-420E-977B-3A96E338DC64}"/>
    <cellStyle name="20% - Accent5 2 4 6" xfId="4246" xr:uid="{959F16D1-8F5C-43CC-8DF8-F9364E5E488E}"/>
    <cellStyle name="20% - Accent5 2 5" xfId="1328" xr:uid="{EB0607D3-2337-4E29-9F55-BF350872DB71}"/>
    <cellStyle name="20% - Accent5 2 5 2" xfId="2387" xr:uid="{0C93BCBD-73C1-4EDB-B9C4-EDD31DFC0B75}"/>
    <cellStyle name="20% - Accent5 2 5 3" xfId="3038" xr:uid="{760D3F11-B6CB-4ACD-86F2-E88588EBDB5D}"/>
    <cellStyle name="20% - Accent5 2 5 4" xfId="3694" xr:uid="{82AC827B-7077-4D3D-8FA2-BED2EFE95DD2}"/>
    <cellStyle name="20% - Accent5 2 5 5" xfId="4357" xr:uid="{2D9A54AF-5A49-4AC4-90B9-748854D64039}"/>
    <cellStyle name="20% - Accent5 2 6" xfId="2028" xr:uid="{9ADA48EE-3610-4ACD-A5ED-4BF231A11F76}"/>
    <cellStyle name="20% - Accent5 2 7" xfId="2060" xr:uid="{42084B26-A873-4EE2-AF5F-F6C6EF3AA8F2}"/>
    <cellStyle name="20% - Accent5 2 8" xfId="2711" xr:uid="{E37D280B-AD7C-4E5B-8F6B-E7A035818419}"/>
    <cellStyle name="20% - Accent5 2 9" xfId="3366" xr:uid="{E4B4DDA1-AC71-4716-8E28-BA9A32E2A62B}"/>
    <cellStyle name="20% - Accent5 3" xfId="258" xr:uid="{69800457-2DD1-4469-B467-3277CA05EBF5}"/>
    <cellStyle name="20% - Accent5 3 10" xfId="4051" xr:uid="{38A85283-E7FF-4E42-9901-1D4E4B7527D9}"/>
    <cellStyle name="20% - Accent5 3 11" xfId="1812" xr:uid="{24F060E3-2992-4BDB-9B4A-CB14DCDF6817}"/>
    <cellStyle name="20% - Accent5 3 12" xfId="1752" xr:uid="{E4E831CF-7235-47B3-8A2D-A23267011169}"/>
    <cellStyle name="20% - Accent5 3 13" xfId="1003" xr:uid="{0DDE322B-FD82-47C5-9C4B-5BCA325C23CF}"/>
    <cellStyle name="20% - Accent5 3 2" xfId="354" xr:uid="{1582A9C1-2DFB-4857-B4D6-0DE1F7F0BB49}"/>
    <cellStyle name="20% - Accent5 3 2 10" xfId="1067" xr:uid="{65FB41A6-AAAC-4526-9071-4089ADF8330E}"/>
    <cellStyle name="20% - Accent5 3 2 2" xfId="470" xr:uid="{F08A3470-D6F7-49AD-A623-0F56A340B7B9}"/>
    <cellStyle name="20% - Accent5 3 2 2 2" xfId="689" xr:uid="{B81AD757-A4AF-4A9A-979B-424A67445656}"/>
    <cellStyle name="20% - Accent5 3 2 2 2 2" xfId="2570" xr:uid="{7B3E92F7-EA9E-4193-BFB3-24A567E956A3}"/>
    <cellStyle name="20% - Accent5 3 2 2 2 3" xfId="3221" xr:uid="{4D993072-92FA-43F3-86F1-CC497B39FA42}"/>
    <cellStyle name="20% - Accent5 3 2 2 2 4" xfId="3877" xr:uid="{0518768B-DEEE-40B3-9E89-2DE40EFFA7E3}"/>
    <cellStyle name="20% - Accent5 3 2 2 2 5" xfId="4540" xr:uid="{B97F40B0-2321-4990-A52A-4352737CBA55}"/>
    <cellStyle name="20% - Accent5 3 2 2 2 6" xfId="1511" xr:uid="{3B8FE7F1-9D4C-4BE9-BBE5-69E0B690C2A7}"/>
    <cellStyle name="20% - Accent5 3 2 2 3" xfId="1879" xr:uid="{F9D5DD63-4F7E-4F4D-8DC8-73675C8A3D0E}"/>
    <cellStyle name="20% - Accent5 3 2 2 4" xfId="2243" xr:uid="{27D22F83-B0E6-4021-9A59-7643C28457AD}"/>
    <cellStyle name="20% - Accent5 3 2 2 5" xfId="2894" xr:uid="{C8436E81-FCA6-469E-8D1C-E3608E499757}"/>
    <cellStyle name="20% - Accent5 3 2 2 6" xfId="3550" xr:uid="{ADD26C38-5A86-473D-9058-C2BA477420D2}"/>
    <cellStyle name="20% - Accent5 3 2 2 7" xfId="4213" xr:uid="{202E0867-F020-4AEC-B5D2-42A28F361746}"/>
    <cellStyle name="20% - Accent5 3 2 2 8" xfId="1174" xr:uid="{014EC16F-B587-4216-A0A5-BC2DED6931B6}"/>
    <cellStyle name="20% - Accent5 3 2 3" xfId="579" xr:uid="{278C530D-F9C6-4E62-B7D9-1A28C404A80E}"/>
    <cellStyle name="20% - Accent5 3 2 3 2" xfId="1619" xr:uid="{2FF3EDD3-D6A3-4681-8558-55EF07A74515}"/>
    <cellStyle name="20% - Accent5 3 2 3 2 2" xfId="2678" xr:uid="{8FDF82BD-2E5D-4B4F-82E6-AA0D55F5AB8C}"/>
    <cellStyle name="20% - Accent5 3 2 3 2 3" xfId="3329" xr:uid="{9C704F60-AF9B-4839-8259-998B3B146CC1}"/>
    <cellStyle name="20% - Accent5 3 2 3 2 4" xfId="3985" xr:uid="{E0071B4C-0E75-47C6-AB1B-40AB7CA93E20}"/>
    <cellStyle name="20% - Accent5 3 2 3 2 5" xfId="4648" xr:uid="{9B5F3C3A-544B-4165-9992-0718463E0160}"/>
    <cellStyle name="20% - Accent5 3 2 3 3" xfId="2351" xr:uid="{DF78F00C-FAFD-4BF9-B2FA-C71D4FB686DA}"/>
    <cellStyle name="20% - Accent5 3 2 3 4" xfId="3002" xr:uid="{9812CF09-FFAA-48E6-8405-5EFA663ACA64}"/>
    <cellStyle name="20% - Accent5 3 2 3 5" xfId="3658" xr:uid="{14C20438-3DCA-42CF-BBA9-B76EFAA5092A}"/>
    <cellStyle name="20% - Accent5 3 2 3 6" xfId="4321" xr:uid="{ED4BA90D-1D65-4CB0-9234-B0A893D340FD}"/>
    <cellStyle name="20% - Accent5 3 2 3 7" xfId="1288" xr:uid="{93443DEC-0571-4736-A6BB-F96976E4B049}"/>
    <cellStyle name="20% - Accent5 3 2 4" xfId="1403" xr:uid="{5E0CD95D-435A-4F2D-B595-4831F4EED603}"/>
    <cellStyle name="20% - Accent5 3 2 4 2" xfId="2462" xr:uid="{8E357989-D0A8-480B-A2F9-A7761623145C}"/>
    <cellStyle name="20% - Accent5 3 2 4 3" xfId="3113" xr:uid="{F5076552-6469-4A04-A895-42F15C329406}"/>
    <cellStyle name="20% - Accent5 3 2 4 4" xfId="3769" xr:uid="{C90544FF-58FB-494F-B318-D57CCFAB3180}"/>
    <cellStyle name="20% - Accent5 3 2 4 5" xfId="4432" xr:uid="{846FDE19-C0AC-488D-84D5-3C8217E3A8FF}"/>
    <cellStyle name="20% - Accent5 3 2 5" xfId="2012" xr:uid="{6A2F7243-8211-46AB-A49B-96D317173A35}"/>
    <cellStyle name="20% - Accent5 3 2 6" xfId="2135" xr:uid="{06BA1925-A832-4C01-8213-077EADB55EAE}"/>
    <cellStyle name="20% - Accent5 3 2 7" xfId="2786" xr:uid="{BBD90BE6-5AAA-4F47-B3BC-A5A3CED9D611}"/>
    <cellStyle name="20% - Accent5 3 2 8" xfId="3442" xr:uid="{DFD47E5A-8829-4030-B186-298812FE8C81}"/>
    <cellStyle name="20% - Accent5 3 2 9" xfId="4105" xr:uid="{25880F3A-9294-46BD-BC17-B1E7CF19611B}"/>
    <cellStyle name="20% - Accent5 3 3" xfId="427" xr:uid="{F55AD97F-8A49-4BE5-84A2-964189B21DFF}"/>
    <cellStyle name="20% - Accent5 3 3 2" xfId="646" xr:uid="{6B388874-1180-4D72-9E77-B0AFC7970E4E}"/>
    <cellStyle name="20% - Accent5 3 3 2 2" xfId="2516" xr:uid="{EEEFDA08-DD65-4635-B28F-550870564A75}"/>
    <cellStyle name="20% - Accent5 3 3 2 3" xfId="3167" xr:uid="{B7295653-AC9D-437F-AA6F-2934D807F359}"/>
    <cellStyle name="20% - Accent5 3 3 2 4" xfId="3823" xr:uid="{9F9DF463-34F1-4BA6-A6B1-5814F7859682}"/>
    <cellStyle name="20% - Accent5 3 3 2 5" xfId="4486" xr:uid="{3D04EE98-633E-4AE5-9949-AADE331B65E6}"/>
    <cellStyle name="20% - Accent5 3 3 2 6" xfId="1457" xr:uid="{355BBC42-4E6D-435E-B822-100774DC4525}"/>
    <cellStyle name="20% - Accent5 3 3 3" xfId="1945" xr:uid="{5D65A637-B54A-43DF-BA9D-A23368775998}"/>
    <cellStyle name="20% - Accent5 3 3 4" xfId="2189" xr:uid="{EC694E6D-4013-4170-B4E9-A72EAD854032}"/>
    <cellStyle name="20% - Accent5 3 3 5" xfId="2840" xr:uid="{AA91AD5C-F5FD-4F2D-85A0-FD94213A7352}"/>
    <cellStyle name="20% - Accent5 3 3 6" xfId="3496" xr:uid="{C7969E75-3DD0-4935-BC47-3F90CB75BD1E}"/>
    <cellStyle name="20% - Accent5 3 3 7" xfId="4159" xr:uid="{DC4468F5-CC2C-43B8-8839-49DF72C4DEAC}"/>
    <cellStyle name="20% - Accent5 3 3 8" xfId="1120" xr:uid="{CA7734FD-1D32-434A-A668-AF94F9F1DF52}"/>
    <cellStyle name="20% - Accent5 3 4" xfId="536" xr:uid="{2269B95B-AD65-4511-9289-4EC31094065A}"/>
    <cellStyle name="20% - Accent5 3 4 2" xfId="1565" xr:uid="{33BD8A23-EE0B-4A2C-8F83-AE851FB18DAB}"/>
    <cellStyle name="20% - Accent5 3 4 2 2" xfId="2624" xr:uid="{41BBD361-15FE-4A48-918F-D54D765595A9}"/>
    <cellStyle name="20% - Accent5 3 4 2 3" xfId="3275" xr:uid="{97E0E2C6-A8D5-4AE0-88CD-54342ACB293B}"/>
    <cellStyle name="20% - Accent5 3 4 2 4" xfId="3931" xr:uid="{295294C0-2587-45F7-90EF-193923817DD0}"/>
    <cellStyle name="20% - Accent5 3 4 2 5" xfId="4594" xr:uid="{4691877F-2D91-41EC-84F7-8B7810368CD5}"/>
    <cellStyle name="20% - Accent5 3 4 3" xfId="2297" xr:uid="{F91C0126-58AB-48A5-B7AE-08426D37D664}"/>
    <cellStyle name="20% - Accent5 3 4 4" xfId="2948" xr:uid="{CA71CEEB-8AEE-46E6-ADB0-AA4292ECE084}"/>
    <cellStyle name="20% - Accent5 3 4 5" xfId="3604" xr:uid="{07CF0246-40A6-4C97-98BA-DCA624AEAADC}"/>
    <cellStyle name="20% - Accent5 3 4 6" xfId="4267" xr:uid="{27C64B6A-2420-4872-A54D-BACD10B8AFD4}"/>
    <cellStyle name="20% - Accent5 3 4 7" xfId="1234" xr:uid="{5B006F92-521B-4040-9989-555E82E5D3F0}"/>
    <cellStyle name="20% - Accent5 3 5" xfId="306" xr:uid="{5B932D15-BEBB-44AC-8DD4-60F7CAE202BB}"/>
    <cellStyle name="20% - Accent5 3 5 2" xfId="2408" xr:uid="{B1DDFEC9-3357-4D0A-A40E-C62C14EB3E27}"/>
    <cellStyle name="20% - Accent5 3 5 3" xfId="3059" xr:uid="{48A3D3CC-B924-47E7-B424-E06ADD6590D2}"/>
    <cellStyle name="20% - Accent5 3 5 4" xfId="3715" xr:uid="{8F45F376-8CC1-4315-9F76-CD359ADE4521}"/>
    <cellStyle name="20% - Accent5 3 5 5" xfId="4378" xr:uid="{CC414E2E-8C8D-4B51-9967-5E298A162717}"/>
    <cellStyle name="20% - Accent5 3 5 6" xfId="1349" xr:uid="{0DABF8F1-EFFB-4A62-A61B-0CE2902E9573}"/>
    <cellStyle name="20% - Accent5 3 6" xfId="1894" xr:uid="{27A97BE8-125E-44B1-912D-7BC6BD71D6AE}"/>
    <cellStyle name="20% - Accent5 3 7" xfId="2081" xr:uid="{E7BA96C7-DF66-473E-AE5C-98E6F9AF0776}"/>
    <cellStyle name="20% - Accent5 3 8" xfId="2732" xr:uid="{F8D1FFD8-1D0E-4B25-AD89-FEA6E8F17747}"/>
    <cellStyle name="20% - Accent5 3 9" xfId="3387" xr:uid="{A1E5D52D-C06C-4806-8796-6CD32B68C9B8}"/>
    <cellStyle name="20% - Accent5 4" xfId="374" xr:uid="{DE2DA50E-126F-4287-BD49-2484B7DE54A7}"/>
    <cellStyle name="20% - Accent5 4 10" xfId="1034" xr:uid="{D6A8B4D1-AFF9-474C-ACA7-8F9A6E51C21E}"/>
    <cellStyle name="20% - Accent5 4 2" xfId="489" xr:uid="{7737558E-A6BC-4FAA-9D16-7DCB64F8EA7D}"/>
    <cellStyle name="20% - Accent5 4 2 2" xfId="708" xr:uid="{C8993768-9907-442C-AFB5-03FDD3080AD8}"/>
    <cellStyle name="20% - Accent5 4 2 2 2" xfId="2537" xr:uid="{E4499549-10BB-429D-AF03-09C9EA45C164}"/>
    <cellStyle name="20% - Accent5 4 2 2 3" xfId="3188" xr:uid="{FDBCD770-82F0-46CE-BC36-17AE49528A11}"/>
    <cellStyle name="20% - Accent5 4 2 2 4" xfId="3844" xr:uid="{0FD2AA04-9A60-4763-A517-E1D17B63D220}"/>
    <cellStyle name="20% - Accent5 4 2 2 5" xfId="4507" xr:uid="{32CA0FE0-3A30-4B0F-B8FE-9C7725AF8365}"/>
    <cellStyle name="20% - Accent5 4 2 2 6" xfId="1478" xr:uid="{D95FED26-21CE-45CC-9255-4A21E90CFF91}"/>
    <cellStyle name="20% - Accent5 4 2 3" xfId="1901" xr:uid="{8C39A97F-CE3E-47C0-B332-2D29EEE6FAB8}"/>
    <cellStyle name="20% - Accent5 4 2 4" xfId="2210" xr:uid="{07AD4C9B-7ABF-43EC-96DF-3174EC31FF67}"/>
    <cellStyle name="20% - Accent5 4 2 5" xfId="2861" xr:uid="{1779FC8D-C42C-43A9-B9D4-69A20C580172}"/>
    <cellStyle name="20% - Accent5 4 2 6" xfId="3517" xr:uid="{9715EC26-7FC1-4AEF-96E8-86D2FBEDAD47}"/>
    <cellStyle name="20% - Accent5 4 2 7" xfId="4180" xr:uid="{D525A4D5-17E4-41C6-8C9E-814035754F48}"/>
    <cellStyle name="20% - Accent5 4 2 8" xfId="1141" xr:uid="{FD4AB832-D17A-4CAB-AC8E-4C8E5F55F9DD}"/>
    <cellStyle name="20% - Accent5 4 3" xfId="598" xr:uid="{B5F58FE4-FE81-4601-AF87-2A97A1B0EFB4}"/>
    <cellStyle name="20% - Accent5 4 3 2" xfId="1586" xr:uid="{D4733921-49E9-4744-9333-635589CA8248}"/>
    <cellStyle name="20% - Accent5 4 3 2 2" xfId="2645" xr:uid="{FAC64292-0374-471A-806B-BCF3FE3A2823}"/>
    <cellStyle name="20% - Accent5 4 3 2 3" xfId="3296" xr:uid="{43E10C34-9CDF-4DD8-B090-B640AD2CAA46}"/>
    <cellStyle name="20% - Accent5 4 3 2 4" xfId="3952" xr:uid="{7BCB7CE5-DBEE-4141-8973-E5B40658BDAD}"/>
    <cellStyle name="20% - Accent5 4 3 2 5" xfId="4615" xr:uid="{3556208A-51C7-41F3-B27C-6365F149352A}"/>
    <cellStyle name="20% - Accent5 4 3 3" xfId="2318" xr:uid="{16BD371F-5FEC-46F4-B9BC-40F2C2E97219}"/>
    <cellStyle name="20% - Accent5 4 3 4" xfId="2969" xr:uid="{E267BD4D-2549-460C-9362-1F864548A3C2}"/>
    <cellStyle name="20% - Accent5 4 3 5" xfId="3625" xr:uid="{3B12C863-EEF2-4BF2-B62E-37A684A4EAEC}"/>
    <cellStyle name="20% - Accent5 4 3 6" xfId="4288" xr:uid="{A017C11D-C812-42BB-ADEC-902B2C6651B0}"/>
    <cellStyle name="20% - Accent5 4 3 7" xfId="1255" xr:uid="{28C7553F-8FE6-41BC-B0EB-00988489F0FC}"/>
    <cellStyle name="20% - Accent5 4 4" xfId="1370" xr:uid="{2ADBD4A7-B6DA-4730-BF44-0D3A988D879E}"/>
    <cellStyle name="20% - Accent5 4 4 2" xfId="2429" xr:uid="{C08D51FE-D858-4910-8259-E1DF8E011E58}"/>
    <cellStyle name="20% - Accent5 4 4 3" xfId="3080" xr:uid="{03AEB57D-FF19-4D02-9C9C-D4FDC079C297}"/>
    <cellStyle name="20% - Accent5 4 4 4" xfId="3736" xr:uid="{BADC5557-4282-4371-955E-214F3CD3DFE3}"/>
    <cellStyle name="20% - Accent5 4 4 5" xfId="4399" xr:uid="{D1A57856-EEE3-4204-91AA-A5554D18152A}"/>
    <cellStyle name="20% - Accent5 4 5" xfId="1995" xr:uid="{6976C457-D860-49F5-AAC2-FA7A3DCD653D}"/>
    <cellStyle name="20% - Accent5 4 6" xfId="2102" xr:uid="{140A28E5-A678-4FDF-BBD8-7491E7C0F4BC}"/>
    <cellStyle name="20% - Accent5 4 7" xfId="2753" xr:uid="{452A7D66-9C96-44B3-B23B-56E1C82CFD4E}"/>
    <cellStyle name="20% - Accent5 4 8" xfId="3409" xr:uid="{E4A1154D-3B04-49C2-ACA0-84B7DD0AADC9}"/>
    <cellStyle name="20% - Accent5 4 9" xfId="4072" xr:uid="{DEBCE6D1-93D3-4783-A8BB-BCF000F72662}"/>
    <cellStyle name="20% - Accent5 5" xfId="330" xr:uid="{9BAE7120-2653-4325-A164-612F0F4A1EE1}"/>
    <cellStyle name="20% - Accent5 5 10" xfId="1085" xr:uid="{BCC49B09-8384-40BB-8530-A2CF7ADB3FAD}"/>
    <cellStyle name="20% - Accent5 5 2" xfId="451" xr:uid="{50C48924-D142-4B61-AB3A-8C3A5EEB08A9}"/>
    <cellStyle name="20% - Accent5 5 2 2" xfId="670" xr:uid="{1E73AB9E-922D-48D2-95D1-30FCF32A6AB9}"/>
    <cellStyle name="20% - Accent5 5 2 2 2" xfId="2481" xr:uid="{D95CC214-55FA-4EBA-88E4-8E84AA48E3B1}"/>
    <cellStyle name="20% - Accent5 5 2 3" xfId="3132" xr:uid="{16461E82-0452-44B3-9231-11F3F3ED7AF4}"/>
    <cellStyle name="20% - Accent5 5 2 4" xfId="3788" xr:uid="{C7C9C53B-BEB7-453B-957F-612966EF785A}"/>
    <cellStyle name="20% - Accent5 5 2 5" xfId="4451" xr:uid="{3173845B-B8AA-4178-AE46-DE68BC7D692D}"/>
    <cellStyle name="20% - Accent5 5 2 6" xfId="1422" xr:uid="{78F34526-F5EB-45DC-B45B-C6D897D28639}"/>
    <cellStyle name="20% - Accent5 5 3" xfId="560" xr:uid="{2B4616D6-3B33-4260-8EC9-8B5C1AB332FA}"/>
    <cellStyle name="20% - Accent5 5 3 2" xfId="1982" xr:uid="{D579F028-72CE-41CF-9E51-ABEBBD060004}"/>
    <cellStyle name="20% - Accent5 5 4" xfId="2154" xr:uid="{B978810D-2C1E-4930-83A7-F25061D691DC}"/>
    <cellStyle name="20% - Accent5 5 5" xfId="2805" xr:uid="{C5D49185-A639-4792-A7FA-94275DD662B0}"/>
    <cellStyle name="20% - Accent5 5 6" xfId="3461" xr:uid="{08D27BC2-0BB2-49D5-A9B0-348E8656A8FE}"/>
    <cellStyle name="20% - Accent5 5 7" xfId="4124" xr:uid="{48C30DC8-6AC6-498E-A877-02E84837288C}"/>
    <cellStyle name="20% - Accent5 5 8" xfId="1827" xr:uid="{2E2848EE-1E80-4219-A935-5C9976B64685}"/>
    <cellStyle name="20% - Accent5 5 9" xfId="1679" xr:uid="{8D899D72-6B92-47BE-89EF-48A256A17C10}"/>
    <cellStyle name="20% - Accent5 6" xfId="404" xr:uid="{4A75B0F9-1EC1-4249-A5EB-439FE80C9760}"/>
    <cellStyle name="20% - Accent5 6 2" xfId="624" xr:uid="{B1B540E1-521F-40B3-8BE7-5485082F9A74}"/>
    <cellStyle name="20% - Accent5 6 2 2" xfId="2589" xr:uid="{F81EE6FA-CE97-463E-9C7E-E4FF453CCC04}"/>
    <cellStyle name="20% - Accent5 6 2 3" xfId="3240" xr:uid="{16E1398F-9C70-4650-BE50-03F35842FFC0}"/>
    <cellStyle name="20% - Accent5 6 2 4" xfId="3896" xr:uid="{5490F021-22B5-4453-89D7-CC9563136D75}"/>
    <cellStyle name="20% - Accent5 6 2 5" xfId="4559" xr:uid="{57A68D4B-1497-455F-BCD1-9EC96270A580}"/>
    <cellStyle name="20% - Accent5 6 2 6" xfId="1530" xr:uid="{5BD12033-987A-4354-8271-FC4DCCCDF99D}"/>
    <cellStyle name="20% - Accent5 6 3" xfId="2262" xr:uid="{C757541A-AB64-4163-9A9F-027667D7C98E}"/>
    <cellStyle name="20% - Accent5 6 4" xfId="2913" xr:uid="{D5ED313E-D501-4386-856F-2483BE0FA347}"/>
    <cellStyle name="20% - Accent5 6 5" xfId="3569" xr:uid="{1C6E56E6-B6F3-4314-9762-8D999A20943A}"/>
    <cellStyle name="20% - Accent5 6 6" xfId="4232" xr:uid="{5A5B2D6E-6E08-4284-A12A-043243E67C85}"/>
    <cellStyle name="20% - Accent5 6 7" xfId="1199" xr:uid="{78068BF7-0DEB-407D-9DAC-D03320EAEA98}"/>
    <cellStyle name="20% - Accent5 7" xfId="514" xr:uid="{1B69B9B2-FA8C-4B23-A78A-7525B73724F0}"/>
    <cellStyle name="20% - Accent5 7 2" xfId="2373" xr:uid="{FD6C82C5-6083-47AD-BFB9-CC259ABCBD51}"/>
    <cellStyle name="20% - Accent5 7 3" xfId="3024" xr:uid="{6579460D-2C19-413E-8A9B-FA7D19D274BF}"/>
    <cellStyle name="20% - Accent5 7 4" xfId="3680" xr:uid="{C52FFAEC-DB37-4CCA-923B-15AA25854AF5}"/>
    <cellStyle name="20% - Accent5 7 5" xfId="4343" xr:uid="{36521564-5FDA-4B4F-875F-9A6722B17F82}"/>
    <cellStyle name="20% - Accent5 7 6" xfId="1309" xr:uid="{E8933331-56A4-43CB-9C54-4BA4A63D6FD2}"/>
    <cellStyle name="20% - Accent5 8" xfId="282" xr:uid="{A65A3191-B2D6-403A-9C7E-77E8334CD1B4}"/>
    <cellStyle name="20% - Accent5 8 2" xfId="1855" xr:uid="{55C035A4-3D74-4256-9FFC-82932200A04E}"/>
    <cellStyle name="20% - Accent5 9" xfId="2046" xr:uid="{EAEE6EB6-5E8B-4A28-98A5-29DB33E17693}"/>
    <cellStyle name="20% - Accent6" xfId="42" builtinId="50" customBuiltin="1"/>
    <cellStyle name="20% - Accent6 10" xfId="2699" xr:uid="{829C0DFA-EF45-4BF6-9B60-6E5B3442FB2A}"/>
    <cellStyle name="20% - Accent6 11" xfId="3353" xr:uid="{68B1E817-7200-4F7B-865D-101DD361D68A}"/>
    <cellStyle name="20% - Accent6 12" xfId="4018" xr:uid="{2FAB13A3-1499-452E-91C9-89DBF070582D}"/>
    <cellStyle name="20% - Accent6 13" xfId="737" xr:uid="{B4BB8CCA-38A5-4B74-9529-284F820037FC}"/>
    <cellStyle name="20% - Accent6 14" xfId="165" xr:uid="{142A1731-3E01-45BF-B357-1054C1D9F8DF}"/>
    <cellStyle name="20% - Accent6 2" xfId="83" xr:uid="{A1858914-6129-4AAA-9317-6FC0AFD93587}"/>
    <cellStyle name="20% - Accent6 2 10" xfId="4031" xr:uid="{ECA6684C-E796-4F0B-A8F5-E4E1811D3B6E}"/>
    <cellStyle name="20% - Accent6 2 11" xfId="745" xr:uid="{4F2A9DDA-7156-4825-BFA8-D2841DF33E15}"/>
    <cellStyle name="20% - Accent6 2 12" xfId="176" xr:uid="{4F03A169-AF0F-4AFC-AA9A-E069F9D925AD}"/>
    <cellStyle name="20% - Accent6 2 2" xfId="1047" xr:uid="{36679A18-0157-4CE1-8334-ADC3642008EA}"/>
    <cellStyle name="20% - Accent6 2 2 2" xfId="1154" xr:uid="{54105012-ED39-41F4-891C-7C15382CBF48}"/>
    <cellStyle name="20% - Accent6 2 2 2 2" xfId="1491" xr:uid="{90A160C5-A6ED-4B33-A3A6-940DE579193C}"/>
    <cellStyle name="20% - Accent6 2 2 2 2 2" xfId="2550" xr:uid="{A07D1AA7-6C5F-4F84-8642-2A3D33D1CDD3}"/>
    <cellStyle name="20% - Accent6 2 2 2 2 3" xfId="3201" xr:uid="{688BE660-2336-4A60-B876-523FCBFA57C8}"/>
    <cellStyle name="20% - Accent6 2 2 2 2 4" xfId="3857" xr:uid="{F4A5D970-29AC-4F91-9863-971332539DF9}"/>
    <cellStyle name="20% - Accent6 2 2 2 2 5" xfId="4520" xr:uid="{627F4868-B5FB-4FB2-ACA5-2BD09DC7677B}"/>
    <cellStyle name="20% - Accent6 2 2 2 3" xfId="2030" xr:uid="{F2C559A8-8BA3-4F8D-9C09-B240FA7A8424}"/>
    <cellStyle name="20% - Accent6 2 2 2 4" xfId="2223" xr:uid="{25A89704-0125-45CE-BE84-5D86DEE6D45B}"/>
    <cellStyle name="20% - Accent6 2 2 2 5" xfId="2874" xr:uid="{422EF0A0-0379-42DE-86F3-86DCEB9C49FD}"/>
    <cellStyle name="20% - Accent6 2 2 2 6" xfId="3530" xr:uid="{C59EAEC6-ACC9-41E4-A7FC-33401B6365D1}"/>
    <cellStyle name="20% - Accent6 2 2 2 7" xfId="4193" xr:uid="{903CEB44-FCD8-4B51-92D7-6C23A6B256CD}"/>
    <cellStyle name="20% - Accent6 2 2 3" xfId="1268" xr:uid="{F657578B-AFA0-4EEC-A6C6-E6053F4A53F9}"/>
    <cellStyle name="20% - Accent6 2 2 3 2" xfId="1599" xr:uid="{6B4DF9B4-DE4A-4B8C-8B5C-A96BF989BF29}"/>
    <cellStyle name="20% - Accent6 2 2 3 2 2" xfId="2658" xr:uid="{D0D0B260-562C-4D76-9D6C-9DEF1BB26E8E}"/>
    <cellStyle name="20% - Accent6 2 2 3 2 3" xfId="3309" xr:uid="{BED0F5E8-FE0B-44DB-8588-FD8237415C57}"/>
    <cellStyle name="20% - Accent6 2 2 3 2 4" xfId="3965" xr:uid="{4D26937F-178F-469F-AF53-B382E2C7F250}"/>
    <cellStyle name="20% - Accent6 2 2 3 2 5" xfId="4628" xr:uid="{5BE5EF04-BB39-4585-82CD-6F5BF116AB49}"/>
    <cellStyle name="20% - Accent6 2 2 3 3" xfId="2331" xr:uid="{B89A12AB-362E-4D64-A623-C8092AEA2015}"/>
    <cellStyle name="20% - Accent6 2 2 3 4" xfId="2982" xr:uid="{C922A54F-6843-47A7-A712-C13936FA6AD7}"/>
    <cellStyle name="20% - Accent6 2 2 3 5" xfId="3638" xr:uid="{5B3E2540-0424-46F2-8961-26DC0FE549B8}"/>
    <cellStyle name="20% - Accent6 2 2 3 6" xfId="4301" xr:uid="{55DC0A6A-4B48-4ED8-B4FC-8BE90F438BD3}"/>
    <cellStyle name="20% - Accent6 2 2 4" xfId="1383" xr:uid="{4E1D9808-E543-4487-B838-244D8586B89E}"/>
    <cellStyle name="20% - Accent6 2 2 4 2" xfId="2442" xr:uid="{6AF8E106-75D9-4657-8605-BAD5B7B74D7E}"/>
    <cellStyle name="20% - Accent6 2 2 4 3" xfId="3093" xr:uid="{82D3C80F-33CE-4BE8-896C-CA9FACC09CED}"/>
    <cellStyle name="20% - Accent6 2 2 4 4" xfId="3749" xr:uid="{0BE990DD-F596-4F88-81E4-9C8F1CDBD7AE}"/>
    <cellStyle name="20% - Accent6 2 2 4 5" xfId="4412" xr:uid="{C17AE014-1BA7-49CD-ACF1-DC0E9BC1A6AD}"/>
    <cellStyle name="20% - Accent6 2 2 5" xfId="1913" xr:uid="{A4FA1E4F-A6EC-43BF-808C-ED163FD29C56}"/>
    <cellStyle name="20% - Accent6 2 2 6" xfId="2115" xr:uid="{6C37672E-91E4-418B-A911-1B0CF3909687}"/>
    <cellStyle name="20% - Accent6 2 2 7" xfId="2766" xr:uid="{43EB9ED3-F170-4735-8994-FF0DFD6E7645}"/>
    <cellStyle name="20% - Accent6 2 2 8" xfId="3422" xr:uid="{C0060041-4C42-4D0F-9CF2-34B70A89DCAF}"/>
    <cellStyle name="20% - Accent6 2 2 9" xfId="4085" xr:uid="{97139100-E16F-4ABB-8EF6-215E5CD529AD}"/>
    <cellStyle name="20% - Accent6 2 3" xfId="1100" xr:uid="{E57CF1E0-725F-4B7D-AB33-778BC73124E8}"/>
    <cellStyle name="20% - Accent6 2 3 2" xfId="1437" xr:uid="{B0735584-5BBF-4BC1-A9FA-1CADAF34B192}"/>
    <cellStyle name="20% - Accent6 2 3 2 2" xfId="2496" xr:uid="{5822B409-1ACC-4C44-892C-F3B462A34C9D}"/>
    <cellStyle name="20% - Accent6 2 3 2 3" xfId="3147" xr:uid="{8710B003-063E-4094-AB1A-19AB6D834D8A}"/>
    <cellStyle name="20% - Accent6 2 3 2 4" xfId="3803" xr:uid="{D5987C96-E885-433A-BDBC-F6C027974582}"/>
    <cellStyle name="20% - Accent6 2 3 2 5" xfId="4466" xr:uid="{10B190D2-4990-452C-82A3-F7A0F9AF464F}"/>
    <cellStyle name="20% - Accent6 2 3 3" xfId="2003" xr:uid="{5BB2950E-F4A2-4422-8101-C411F39449AD}"/>
    <cellStyle name="20% - Accent6 2 3 4" xfId="2169" xr:uid="{D13FD765-1523-4476-B770-44ABF008A452}"/>
    <cellStyle name="20% - Accent6 2 3 5" xfId="2820" xr:uid="{D2722CD8-A2E0-49C9-9F7A-51BC1F6DDEFC}"/>
    <cellStyle name="20% - Accent6 2 3 6" xfId="3476" xr:uid="{7E6C84B4-C644-4D20-B950-87CE9D017C47}"/>
    <cellStyle name="20% - Accent6 2 3 7" xfId="4139" xr:uid="{9A2D0DB9-1CAC-4AAA-991F-AE51B1700CAA}"/>
    <cellStyle name="20% - Accent6 2 4" xfId="1214" xr:uid="{A71C215A-D52F-40D2-98A0-EE8B8619AEB4}"/>
    <cellStyle name="20% - Accent6 2 4 2" xfId="1545" xr:uid="{17C3F9A1-791A-48B2-BF8C-E5DB7367EFD5}"/>
    <cellStyle name="20% - Accent6 2 4 2 2" xfId="2604" xr:uid="{9D8002C3-3A52-4486-B325-4351FC82CA64}"/>
    <cellStyle name="20% - Accent6 2 4 2 3" xfId="3255" xr:uid="{B3B0568A-FC10-4EC6-B442-21F3CE9539C4}"/>
    <cellStyle name="20% - Accent6 2 4 2 4" xfId="3911" xr:uid="{CD3E08EF-E542-40EE-B66E-C32ED5076BB2}"/>
    <cellStyle name="20% - Accent6 2 4 2 5" xfId="4574" xr:uid="{A89B2906-B298-4A04-A16D-DA7C130263D2}"/>
    <cellStyle name="20% - Accent6 2 4 3" xfId="2277" xr:uid="{B206E38C-B2CC-4E40-909B-51C88565A7D7}"/>
    <cellStyle name="20% - Accent6 2 4 4" xfId="2928" xr:uid="{ADB72184-9B4A-4212-9820-91207D2D3C2A}"/>
    <cellStyle name="20% - Accent6 2 4 5" xfId="3584" xr:uid="{A38BA142-301D-43E1-8F3C-23E93ABDD867}"/>
    <cellStyle name="20% - Accent6 2 4 6" xfId="4247" xr:uid="{978BE319-34B8-4C64-958A-92D2EF9DDBC8}"/>
    <cellStyle name="20% - Accent6 2 5" xfId="1329" xr:uid="{74A93145-F8DB-493E-859B-E90F17CD1337}"/>
    <cellStyle name="20% - Accent6 2 5 2" xfId="2388" xr:uid="{8862983B-27DE-4186-AF1B-F32EDF02ED89}"/>
    <cellStyle name="20% - Accent6 2 5 3" xfId="3039" xr:uid="{A0883400-EF6F-412F-ACF7-0400C8760A56}"/>
    <cellStyle name="20% - Accent6 2 5 4" xfId="3695" xr:uid="{DD3D4D41-44D9-4F0B-B7F7-1D2D3304542D}"/>
    <cellStyle name="20% - Accent6 2 5 5" xfId="4358" xr:uid="{4CF3B584-E686-4BA4-B303-8C021D7F3138}"/>
    <cellStyle name="20% - Accent6 2 6" xfId="1877" xr:uid="{500EA438-6E0A-4C2A-BE57-242B7E5FF374}"/>
    <cellStyle name="20% - Accent6 2 7" xfId="2061" xr:uid="{1C3C363D-49AA-4F2D-B576-E197A1B60CE6}"/>
    <cellStyle name="20% - Accent6 2 8" xfId="2712" xr:uid="{18B561AC-730D-48DD-BB53-9FD27CFC55E2}"/>
    <cellStyle name="20% - Accent6 2 9" xfId="3367" xr:uid="{CECA0477-4052-4D32-A002-610E2D80A533}"/>
    <cellStyle name="20% - Accent6 3" xfId="260" xr:uid="{BF66AAE0-C117-4DC7-A487-97BC0CCF2D6A}"/>
    <cellStyle name="20% - Accent6 3 10" xfId="4053" xr:uid="{4EA2F684-4CEE-434F-9C6A-528D9B6C6062}"/>
    <cellStyle name="20% - Accent6 3 11" xfId="1814" xr:uid="{A43C7E6D-39F3-442E-B69A-13F586D59D50}"/>
    <cellStyle name="20% - Accent6 3 12" xfId="1756" xr:uid="{D34ABF22-7AAE-48AC-B95A-72EEABA099F1}"/>
    <cellStyle name="20% - Accent6 3 13" xfId="1005" xr:uid="{3F45B14C-C967-4AEF-9FD1-D8A6BF36C510}"/>
    <cellStyle name="20% - Accent6 3 2" xfId="356" xr:uid="{05B90A75-04A8-4667-AD18-33692EFD09E8}"/>
    <cellStyle name="20% - Accent6 3 2 10" xfId="1069" xr:uid="{FBA18D8C-E054-4531-AB9D-46A23DF2C0AE}"/>
    <cellStyle name="20% - Accent6 3 2 2" xfId="472" xr:uid="{ADA9041D-2DA4-430D-8D10-98AD1A5993FE}"/>
    <cellStyle name="20% - Accent6 3 2 2 2" xfId="691" xr:uid="{B02F0D3F-275F-4D66-96D5-6FDCE67105B4}"/>
    <cellStyle name="20% - Accent6 3 2 2 2 2" xfId="2572" xr:uid="{32E5A132-A571-49F6-BF21-4DE7BACFD17E}"/>
    <cellStyle name="20% - Accent6 3 2 2 2 3" xfId="3223" xr:uid="{83A31762-876F-4FB5-B2F6-E37E487E55D8}"/>
    <cellStyle name="20% - Accent6 3 2 2 2 4" xfId="3879" xr:uid="{137BAF04-E003-4B78-A48F-2E581BEA77F5}"/>
    <cellStyle name="20% - Accent6 3 2 2 2 5" xfId="4542" xr:uid="{FA183163-D766-4E82-80C4-E64458421571}"/>
    <cellStyle name="20% - Accent6 3 2 2 2 6" xfId="1513" xr:uid="{0C148935-42E4-4D58-8D0A-AAD8414D5267}"/>
    <cellStyle name="20% - Accent6 3 2 2 3" xfId="1897" xr:uid="{765DDE8B-245E-4142-BD55-F2A962E49671}"/>
    <cellStyle name="20% - Accent6 3 2 2 4" xfId="2245" xr:uid="{2082A325-1239-4432-A279-840AAAE63DD5}"/>
    <cellStyle name="20% - Accent6 3 2 2 5" xfId="2896" xr:uid="{BAAE8758-6DEB-488C-A869-97FEAC1318E5}"/>
    <cellStyle name="20% - Accent6 3 2 2 6" xfId="3552" xr:uid="{BD359174-6043-46F3-BB74-8B2CC84B6BC0}"/>
    <cellStyle name="20% - Accent6 3 2 2 7" xfId="4215" xr:uid="{C7F74DA5-8324-4C0A-A394-13B795B081D0}"/>
    <cellStyle name="20% - Accent6 3 2 2 8" xfId="1176" xr:uid="{C856405F-5F23-45E6-9764-17D9A1EB3D12}"/>
    <cellStyle name="20% - Accent6 3 2 3" xfId="581" xr:uid="{87A68A3B-F1AC-4612-B49C-AA430B567EF7}"/>
    <cellStyle name="20% - Accent6 3 2 3 2" xfId="1621" xr:uid="{813FB73E-7649-498F-AE95-6AFDA749A2B0}"/>
    <cellStyle name="20% - Accent6 3 2 3 2 2" xfId="2680" xr:uid="{412DF1EC-88D8-47FF-AE46-7FDDFF6B241F}"/>
    <cellStyle name="20% - Accent6 3 2 3 2 3" xfId="3331" xr:uid="{B5074400-F1DE-4918-8258-26D17B88B412}"/>
    <cellStyle name="20% - Accent6 3 2 3 2 4" xfId="3987" xr:uid="{C2401BBD-2FDB-4276-BE1D-85E83DB03D8E}"/>
    <cellStyle name="20% - Accent6 3 2 3 2 5" xfId="4650" xr:uid="{45FF0452-7886-499C-936C-67FA3045208D}"/>
    <cellStyle name="20% - Accent6 3 2 3 3" xfId="2353" xr:uid="{678C0B2C-D3DE-4C1A-AA5B-BE4C4640F3E0}"/>
    <cellStyle name="20% - Accent6 3 2 3 4" xfId="3004" xr:uid="{B1A03705-A691-4199-9C73-F11B9B3D6F54}"/>
    <cellStyle name="20% - Accent6 3 2 3 5" xfId="3660" xr:uid="{8B55BE04-6110-4071-9693-652896B05B77}"/>
    <cellStyle name="20% - Accent6 3 2 3 6" xfId="4323" xr:uid="{F4CD6AC3-7B38-4DE6-9CE0-046004CB8CC2}"/>
    <cellStyle name="20% - Accent6 3 2 3 7" xfId="1290" xr:uid="{020BE18E-2E57-4B92-84A7-324D4EBC531D}"/>
    <cellStyle name="20% - Accent6 3 2 4" xfId="1405" xr:uid="{4FD001E4-CCA1-47A5-8BFB-BE2D9D9AE035}"/>
    <cellStyle name="20% - Accent6 3 2 4 2" xfId="2464" xr:uid="{CCE241CE-553F-405A-B746-A2B6DFE42D44}"/>
    <cellStyle name="20% - Accent6 3 2 4 3" xfId="3115" xr:uid="{994DF434-13D2-4252-8495-5A64FA14FBC5}"/>
    <cellStyle name="20% - Accent6 3 2 4 4" xfId="3771" xr:uid="{C8AEA120-2DB7-47BA-B4B2-86F229631937}"/>
    <cellStyle name="20% - Accent6 3 2 4 5" xfId="4434" xr:uid="{1CC0BD36-E55D-45C5-AB76-278AD4678B3F}"/>
    <cellStyle name="20% - Accent6 3 2 5" xfId="1907" xr:uid="{20E21BD9-3E34-4A83-B6AA-9973E960F059}"/>
    <cellStyle name="20% - Accent6 3 2 6" xfId="2137" xr:uid="{836E1CC4-86FC-47E3-9205-6E01DD7C3A99}"/>
    <cellStyle name="20% - Accent6 3 2 7" xfId="2788" xr:uid="{F465C1B4-6020-43E7-8F7F-1E702075F213}"/>
    <cellStyle name="20% - Accent6 3 2 8" xfId="3444" xr:uid="{33A3E4F1-1572-402D-9434-CDACB5B7E0B5}"/>
    <cellStyle name="20% - Accent6 3 2 9" xfId="4107" xr:uid="{A00F4EE1-0784-499A-A772-A17FE6DBBC93}"/>
    <cellStyle name="20% - Accent6 3 3" xfId="429" xr:uid="{A256FE23-3F64-441D-8DA1-09353E06C786}"/>
    <cellStyle name="20% - Accent6 3 3 2" xfId="648" xr:uid="{179690DA-3098-44DB-B916-2EEF0ED99E26}"/>
    <cellStyle name="20% - Accent6 3 3 2 2" xfId="2518" xr:uid="{4959D872-249B-48CE-99AF-60DB5338F55F}"/>
    <cellStyle name="20% - Accent6 3 3 2 3" xfId="3169" xr:uid="{4718E8B2-2A2D-4524-92E4-02DBA978898A}"/>
    <cellStyle name="20% - Accent6 3 3 2 4" xfId="3825" xr:uid="{A8E7470E-374F-4D02-B5A7-7028066A3264}"/>
    <cellStyle name="20% - Accent6 3 3 2 5" xfId="4488" xr:uid="{78CEA19D-AD63-4ACA-A65B-42D8B85468F6}"/>
    <cellStyle name="20% - Accent6 3 3 2 6" xfId="1459" xr:uid="{BBDAB065-1D78-4B3F-8C3B-2D0676EC42A9}"/>
    <cellStyle name="20% - Accent6 3 3 3" xfId="1967" xr:uid="{C44A146C-1BAA-4DC9-9ADE-0AD39824DE58}"/>
    <cellStyle name="20% - Accent6 3 3 4" xfId="2191" xr:uid="{AA1779ED-A414-4240-8101-C1955C0907D1}"/>
    <cellStyle name="20% - Accent6 3 3 5" xfId="2842" xr:uid="{91E90609-E9AD-4F6B-916E-F5501866156E}"/>
    <cellStyle name="20% - Accent6 3 3 6" xfId="3498" xr:uid="{ED35EE33-9AC9-4D33-AC49-24E6A304442E}"/>
    <cellStyle name="20% - Accent6 3 3 7" xfId="4161" xr:uid="{B28B07FC-36EB-43C3-A565-9D9E5C58A0CB}"/>
    <cellStyle name="20% - Accent6 3 3 8" xfId="1122" xr:uid="{EFA2F064-40FD-474E-A1C7-2313C0E7EAA8}"/>
    <cellStyle name="20% - Accent6 3 4" xfId="538" xr:uid="{4ECA59AA-E754-47E3-97CC-BCC088C3D679}"/>
    <cellStyle name="20% - Accent6 3 4 2" xfId="1567" xr:uid="{BB7BD73A-4804-48BD-83DF-835CDCB694D5}"/>
    <cellStyle name="20% - Accent6 3 4 2 2" xfId="2626" xr:uid="{408A1FC8-2AEB-4B6D-BC36-170BE909AE18}"/>
    <cellStyle name="20% - Accent6 3 4 2 3" xfId="3277" xr:uid="{12C4F248-A018-4AB0-AB6C-17A1173F660D}"/>
    <cellStyle name="20% - Accent6 3 4 2 4" xfId="3933" xr:uid="{AF1DCC45-5E34-4F54-B870-649699E899AE}"/>
    <cellStyle name="20% - Accent6 3 4 2 5" xfId="4596" xr:uid="{AF495E14-7FC6-40B9-A3A1-8AE9A527022C}"/>
    <cellStyle name="20% - Accent6 3 4 3" xfId="2299" xr:uid="{FDF7268C-EBE3-4D7B-B831-5832F821282D}"/>
    <cellStyle name="20% - Accent6 3 4 4" xfId="2950" xr:uid="{655ACC6F-1D8F-4EC5-A3E6-9BD1285A0794}"/>
    <cellStyle name="20% - Accent6 3 4 5" xfId="3606" xr:uid="{AE257992-9FCC-4A64-8F10-FD4306631A87}"/>
    <cellStyle name="20% - Accent6 3 4 6" xfId="4269" xr:uid="{6C01AD91-1F26-401E-B70B-DAAEB4D11C95}"/>
    <cellStyle name="20% - Accent6 3 4 7" xfId="1236" xr:uid="{C46DCEE9-63D0-4288-8442-72BE40D7EE31}"/>
    <cellStyle name="20% - Accent6 3 5" xfId="308" xr:uid="{B2CFA6B7-342A-4C2A-8A20-A6565D29B12A}"/>
    <cellStyle name="20% - Accent6 3 5 2" xfId="2410" xr:uid="{D062F421-0CE0-4C78-A672-6867D0AD5FDB}"/>
    <cellStyle name="20% - Accent6 3 5 3" xfId="3061" xr:uid="{CB242DC4-E1E0-4376-B301-02C1D92C3595}"/>
    <cellStyle name="20% - Accent6 3 5 4" xfId="3717" xr:uid="{7F0079DA-629F-452B-A8FC-B38FB631197D}"/>
    <cellStyle name="20% - Accent6 3 5 5" xfId="4380" xr:uid="{91D7F15D-CB33-4279-B4DE-C81C9FD474F3}"/>
    <cellStyle name="20% - Accent6 3 5 6" xfId="1351" xr:uid="{BB837FFE-C77A-4714-96BA-48BAFFED4511}"/>
    <cellStyle name="20% - Accent6 3 6" xfId="1892" xr:uid="{A7E4E506-357D-4C88-8B49-4A2E15871E5F}"/>
    <cellStyle name="20% - Accent6 3 7" xfId="2083" xr:uid="{90072821-D9BA-4ADF-B5DE-98CA615DBC2C}"/>
    <cellStyle name="20% - Accent6 3 8" xfId="2734" xr:uid="{9F17CC21-0A1B-4600-B261-09D1E40B0372}"/>
    <cellStyle name="20% - Accent6 3 9" xfId="3389" xr:uid="{52EA151E-4C4A-4848-982E-F579CAC1FD55}"/>
    <cellStyle name="20% - Accent6 4" xfId="376" xr:uid="{C491CE5D-34D8-4BDB-8F99-15392DE2989C}"/>
    <cellStyle name="20% - Accent6 4 10" xfId="1036" xr:uid="{CD010C55-2622-41CA-AAC2-74A9796E5B8D}"/>
    <cellStyle name="20% - Accent6 4 2" xfId="491" xr:uid="{3C5586EF-F695-4F74-B77B-CE9FFF5FEB47}"/>
    <cellStyle name="20% - Accent6 4 2 2" xfId="710" xr:uid="{4AA61007-2151-4DAF-95BC-B0962D8A6B56}"/>
    <cellStyle name="20% - Accent6 4 2 2 2" xfId="2539" xr:uid="{50503B99-749E-45E8-872B-81A47BE59E1F}"/>
    <cellStyle name="20% - Accent6 4 2 2 3" xfId="3190" xr:uid="{7564D7A5-9BA5-46C2-AFF0-6EE03869856A}"/>
    <cellStyle name="20% - Accent6 4 2 2 4" xfId="3846" xr:uid="{C0520CD1-710B-4DF8-8549-10E6B943E18C}"/>
    <cellStyle name="20% - Accent6 4 2 2 5" xfId="4509" xr:uid="{8DA1186E-A4D1-4E67-B44F-26E545B9EDCF}"/>
    <cellStyle name="20% - Accent6 4 2 2 6" xfId="1480" xr:uid="{C6280CCD-10D0-4394-8D9F-880F6856475B}"/>
    <cellStyle name="20% - Accent6 4 2 3" xfId="1919" xr:uid="{81513394-7BB2-45ED-A10F-3A0345D7D6A4}"/>
    <cellStyle name="20% - Accent6 4 2 4" xfId="2212" xr:uid="{CC1D1C19-4E7A-4DF7-B378-6D28E276D136}"/>
    <cellStyle name="20% - Accent6 4 2 5" xfId="2863" xr:uid="{3D1498AA-4C44-4716-9261-868E2FAB2EC4}"/>
    <cellStyle name="20% - Accent6 4 2 6" xfId="3519" xr:uid="{3D4EBB44-14B7-4C07-9E32-8E76664186A3}"/>
    <cellStyle name="20% - Accent6 4 2 7" xfId="4182" xr:uid="{5D9558C8-5F0C-4277-A54A-FDF95D4A5481}"/>
    <cellStyle name="20% - Accent6 4 2 8" xfId="1143" xr:uid="{EFA3F8D5-52DA-4361-A207-5986DAB74265}"/>
    <cellStyle name="20% - Accent6 4 3" xfId="600" xr:uid="{AA5F9DB3-AFCE-4EC9-AAE5-AEBBB677D944}"/>
    <cellStyle name="20% - Accent6 4 3 2" xfId="1588" xr:uid="{E8F09D9B-CDBE-4046-BE8C-37C615CB2D7D}"/>
    <cellStyle name="20% - Accent6 4 3 2 2" xfId="2647" xr:uid="{72B06A4C-ED66-494A-BCAD-4161D13E9E99}"/>
    <cellStyle name="20% - Accent6 4 3 2 3" xfId="3298" xr:uid="{6FD72956-6C0E-4748-A45A-2476E1110275}"/>
    <cellStyle name="20% - Accent6 4 3 2 4" xfId="3954" xr:uid="{E5FA4888-0041-443E-AF9D-37E3AF94F83E}"/>
    <cellStyle name="20% - Accent6 4 3 2 5" xfId="4617" xr:uid="{B0AF90BC-4322-40D1-9600-540125D3B29C}"/>
    <cellStyle name="20% - Accent6 4 3 3" xfId="2320" xr:uid="{E7ACDAE5-B88C-4681-807A-796FCA277449}"/>
    <cellStyle name="20% - Accent6 4 3 4" xfId="2971" xr:uid="{5A18AB9E-767F-4D7A-8CB0-8A6200766F99}"/>
    <cellStyle name="20% - Accent6 4 3 5" xfId="3627" xr:uid="{45340B5C-D994-44AE-B76F-BF52242AFE96}"/>
    <cellStyle name="20% - Accent6 4 3 6" xfId="4290" xr:uid="{87061CAF-20E0-40CA-BE78-2C4DA174F7A3}"/>
    <cellStyle name="20% - Accent6 4 3 7" xfId="1257" xr:uid="{10285FB3-3FD9-4808-8DDD-9EE28D153228}"/>
    <cellStyle name="20% - Accent6 4 4" xfId="1372" xr:uid="{67BBC293-199B-487A-B860-BCFA7532D6A3}"/>
    <cellStyle name="20% - Accent6 4 4 2" xfId="2431" xr:uid="{54E06243-897E-470F-AA2E-2DA661787F0E}"/>
    <cellStyle name="20% - Accent6 4 4 3" xfId="3082" xr:uid="{A3ACBCFC-C021-4551-AC76-141E89C771E5}"/>
    <cellStyle name="20% - Accent6 4 4 4" xfId="3738" xr:uid="{A4B62BAA-1B63-4F20-989A-BC02ACB96CDE}"/>
    <cellStyle name="20% - Accent6 4 4 5" xfId="4401" xr:uid="{18DFF77B-D57F-4397-842B-C4879E15878F}"/>
    <cellStyle name="20% - Accent6 4 5" xfId="1908" xr:uid="{B4554B64-E56F-4BFB-BCF4-E2689011F88C}"/>
    <cellStyle name="20% - Accent6 4 6" xfId="2104" xr:uid="{671E4518-11EC-4F49-B549-89A086D7065A}"/>
    <cellStyle name="20% - Accent6 4 7" xfId="2755" xr:uid="{ECEFCAC9-9638-4173-8229-7028A0156B07}"/>
    <cellStyle name="20% - Accent6 4 8" xfId="3411" xr:uid="{FF7B9108-FBAC-4E76-BFEF-19A0E0C79171}"/>
    <cellStyle name="20% - Accent6 4 9" xfId="4074" xr:uid="{94C20858-3896-48DC-9B9B-F6B8DC072A0B}"/>
    <cellStyle name="20% - Accent6 5" xfId="332" xr:uid="{5D1CCC7E-4E41-4EC9-8413-93EFF931297B}"/>
    <cellStyle name="20% - Accent6 5 10" xfId="1087" xr:uid="{F307EC38-A386-4B78-BA3E-FC994781D54C}"/>
    <cellStyle name="20% - Accent6 5 2" xfId="453" xr:uid="{598C5F99-2F27-4A16-96ED-07D573396D46}"/>
    <cellStyle name="20% - Accent6 5 2 2" xfId="672" xr:uid="{D460A787-AA2B-4F75-9800-0DFC36BAA2D9}"/>
    <cellStyle name="20% - Accent6 5 2 2 2" xfId="2483" xr:uid="{36BB261F-6179-4202-93EE-1E70B91BC7BC}"/>
    <cellStyle name="20% - Accent6 5 2 3" xfId="3134" xr:uid="{E33CAFCB-1BDE-491C-9CAD-3FAD42A3455F}"/>
    <cellStyle name="20% - Accent6 5 2 4" xfId="3790" xr:uid="{B5F68645-717C-4B16-BF01-BF6D117D6339}"/>
    <cellStyle name="20% - Accent6 5 2 5" xfId="4453" xr:uid="{BE81EFFE-012A-42C1-A883-7C5D68989728}"/>
    <cellStyle name="20% - Accent6 5 2 6" xfId="1424" xr:uid="{7C2F4B39-8733-4B44-9FD8-6ACD21F98DB1}"/>
    <cellStyle name="20% - Accent6 5 3" xfId="562" xr:uid="{E071A39C-B9C7-48C9-9800-6F7A09F462BA}"/>
    <cellStyle name="20% - Accent6 5 3 2" xfId="1971" xr:uid="{0F91223C-CE76-4F0B-8696-F22D9D785336}"/>
    <cellStyle name="20% - Accent6 5 4" xfId="2156" xr:uid="{F4F67AE6-BF43-48C9-A111-CA313E00267C}"/>
    <cellStyle name="20% - Accent6 5 5" xfId="2807" xr:uid="{C288F242-2B8E-4828-9245-4A476438E512}"/>
    <cellStyle name="20% - Accent6 5 6" xfId="3463" xr:uid="{B8E9F027-94FA-41CB-8976-43E76B18EB9C}"/>
    <cellStyle name="20% - Accent6 5 7" xfId="4126" xr:uid="{C131C717-B2EB-44FF-8FEE-0A81C35D5578}"/>
    <cellStyle name="20% - Accent6 5 8" xfId="1829" xr:uid="{63C3771F-1BD5-416A-AAC5-4B10FBFBD831}"/>
    <cellStyle name="20% - Accent6 5 9" xfId="1683" xr:uid="{B4C82FDF-586C-416A-98FA-B48F782FEBB5}"/>
    <cellStyle name="20% - Accent6 6" xfId="406" xr:uid="{A606D5FB-6CF6-4108-A5A1-E7B28E12F965}"/>
    <cellStyle name="20% - Accent6 6 2" xfId="626" xr:uid="{8AB38664-E3A1-42F8-BFC3-45C8E823E9E8}"/>
    <cellStyle name="20% - Accent6 6 2 2" xfId="2591" xr:uid="{FEC3D056-E7CF-475B-B4F1-CF9428BD8F59}"/>
    <cellStyle name="20% - Accent6 6 2 3" xfId="3242" xr:uid="{D4042263-6E01-4755-B079-8B7F9484BA73}"/>
    <cellStyle name="20% - Accent6 6 2 4" xfId="3898" xr:uid="{25BC04FA-99AA-4298-91EC-9469E9F96CB3}"/>
    <cellStyle name="20% - Accent6 6 2 5" xfId="4561" xr:uid="{C2CD549A-11A9-4F96-9EB5-E8060CC51A40}"/>
    <cellStyle name="20% - Accent6 6 2 6" xfId="1532" xr:uid="{8B952F1A-7446-433D-9500-FAA70F6A317E}"/>
    <cellStyle name="20% - Accent6 6 3" xfId="2264" xr:uid="{0D2EC01A-C8C9-4A32-82E6-25199F6F0BDF}"/>
    <cellStyle name="20% - Accent6 6 4" xfId="2915" xr:uid="{24F98F79-0E5E-456D-9622-E8DF1E03726F}"/>
    <cellStyle name="20% - Accent6 6 5" xfId="3571" xr:uid="{D2ECA4A4-E90E-4AB7-917B-B6879A29EAA3}"/>
    <cellStyle name="20% - Accent6 6 6" xfId="4234" xr:uid="{0687AD2C-D2A4-4072-9F06-EED60830CAF3}"/>
    <cellStyle name="20% - Accent6 6 7" xfId="1201" xr:uid="{98F04766-B208-4633-A15A-05332318E4E0}"/>
    <cellStyle name="20% - Accent6 7" xfId="516" xr:uid="{E53615D2-E2BC-44E4-A0CF-21D89CFE5B68}"/>
    <cellStyle name="20% - Accent6 7 2" xfId="2375" xr:uid="{857331A9-3AD1-4C64-946D-69965C6DA0B6}"/>
    <cellStyle name="20% - Accent6 7 3" xfId="3026" xr:uid="{662E261C-E561-40E1-B173-89E937875717}"/>
    <cellStyle name="20% - Accent6 7 4" xfId="3682" xr:uid="{5745281D-C29E-4437-A164-61A7035EF719}"/>
    <cellStyle name="20% - Accent6 7 5" xfId="4345" xr:uid="{4A01243A-8EC9-4A80-9511-E4C2021D21A2}"/>
    <cellStyle name="20% - Accent6 7 6" xfId="1311" xr:uid="{1ED872A3-F8AC-40C3-9E03-5625E68F87A6}"/>
    <cellStyle name="20% - Accent6 8" xfId="284" xr:uid="{D158DD34-4671-4784-9DA2-818ECFE1BA3C}"/>
    <cellStyle name="20% - Accent6 8 2" xfId="1991" xr:uid="{BC0E6F04-0C44-4123-BB3F-FD6D0E8B6AF1}"/>
    <cellStyle name="20% - Accent6 9" xfId="2048" xr:uid="{5B992D11-FD03-4A05-8C64-AEF30756AE13}"/>
    <cellStyle name="40% - Accent1" xfId="23" builtinId="31" customBuiltin="1"/>
    <cellStyle name="40% - Accent1 10" xfId="2690" xr:uid="{55CFB98C-0689-4369-B5B9-C192DC0B9C6D}"/>
    <cellStyle name="40% - Accent1 11" xfId="3344" xr:uid="{79359126-6E51-4220-954A-9AEF0CED0CF1}"/>
    <cellStyle name="40% - Accent1 12" xfId="4009" xr:uid="{47FD7631-D5A0-4C52-90AF-85CFD5F3C185}"/>
    <cellStyle name="40% - Accent1 13" xfId="728" xr:uid="{CAFC342F-1FC7-42F1-9B0B-CC358B62E0D9}"/>
    <cellStyle name="40% - Accent1 14" xfId="156" xr:uid="{F0E4FDC5-615C-4107-812B-0F1F22FB4686}"/>
    <cellStyle name="40% - Accent1 2" xfId="84" xr:uid="{12E814A0-452C-4721-A23A-856D40887798}"/>
    <cellStyle name="40% - Accent1 2 10" xfId="4032" xr:uid="{7E333140-7301-4947-AD7D-F688E3BB5BEC}"/>
    <cellStyle name="40% - Accent1 2 11" xfId="746" xr:uid="{25D554C8-1D2E-4609-A892-9B4386269AD2}"/>
    <cellStyle name="40% - Accent1 2 12" xfId="177" xr:uid="{F14F0AF7-3F08-4E1D-A2DD-0AE9FF7CF1B3}"/>
    <cellStyle name="40% - Accent1 2 2" xfId="1048" xr:uid="{18509F14-F713-4616-8F3F-753788EEE13A}"/>
    <cellStyle name="40% - Accent1 2 2 2" xfId="1155" xr:uid="{A7FD5E71-8CD4-4718-9CA9-007642EDC97E}"/>
    <cellStyle name="40% - Accent1 2 2 2 2" xfId="1492" xr:uid="{87A7E772-EE1A-4F71-8953-CA4444971E24}"/>
    <cellStyle name="40% - Accent1 2 2 2 2 2" xfId="2551" xr:uid="{0D2A0DBC-C405-43C5-98D9-D819ACF5F703}"/>
    <cellStyle name="40% - Accent1 2 2 2 2 3" xfId="3202" xr:uid="{E5BC56BF-BAC9-4871-AD8B-4CDD14CA94B8}"/>
    <cellStyle name="40% - Accent1 2 2 2 2 4" xfId="3858" xr:uid="{1957537A-C3B7-44FD-A8F1-D7CF2CAB1E6A}"/>
    <cellStyle name="40% - Accent1 2 2 2 2 5" xfId="4521" xr:uid="{C944F6DC-6A9A-41F3-BA1B-D8E100B04525}"/>
    <cellStyle name="40% - Accent1 2 2 2 3" xfId="2014" xr:uid="{FF3703FF-435A-4565-9238-A65FD04B271C}"/>
    <cellStyle name="40% - Accent1 2 2 2 4" xfId="2224" xr:uid="{A14C2EB3-2907-48CC-B702-BB0D1703674F}"/>
    <cellStyle name="40% - Accent1 2 2 2 5" xfId="2875" xr:uid="{4D4DBD3F-9CE3-46A8-8507-6F28BBDFBCE1}"/>
    <cellStyle name="40% - Accent1 2 2 2 6" xfId="3531" xr:uid="{1BCC1249-F730-4046-B7D6-6E47DCE791AA}"/>
    <cellStyle name="40% - Accent1 2 2 2 7" xfId="4194" xr:uid="{606BA27C-AA39-4E7A-86F1-9CD31E867409}"/>
    <cellStyle name="40% - Accent1 2 2 3" xfId="1269" xr:uid="{831DA21B-D56A-44F4-8ACF-6F156DEB19F2}"/>
    <cellStyle name="40% - Accent1 2 2 3 2" xfId="1600" xr:uid="{65A71331-AACA-4FBF-8C21-71932D51A455}"/>
    <cellStyle name="40% - Accent1 2 2 3 2 2" xfId="2659" xr:uid="{A4A49ED5-C998-4CCB-82DD-BFE9A22751F9}"/>
    <cellStyle name="40% - Accent1 2 2 3 2 3" xfId="3310" xr:uid="{9590FC35-D2FB-4FB6-AF07-39098E02B3F8}"/>
    <cellStyle name="40% - Accent1 2 2 3 2 4" xfId="3966" xr:uid="{A234A8F6-19EB-4A23-9F7E-D7236625C12D}"/>
    <cellStyle name="40% - Accent1 2 2 3 2 5" xfId="4629" xr:uid="{ACD5B85B-8401-4CC2-93EF-223E8377D6A7}"/>
    <cellStyle name="40% - Accent1 2 2 3 3" xfId="2332" xr:uid="{C7D2A8D9-D856-4F99-9866-8C7B219F83FA}"/>
    <cellStyle name="40% - Accent1 2 2 3 4" xfId="2983" xr:uid="{965DF8C7-9EF0-488A-8BBC-D828D03A8198}"/>
    <cellStyle name="40% - Accent1 2 2 3 5" xfId="3639" xr:uid="{B902E151-9563-4599-9B23-4BFA62E35470}"/>
    <cellStyle name="40% - Accent1 2 2 3 6" xfId="4302" xr:uid="{B8B9774D-E444-49EE-8FA4-3FCFE126400F}"/>
    <cellStyle name="40% - Accent1 2 2 4" xfId="1384" xr:uid="{916C4058-2109-4CFD-9AB6-938E3EC90498}"/>
    <cellStyle name="40% - Accent1 2 2 4 2" xfId="2443" xr:uid="{36312B1D-9136-4065-AC99-B033A239DF3A}"/>
    <cellStyle name="40% - Accent1 2 2 4 3" xfId="3094" xr:uid="{DFC4D305-EB73-41F7-8CF2-74936568DC78}"/>
    <cellStyle name="40% - Accent1 2 2 4 4" xfId="3750" xr:uid="{E537C13E-4F60-4CFA-AF22-30CFDC25B7B3}"/>
    <cellStyle name="40% - Accent1 2 2 4 5" xfId="4413" xr:uid="{70369521-A47B-4F3A-B31C-3BE93E485702}"/>
    <cellStyle name="40% - Accent1 2 2 5" xfId="1994" xr:uid="{25353102-CC29-439F-BFA8-96D362C4374E}"/>
    <cellStyle name="40% - Accent1 2 2 6" xfId="2116" xr:uid="{1D61493F-C82F-482E-9094-2E36F2567D99}"/>
    <cellStyle name="40% - Accent1 2 2 7" xfId="2767" xr:uid="{13F89AEE-ADE3-48C8-9E2B-39FA21C625E1}"/>
    <cellStyle name="40% - Accent1 2 2 8" xfId="3423" xr:uid="{87A980A2-4BDE-4EE9-B53A-0A864B0E20F3}"/>
    <cellStyle name="40% - Accent1 2 2 9" xfId="4086" xr:uid="{DC17CFAB-AD6A-492C-9590-3A792E6F6F05}"/>
    <cellStyle name="40% - Accent1 2 3" xfId="1101" xr:uid="{9301BAAA-C9E8-441A-A09D-CB91DD0D5EC0}"/>
    <cellStyle name="40% - Accent1 2 3 2" xfId="1438" xr:uid="{05E5DC63-F3BA-400A-B82F-5DA87EC316A8}"/>
    <cellStyle name="40% - Accent1 2 3 2 2" xfId="2497" xr:uid="{365EF660-1788-460C-A246-2262B70A8C44}"/>
    <cellStyle name="40% - Accent1 2 3 2 3" xfId="3148" xr:uid="{3ED3D82D-F120-465E-BCEC-1922020A1FB9}"/>
    <cellStyle name="40% - Accent1 2 3 2 4" xfId="3804" xr:uid="{5C4BAD16-3330-4E4D-905C-F9B7FCD14B51}"/>
    <cellStyle name="40% - Accent1 2 3 2 5" xfId="4467" xr:uid="{61690A00-1C90-4C5F-8018-4960C39B6E16}"/>
    <cellStyle name="40% - Accent1 2 3 3" xfId="1788" xr:uid="{79541A46-0E6C-4ED8-B6F6-22784F39DB3A}"/>
    <cellStyle name="40% - Accent1 2 3 4" xfId="2170" xr:uid="{B9FDF666-988B-4E28-881D-1AD4BD7097CA}"/>
    <cellStyle name="40% - Accent1 2 3 5" xfId="2821" xr:uid="{2BF31204-DDBE-4D8E-8D38-4A1F2797B2A2}"/>
    <cellStyle name="40% - Accent1 2 3 6" xfId="3477" xr:uid="{029105BD-BF7E-4880-9411-4F2CE23E0E6B}"/>
    <cellStyle name="40% - Accent1 2 3 7" xfId="4140" xr:uid="{EAA01F9E-F25B-477B-A149-5A97A4D5DFD4}"/>
    <cellStyle name="40% - Accent1 2 4" xfId="1215" xr:uid="{8E066ECA-499E-429A-AA27-65480F6B5736}"/>
    <cellStyle name="40% - Accent1 2 4 2" xfId="1546" xr:uid="{F52DBB8B-129F-4ED6-93F5-E55EA4DDF78C}"/>
    <cellStyle name="40% - Accent1 2 4 2 2" xfId="2605" xr:uid="{E47C14AD-7174-4D8D-A8AA-DE094B0A3FC0}"/>
    <cellStyle name="40% - Accent1 2 4 2 3" xfId="3256" xr:uid="{78A2C5F5-D264-4A6C-B50C-762D386C863A}"/>
    <cellStyle name="40% - Accent1 2 4 2 4" xfId="3912" xr:uid="{AEA846DC-7C97-4A4D-A86F-59CAD4D57914}"/>
    <cellStyle name="40% - Accent1 2 4 2 5" xfId="4575" xr:uid="{F966699B-78DB-4B8D-A035-4BF8089A9470}"/>
    <cellStyle name="40% - Accent1 2 4 3" xfId="2278" xr:uid="{E5EE6C70-17B5-485D-8292-8A97D4C56DCF}"/>
    <cellStyle name="40% - Accent1 2 4 4" xfId="2929" xr:uid="{77B0DDDF-3527-4687-94E7-4B73118237FA}"/>
    <cellStyle name="40% - Accent1 2 4 5" xfId="3585" xr:uid="{AAC22D61-B3C6-4606-9778-1819EDCE536D}"/>
    <cellStyle name="40% - Accent1 2 4 6" xfId="4248" xr:uid="{26A95F42-8993-4012-A339-55C2A4816FD4}"/>
    <cellStyle name="40% - Accent1 2 5" xfId="1330" xr:uid="{D752AC64-2982-4042-AA4A-576308A75AB8}"/>
    <cellStyle name="40% - Accent1 2 5 2" xfId="2389" xr:uid="{9D4A43BC-B1E9-4EB6-909B-AA0D355B90D4}"/>
    <cellStyle name="40% - Accent1 2 5 3" xfId="3040" xr:uid="{0147032B-F7BE-4BA9-88BD-E32017F86EDD}"/>
    <cellStyle name="40% - Accent1 2 5 4" xfId="3696" xr:uid="{6B506DDC-5D08-4538-8247-8641613224FB}"/>
    <cellStyle name="40% - Accent1 2 5 5" xfId="4359" xr:uid="{9D964496-5B33-4EF7-9B7F-AD237613A9FE}"/>
    <cellStyle name="40% - Accent1 2 6" xfId="2033" xr:uid="{90A373C3-EB8B-49C8-B10D-D300386E3E85}"/>
    <cellStyle name="40% - Accent1 2 7" xfId="2062" xr:uid="{77D78B60-4401-4E72-B331-08CF4E5144D1}"/>
    <cellStyle name="40% - Accent1 2 8" xfId="2713" xr:uid="{E71EC055-0316-46FC-880B-9521AA05D30E}"/>
    <cellStyle name="40% - Accent1 2 9" xfId="3368" xr:uid="{08424B55-6720-445A-B310-B158E637E6B0}"/>
    <cellStyle name="40% - Accent1 3" xfId="251" xr:uid="{3F0CB5E4-72E5-4634-ABF0-F2ED87BBA5F8}"/>
    <cellStyle name="40% - Accent1 3 10" xfId="4044" xr:uid="{ADA95824-7CD3-42F8-AAA9-846FE0019D3E}"/>
    <cellStyle name="40% - Accent1 3 11" xfId="1805" xr:uid="{B62DF666-8640-49D3-A91F-76D7F8ED708F}"/>
    <cellStyle name="40% - Accent1 3 12" xfId="1717" xr:uid="{C570D8FD-AF5C-46A4-95A0-E16360B51D46}"/>
    <cellStyle name="40% - Accent1 3 13" xfId="996" xr:uid="{30B31313-7DA8-4D89-9A0F-3AFCCB14C091}"/>
    <cellStyle name="40% - Accent1 3 2" xfId="347" xr:uid="{B857377E-0C0E-4DD3-B410-2C34BD9CA2E9}"/>
    <cellStyle name="40% - Accent1 3 2 10" xfId="1060" xr:uid="{4DD36433-F988-436C-967D-498A17143ECC}"/>
    <cellStyle name="40% - Accent1 3 2 2" xfId="463" xr:uid="{E1B9AB6B-B3D0-4802-ADE1-083AA248C36A}"/>
    <cellStyle name="40% - Accent1 3 2 2 2" xfId="682" xr:uid="{18E51E18-3A3B-4ABE-9A22-6DA6C6E3F5DC}"/>
    <cellStyle name="40% - Accent1 3 2 2 2 2" xfId="2563" xr:uid="{52535F79-BFA3-4D8C-917F-BC740066EC12}"/>
    <cellStyle name="40% - Accent1 3 2 2 2 3" xfId="3214" xr:uid="{C99052AE-7D5F-4334-B016-BF1409B08CF4}"/>
    <cellStyle name="40% - Accent1 3 2 2 2 4" xfId="3870" xr:uid="{046CBDB7-1C7D-45EC-BA08-226440559373}"/>
    <cellStyle name="40% - Accent1 3 2 2 2 5" xfId="4533" xr:uid="{B13E496A-1154-42C5-A7F4-69358538CB36}"/>
    <cellStyle name="40% - Accent1 3 2 2 2 6" xfId="1504" xr:uid="{17589F22-9DF4-4D2B-A727-90F68628FF37}"/>
    <cellStyle name="40% - Accent1 3 2 2 3" xfId="1886" xr:uid="{1CDA2965-4936-4D93-BDF3-63592762ACB2}"/>
    <cellStyle name="40% - Accent1 3 2 2 4" xfId="2236" xr:uid="{9426C307-02E2-45BF-8CE0-343CDEAB90F7}"/>
    <cellStyle name="40% - Accent1 3 2 2 5" xfId="2887" xr:uid="{E9010D41-5966-48A9-AE0D-E0AC2673E3F7}"/>
    <cellStyle name="40% - Accent1 3 2 2 6" xfId="3543" xr:uid="{0617FC87-284D-45A6-8ADF-34D37EB3F498}"/>
    <cellStyle name="40% - Accent1 3 2 2 7" xfId="4206" xr:uid="{C56CCF78-FCA9-4F2A-9003-B1DF76E9B39A}"/>
    <cellStyle name="40% - Accent1 3 2 2 8" xfId="1167" xr:uid="{E653626C-3D1F-400C-A8DA-581F8834C533}"/>
    <cellStyle name="40% - Accent1 3 2 3" xfId="572" xr:uid="{67807DC2-3CD1-4F2B-B93B-EFAA15099B59}"/>
    <cellStyle name="40% - Accent1 3 2 3 2" xfId="1612" xr:uid="{2E755E55-151C-4D39-9338-1428BE0637C6}"/>
    <cellStyle name="40% - Accent1 3 2 3 2 2" xfId="2671" xr:uid="{BC4E1672-FCC5-496D-BE3B-6F1F666A7197}"/>
    <cellStyle name="40% - Accent1 3 2 3 2 3" xfId="3322" xr:uid="{D77B3C78-D730-4AC9-B82C-9E90DED533E6}"/>
    <cellStyle name="40% - Accent1 3 2 3 2 4" xfId="3978" xr:uid="{90514322-97EC-4D43-8CF7-39C813330971}"/>
    <cellStyle name="40% - Accent1 3 2 3 2 5" xfId="4641" xr:uid="{8EB2F644-64B2-4D76-9EAB-2B2807D50CC7}"/>
    <cellStyle name="40% - Accent1 3 2 3 3" xfId="2344" xr:uid="{7E307596-22F4-4945-B5FE-1FB924682664}"/>
    <cellStyle name="40% - Accent1 3 2 3 4" xfId="2995" xr:uid="{A8BF9117-24EE-4140-944F-6D5CDDC0BD7C}"/>
    <cellStyle name="40% - Accent1 3 2 3 5" xfId="3651" xr:uid="{D605A5DB-964B-46DD-A741-14EA1DDD0C28}"/>
    <cellStyle name="40% - Accent1 3 2 3 6" xfId="4314" xr:uid="{A9F6058E-04EB-4116-9ECD-949AC12D1F21}"/>
    <cellStyle name="40% - Accent1 3 2 3 7" xfId="1281" xr:uid="{9682DA79-9D8F-4536-9A5D-5C6F18353C3A}"/>
    <cellStyle name="40% - Accent1 3 2 4" xfId="1396" xr:uid="{9DE9DFA7-0666-4A47-B14D-BDDBF3155017}"/>
    <cellStyle name="40% - Accent1 3 2 4 2" xfId="2455" xr:uid="{50D3BCC0-E3E0-4915-9F82-44C2CA5F6779}"/>
    <cellStyle name="40% - Accent1 3 2 4 3" xfId="3106" xr:uid="{459545EE-6E4D-45FE-9E29-29A7EE219636}"/>
    <cellStyle name="40% - Accent1 3 2 4 4" xfId="3762" xr:uid="{A630203E-8BA6-43DC-AE52-4457243CBC59}"/>
    <cellStyle name="40% - Accent1 3 2 4 5" xfId="4425" xr:uid="{E28F6715-F4C2-4FCB-B01F-FE76D6C5767E}"/>
    <cellStyle name="40% - Accent1 3 2 5" xfId="1933" xr:uid="{FDBAEC8D-6438-492C-A44A-71FDDC09792D}"/>
    <cellStyle name="40% - Accent1 3 2 6" xfId="2128" xr:uid="{0A64FCAC-6865-43E3-90E5-6C46BD105297}"/>
    <cellStyle name="40% - Accent1 3 2 7" xfId="2779" xr:uid="{B6230848-5A45-4E14-AFA0-D71B0831D605}"/>
    <cellStyle name="40% - Accent1 3 2 8" xfId="3435" xr:uid="{63FE56F8-B778-4001-B823-579890E9D66D}"/>
    <cellStyle name="40% - Accent1 3 2 9" xfId="4098" xr:uid="{75FBAF53-A4FA-4D4F-A75E-22E5496919D8}"/>
    <cellStyle name="40% - Accent1 3 3" xfId="420" xr:uid="{26E41BAD-0898-4C97-AAB0-4F42EBD8E13F}"/>
    <cellStyle name="40% - Accent1 3 3 2" xfId="639" xr:uid="{33D018B3-E4F2-47DC-922C-FB60CABE08A7}"/>
    <cellStyle name="40% - Accent1 3 3 2 2" xfId="2509" xr:uid="{D0B957AC-874C-4925-BA8A-83BF6AAEDD1E}"/>
    <cellStyle name="40% - Accent1 3 3 2 3" xfId="3160" xr:uid="{01C6D283-38FB-42FE-BB4B-9F24DAE7CDB9}"/>
    <cellStyle name="40% - Accent1 3 3 2 4" xfId="3816" xr:uid="{E0DD1177-AF43-4CA3-B8A8-CFFF44C7E334}"/>
    <cellStyle name="40% - Accent1 3 3 2 5" xfId="4479" xr:uid="{70DB70AA-6079-4797-AD01-6EE667551EFE}"/>
    <cellStyle name="40% - Accent1 3 3 2 6" xfId="1450" xr:uid="{1FCE64A9-8062-4D29-8524-1D63A09464F7}"/>
    <cellStyle name="40% - Accent1 3 3 3" xfId="1853" xr:uid="{0D2B4AE5-D50A-4432-8D73-F4F2B59C4A96}"/>
    <cellStyle name="40% - Accent1 3 3 4" xfId="2182" xr:uid="{46103631-4DD5-49A8-8B6C-CC158E642E5F}"/>
    <cellStyle name="40% - Accent1 3 3 5" xfId="2833" xr:uid="{0773D1C2-1B7E-4563-8D52-DB85D3585A13}"/>
    <cellStyle name="40% - Accent1 3 3 6" xfId="3489" xr:uid="{8756376F-5632-4AEF-8C1F-6B1ED8CF906F}"/>
    <cellStyle name="40% - Accent1 3 3 7" xfId="4152" xr:uid="{B8AFC640-75BF-4504-8E26-56D219541EAF}"/>
    <cellStyle name="40% - Accent1 3 3 8" xfId="1113" xr:uid="{2E625931-4161-43F6-8C78-182D969A5278}"/>
    <cellStyle name="40% - Accent1 3 4" xfId="529" xr:uid="{779A0E8A-C20B-417E-BA48-7AEA1E193B22}"/>
    <cellStyle name="40% - Accent1 3 4 2" xfId="1558" xr:uid="{FC52AB58-4F64-459A-918E-5C749E93F459}"/>
    <cellStyle name="40% - Accent1 3 4 2 2" xfId="2617" xr:uid="{3E48EA6B-2C68-4B7F-9E30-9CCC278137F0}"/>
    <cellStyle name="40% - Accent1 3 4 2 3" xfId="3268" xr:uid="{FC7D9F64-CFFA-41AE-98DF-646D9724BF15}"/>
    <cellStyle name="40% - Accent1 3 4 2 4" xfId="3924" xr:uid="{FD453488-29C4-4581-951E-A2EB4296F598}"/>
    <cellStyle name="40% - Accent1 3 4 2 5" xfId="4587" xr:uid="{FB50B44A-07B2-4BCF-A5C8-E283D6719811}"/>
    <cellStyle name="40% - Accent1 3 4 3" xfId="2290" xr:uid="{2D748107-BDDF-4EDB-8A89-CAEDCE0E286F}"/>
    <cellStyle name="40% - Accent1 3 4 4" xfId="2941" xr:uid="{7DF95CAA-5FEE-456A-83D5-DA9950F1FD07}"/>
    <cellStyle name="40% - Accent1 3 4 5" xfId="3597" xr:uid="{AB2A1666-7D30-4527-893F-D96CDDD1EC8C}"/>
    <cellStyle name="40% - Accent1 3 4 6" xfId="4260" xr:uid="{E57EB7E3-29F8-4670-8D19-65481798C1FD}"/>
    <cellStyle name="40% - Accent1 3 4 7" xfId="1227" xr:uid="{E14FF121-37D0-494F-8E35-5AA832CEDFEC}"/>
    <cellStyle name="40% - Accent1 3 5" xfId="299" xr:uid="{1131168B-0B92-4F09-B3F8-95B94B5DEC05}"/>
    <cellStyle name="40% - Accent1 3 5 2" xfId="2401" xr:uid="{1CF04CF6-9C2C-4224-B18C-72CFC9A01C8D}"/>
    <cellStyle name="40% - Accent1 3 5 3" xfId="3052" xr:uid="{75EF8036-A7A2-49B0-BB2B-B961F81B00E1}"/>
    <cellStyle name="40% - Accent1 3 5 4" xfId="3708" xr:uid="{ED5F412D-07C4-4F28-A726-B0192B1B4A45}"/>
    <cellStyle name="40% - Accent1 3 5 5" xfId="4371" xr:uid="{14F1F085-7ED7-454D-BD56-70578C01B33A}"/>
    <cellStyle name="40% - Accent1 3 5 6" xfId="1342" xr:uid="{922BEC5A-2C62-413D-9B8C-0F5F11EDC9D9}"/>
    <cellStyle name="40% - Accent1 3 6" xfId="1954" xr:uid="{29B1C12C-6513-40AC-A0A6-CD612E6D961D}"/>
    <cellStyle name="40% - Accent1 3 7" xfId="2074" xr:uid="{B816CB35-CDEC-4585-B0D6-CA0BABA3814A}"/>
    <cellStyle name="40% - Accent1 3 8" xfId="2725" xr:uid="{73508988-5218-47C9-B41F-CAE76F3B9032}"/>
    <cellStyle name="40% - Accent1 3 9" xfId="3380" xr:uid="{CE69FCD9-6DD4-4FDE-8C88-EFB12A4F7F09}"/>
    <cellStyle name="40% - Accent1 4" xfId="366" xr:uid="{D0B9F833-37C0-4909-816F-B2B987D75C30}"/>
    <cellStyle name="40% - Accent1 4 10" xfId="1027" xr:uid="{CF2D4287-C19C-4B50-A5D3-81596DC9E029}"/>
    <cellStyle name="40% - Accent1 4 2" xfId="482" xr:uid="{1E7846E3-E3E9-4293-A038-9279AC393B1D}"/>
    <cellStyle name="40% - Accent1 4 2 2" xfId="701" xr:uid="{53E10A30-6179-44D4-AC62-46155E933698}"/>
    <cellStyle name="40% - Accent1 4 2 2 2" xfId="2530" xr:uid="{A9366ADB-5672-4F2A-97D0-DD381FF00318}"/>
    <cellStyle name="40% - Accent1 4 2 2 3" xfId="3181" xr:uid="{85E9B0DE-D150-4522-B18F-E10E4E44413D}"/>
    <cellStyle name="40% - Accent1 4 2 2 4" xfId="3837" xr:uid="{E5E0C646-9537-4F8F-AEB2-6CAA9D7F9FD9}"/>
    <cellStyle name="40% - Accent1 4 2 2 5" xfId="4500" xr:uid="{7A09B37C-A6F2-4D80-9F19-8C0349F52442}"/>
    <cellStyle name="40% - Accent1 4 2 2 6" xfId="1471" xr:uid="{F981249A-9611-4F16-AF73-B61E158774D3}"/>
    <cellStyle name="40% - Accent1 4 2 3" xfId="1868" xr:uid="{E5835CEA-35D8-4FA6-91A1-598F53FC2385}"/>
    <cellStyle name="40% - Accent1 4 2 4" xfId="2203" xr:uid="{3E9133BF-0ED4-4961-B41C-293568B8CAA5}"/>
    <cellStyle name="40% - Accent1 4 2 5" xfId="2854" xr:uid="{BF75C48E-FE90-43A6-87A0-01467E7F7B07}"/>
    <cellStyle name="40% - Accent1 4 2 6" xfId="3510" xr:uid="{B55A6A23-7F2E-41AB-9183-E17EFD1545C9}"/>
    <cellStyle name="40% - Accent1 4 2 7" xfId="4173" xr:uid="{A7F15373-FFC0-441F-948B-C604F6C7C71A}"/>
    <cellStyle name="40% - Accent1 4 2 8" xfId="1134" xr:uid="{E9F761EC-7705-4E63-BFAA-DDD6EFAB934E}"/>
    <cellStyle name="40% - Accent1 4 3" xfId="591" xr:uid="{04A66F74-542A-4D21-A2D6-2168773ED353}"/>
    <cellStyle name="40% - Accent1 4 3 2" xfId="1579" xr:uid="{622C653B-E343-47D6-B39A-A03F087A28AF}"/>
    <cellStyle name="40% - Accent1 4 3 2 2" xfId="2638" xr:uid="{2549CE57-71B5-480E-8BCD-475F31C0F7A6}"/>
    <cellStyle name="40% - Accent1 4 3 2 3" xfId="3289" xr:uid="{7F7DC8D8-00C4-4E2A-9852-32463204B72C}"/>
    <cellStyle name="40% - Accent1 4 3 2 4" xfId="3945" xr:uid="{BCCA642C-4658-4CDE-BB85-0D2F69FBB194}"/>
    <cellStyle name="40% - Accent1 4 3 2 5" xfId="4608" xr:uid="{7B27EFDD-0936-4D28-8644-F8E094A756AA}"/>
    <cellStyle name="40% - Accent1 4 3 3" xfId="2311" xr:uid="{CD71A67D-40DF-4191-AEB1-C28B001A258F}"/>
    <cellStyle name="40% - Accent1 4 3 4" xfId="2962" xr:uid="{9F0516DA-E78A-45C7-81A4-7A38364C4AD2}"/>
    <cellStyle name="40% - Accent1 4 3 5" xfId="3618" xr:uid="{5BEE0388-01E4-473E-A45B-B8EB50FF6271}"/>
    <cellStyle name="40% - Accent1 4 3 6" xfId="4281" xr:uid="{FC221E41-0B5A-4C36-83F4-3B24C9647F0F}"/>
    <cellStyle name="40% - Accent1 4 3 7" xfId="1248" xr:uid="{DDF4E1DD-53CF-45D7-A226-470F4CEBB68C}"/>
    <cellStyle name="40% - Accent1 4 4" xfId="1363" xr:uid="{F1DFAFA0-5484-48ED-A468-87DC0EF16C36}"/>
    <cellStyle name="40% - Accent1 4 4 2" xfId="2422" xr:uid="{E5375D8C-1671-413B-AB9D-B4BED5A2389E}"/>
    <cellStyle name="40% - Accent1 4 4 3" xfId="3073" xr:uid="{47D55B1D-3086-420D-A6C8-B56D18F02FA8}"/>
    <cellStyle name="40% - Accent1 4 4 4" xfId="3729" xr:uid="{4514FE5E-6239-4A34-BFC0-FF76751BACE1}"/>
    <cellStyle name="40% - Accent1 4 4 5" xfId="4392" xr:uid="{9C0243ED-A4A4-4787-91C5-5400E3288AEA}"/>
    <cellStyle name="40% - Accent1 4 5" xfId="1903" xr:uid="{D2AE0671-AB88-4D13-A2F2-D6B7F09052CD}"/>
    <cellStyle name="40% - Accent1 4 6" xfId="2095" xr:uid="{E989404B-C2B3-4861-B79A-EDB61183EB20}"/>
    <cellStyle name="40% - Accent1 4 7" xfId="2746" xr:uid="{F525A1A1-751A-489E-9ECF-91BAEA2BDBE4}"/>
    <cellStyle name="40% - Accent1 4 8" xfId="3402" xr:uid="{B1684DDE-5D75-4595-8165-DD87E2DA3137}"/>
    <cellStyle name="40% - Accent1 4 9" xfId="4065" xr:uid="{32AD3CB6-E03D-46C9-B8DE-76CC1CE9D98B}"/>
    <cellStyle name="40% - Accent1 5" xfId="323" xr:uid="{AE13E50C-16BD-467E-BA69-C00A0561FED7}"/>
    <cellStyle name="40% - Accent1 5 10" xfId="1078" xr:uid="{488F05B0-C63D-4C45-92A4-8D47D623FB13}"/>
    <cellStyle name="40% - Accent1 5 2" xfId="444" xr:uid="{65276E20-CF8C-48BB-B0F3-67383DB0A0B5}"/>
    <cellStyle name="40% - Accent1 5 2 2" xfId="663" xr:uid="{72231F67-0339-4932-A307-B3CE59F042DF}"/>
    <cellStyle name="40% - Accent1 5 2 2 2" xfId="2474" xr:uid="{8768FA93-4BBA-434F-9231-F291F5067E58}"/>
    <cellStyle name="40% - Accent1 5 2 3" xfId="3125" xr:uid="{8806BB8C-D17A-4F79-8740-9A7F43557DCC}"/>
    <cellStyle name="40% - Accent1 5 2 4" xfId="3781" xr:uid="{4D793C82-4A5F-4B7D-93CA-72939D2D0310}"/>
    <cellStyle name="40% - Accent1 5 2 5" xfId="4444" xr:uid="{5FAEEA56-8339-4D30-8AC1-F8E382FF2D64}"/>
    <cellStyle name="40% - Accent1 5 2 6" xfId="1415" xr:uid="{3B369722-EDA2-4A72-8F37-0B59D91090F2}"/>
    <cellStyle name="40% - Accent1 5 3" xfId="553" xr:uid="{4147EDC6-4835-4E94-92CC-D1D637623975}"/>
    <cellStyle name="40% - Accent1 5 3 2" xfId="2008" xr:uid="{0B3A6ACE-5BD3-42A4-A92B-A052031D8275}"/>
    <cellStyle name="40% - Accent1 5 4" xfId="2147" xr:uid="{78623134-A54C-446F-AE1B-031EE43F889F}"/>
    <cellStyle name="40% - Accent1 5 5" xfId="2798" xr:uid="{53FA6084-83C7-4F4B-A5D7-37C1D21E3A9A}"/>
    <cellStyle name="40% - Accent1 5 6" xfId="3454" xr:uid="{48B1AC88-6E32-425D-A35F-6A146D26A8A1}"/>
    <cellStyle name="40% - Accent1 5 7" xfId="4117" xr:uid="{C3E26EE6-1113-40D0-9CAA-A100C2B1289A}"/>
    <cellStyle name="40% - Accent1 5 8" xfId="1820" xr:uid="{4B6A33AE-E411-4891-8701-E47154A52BD3}"/>
    <cellStyle name="40% - Accent1 5 9" xfId="1664" xr:uid="{58C241F6-2E5D-4B09-B0B2-B6DB4BB89570}"/>
    <cellStyle name="40% - Accent1 6" xfId="397" xr:uid="{A49B7A51-559A-4F68-AEE1-026D4FA33A5A}"/>
    <cellStyle name="40% - Accent1 6 2" xfId="617" xr:uid="{AFFA601E-9FF6-4672-A59E-EE3934EC55B0}"/>
    <cellStyle name="40% - Accent1 6 2 2" xfId="2582" xr:uid="{9C04C99D-1833-45FF-8B74-C2853556E7CA}"/>
    <cellStyle name="40% - Accent1 6 2 3" xfId="3233" xr:uid="{63B6A649-37A1-440B-850B-8A5C8B670B50}"/>
    <cellStyle name="40% - Accent1 6 2 4" xfId="3889" xr:uid="{C78327A9-A195-4377-8F94-14A9E1A5D9D2}"/>
    <cellStyle name="40% - Accent1 6 2 5" xfId="4552" xr:uid="{0D7D9304-96E6-4DB3-8220-6C6FCF6A62B7}"/>
    <cellStyle name="40% - Accent1 6 2 6" xfId="1523" xr:uid="{AA6D21C3-A064-4862-B65B-100082C1BB98}"/>
    <cellStyle name="40% - Accent1 6 3" xfId="2255" xr:uid="{3CA3F98E-F997-4E07-939B-D65598542128}"/>
    <cellStyle name="40% - Accent1 6 4" xfId="2906" xr:uid="{A83ACD39-476F-4D89-BA13-2CF3F23C5A58}"/>
    <cellStyle name="40% - Accent1 6 5" xfId="3562" xr:uid="{34F502AE-D928-4819-ADBC-378EA98EB514}"/>
    <cellStyle name="40% - Accent1 6 6" xfId="4225" xr:uid="{D24F838A-CA2F-4F60-923E-08B10AD8751A}"/>
    <cellStyle name="40% - Accent1 6 7" xfId="1192" xr:uid="{E9F1F73B-845C-40FC-A37B-F0A03AF84EB3}"/>
    <cellStyle name="40% - Accent1 7" xfId="507" xr:uid="{2FE15D52-576D-4090-913C-D30ED39CD53C}"/>
    <cellStyle name="40% - Accent1 7 2" xfId="2366" xr:uid="{B5CC7A52-6789-465A-B45F-F3C8F2C408ED}"/>
    <cellStyle name="40% - Accent1 7 3" xfId="3017" xr:uid="{C511BF86-76BA-41B1-9220-2D8C0CC9B9E2}"/>
    <cellStyle name="40% - Accent1 7 4" xfId="3673" xr:uid="{6CB478EF-C0A6-4B1A-A0B0-4EA54ADF62C3}"/>
    <cellStyle name="40% - Accent1 7 5" xfId="4336" xr:uid="{F1CD0A2F-7529-4AEC-9A61-601F19C3DB8D}"/>
    <cellStyle name="40% - Accent1 7 6" xfId="1302" xr:uid="{F7976739-D91B-45AC-AAD2-BA4D8AE6B49F}"/>
    <cellStyle name="40% - Accent1 8" xfId="275" xr:uid="{EF88C4E4-6274-42F9-837E-B482FF68E67E}"/>
    <cellStyle name="40% - Accent1 8 2" xfId="1953" xr:uid="{7E56E508-F57B-4B08-8110-031C49EBACE5}"/>
    <cellStyle name="40% - Accent1 9" xfId="2039" xr:uid="{CC07E8AD-BD67-4408-9118-E749FABBBA65}"/>
    <cellStyle name="40% - Accent2" xfId="27" builtinId="35" customBuiltin="1"/>
    <cellStyle name="40% - Accent2 10" xfId="2692" xr:uid="{124AF247-68B8-476E-92EE-899565AAC132}"/>
    <cellStyle name="40% - Accent2 11" xfId="3346" xr:uid="{33B417BD-B718-41E9-9B86-EF055EF35D1C}"/>
    <cellStyle name="40% - Accent2 12" xfId="4011" xr:uid="{0B8AF3F4-691A-408E-8773-1137D8E75E46}"/>
    <cellStyle name="40% - Accent2 13" xfId="730" xr:uid="{A39E718B-C8CA-4CBC-9F28-D991376DE621}"/>
    <cellStyle name="40% - Accent2 14" xfId="158" xr:uid="{5BA9BC07-E7FD-4CE1-B3CD-99BB52920BEA}"/>
    <cellStyle name="40% - Accent2 2" xfId="85" xr:uid="{88DD22D6-03B6-41DA-8558-895B4D510331}"/>
    <cellStyle name="40% - Accent2 2 10" xfId="4033" xr:uid="{F0AF7824-FC13-4777-94FA-CBFE3865245D}"/>
    <cellStyle name="40% - Accent2 2 11" xfId="747" xr:uid="{BFB3DDFF-F9B1-4BF8-BB44-38285517616A}"/>
    <cellStyle name="40% - Accent2 2 12" xfId="178" xr:uid="{A4BE06A2-1FE8-4BF0-B98A-B806E785D208}"/>
    <cellStyle name="40% - Accent2 2 2" xfId="1049" xr:uid="{474754A0-3EF9-41EF-BE68-B9D20075B334}"/>
    <cellStyle name="40% - Accent2 2 2 2" xfId="1156" xr:uid="{806968FE-13D6-4BDE-B78C-B5BBB0766186}"/>
    <cellStyle name="40% - Accent2 2 2 2 2" xfId="1493" xr:uid="{27BAE527-5ECA-422C-A8A5-C7618776939D}"/>
    <cellStyle name="40% - Accent2 2 2 2 2 2" xfId="2552" xr:uid="{107ED7BC-C9AD-42D5-BD7E-130EFFD4DB2F}"/>
    <cellStyle name="40% - Accent2 2 2 2 2 3" xfId="3203" xr:uid="{73B1EE1C-6B72-4D6B-8573-F7403D52599B}"/>
    <cellStyle name="40% - Accent2 2 2 2 2 4" xfId="3859" xr:uid="{5F590404-3FC0-4598-920E-E67F2CFF59E4}"/>
    <cellStyle name="40% - Accent2 2 2 2 2 5" xfId="4522" xr:uid="{4A637088-B41A-478E-920A-DFA65DD0C40C}"/>
    <cellStyle name="40% - Accent2 2 2 2 3" xfId="2005" xr:uid="{CEC7BE4A-A3F6-450D-9313-7FBDCA581A11}"/>
    <cellStyle name="40% - Accent2 2 2 2 4" xfId="2225" xr:uid="{B2B35975-A283-4C31-B85F-E3330C456030}"/>
    <cellStyle name="40% - Accent2 2 2 2 5" xfId="2876" xr:uid="{C96629CD-FF55-43E6-96ED-CE2274A3BA6B}"/>
    <cellStyle name="40% - Accent2 2 2 2 6" xfId="3532" xr:uid="{234C2051-62BA-4796-B57E-490FA1EB82C4}"/>
    <cellStyle name="40% - Accent2 2 2 2 7" xfId="4195" xr:uid="{E4061CEF-2F7A-4ACD-B661-A658A673E10E}"/>
    <cellStyle name="40% - Accent2 2 2 3" xfId="1270" xr:uid="{4FD2AAEC-AF33-4425-9E88-4A3D16008B32}"/>
    <cellStyle name="40% - Accent2 2 2 3 2" xfId="1601" xr:uid="{B45244F1-0634-40B3-AD78-A5D9DECAD4DB}"/>
    <cellStyle name="40% - Accent2 2 2 3 2 2" xfId="2660" xr:uid="{72943709-2909-46F2-B200-0F45AAA0D795}"/>
    <cellStyle name="40% - Accent2 2 2 3 2 3" xfId="3311" xr:uid="{4A81C1AA-5887-407C-AF16-E8838DFCAB93}"/>
    <cellStyle name="40% - Accent2 2 2 3 2 4" xfId="3967" xr:uid="{F6833F79-8D59-42E1-860F-2E406B2331E5}"/>
    <cellStyle name="40% - Accent2 2 2 3 2 5" xfId="4630" xr:uid="{E540E314-7E65-4A02-8F47-5713B4FE7173}"/>
    <cellStyle name="40% - Accent2 2 2 3 3" xfId="2333" xr:uid="{D55AFFF7-01B5-42B7-9ABD-3252271B4F00}"/>
    <cellStyle name="40% - Accent2 2 2 3 4" xfId="2984" xr:uid="{5E54A812-5D06-4C05-838B-6930F2BAB8D6}"/>
    <cellStyle name="40% - Accent2 2 2 3 5" xfId="3640" xr:uid="{0264ED93-D54D-4B17-9BDE-A7BF943084EE}"/>
    <cellStyle name="40% - Accent2 2 2 3 6" xfId="4303" xr:uid="{0903F303-B9D2-408D-ADB4-65A3FB6DDC34}"/>
    <cellStyle name="40% - Accent2 2 2 4" xfId="1385" xr:uid="{AF63983C-518B-4FFB-8667-D3DB8838C1EC}"/>
    <cellStyle name="40% - Accent2 2 2 4 2" xfId="2444" xr:uid="{8AAD1764-8252-4B66-A9B4-DAA989AF34E9}"/>
    <cellStyle name="40% - Accent2 2 2 4 3" xfId="3095" xr:uid="{F8F53A7D-8527-44BE-9B75-4EA6DAB4CFF7}"/>
    <cellStyle name="40% - Accent2 2 2 4 4" xfId="3751" xr:uid="{40E09A6B-6C76-4A36-AF5A-5A683654F9E7}"/>
    <cellStyle name="40% - Accent2 2 2 4 5" xfId="4414" xr:uid="{C9A3A540-7445-43C0-9CAA-BBBA45268A62}"/>
    <cellStyle name="40% - Accent2 2 2 5" xfId="1851" xr:uid="{4D505837-F4C1-401F-A1F9-3DE8562562A6}"/>
    <cellStyle name="40% - Accent2 2 2 6" xfId="2117" xr:uid="{70652D3C-D255-4B57-9973-66E1D5354E42}"/>
    <cellStyle name="40% - Accent2 2 2 7" xfId="2768" xr:uid="{EA4EE378-577F-4705-AE34-883A7E098B36}"/>
    <cellStyle name="40% - Accent2 2 2 8" xfId="3424" xr:uid="{224481E8-6CF0-4497-8BCA-0F9DA6B7F049}"/>
    <cellStyle name="40% - Accent2 2 2 9" xfId="4087" xr:uid="{03873081-0AA9-493C-A7D1-FFC846D9F2F2}"/>
    <cellStyle name="40% - Accent2 2 3" xfId="1102" xr:uid="{80AFCCB3-847F-4D2A-96F5-A2D5C1D19B35}"/>
    <cellStyle name="40% - Accent2 2 3 2" xfId="1439" xr:uid="{1500DBE3-EC3B-447E-8BED-EFBC76370595}"/>
    <cellStyle name="40% - Accent2 2 3 2 2" xfId="2498" xr:uid="{B6F5B90F-00BF-4B97-B4C3-CE9A5426AB27}"/>
    <cellStyle name="40% - Accent2 2 3 2 3" xfId="3149" xr:uid="{11F1365C-48D5-4E62-B909-AF4A1B405DB7}"/>
    <cellStyle name="40% - Accent2 2 3 2 4" xfId="3805" xr:uid="{AFD73FB5-72F6-4903-8087-687D3C8982F1}"/>
    <cellStyle name="40% - Accent2 2 3 2 5" xfId="4468" xr:uid="{BE60FFFA-CC0C-4BDF-8036-A373F9A80367}"/>
    <cellStyle name="40% - Accent2 2 3 3" xfId="2025" xr:uid="{E17B5457-EB50-40FA-A797-C5F00CC76679}"/>
    <cellStyle name="40% - Accent2 2 3 4" xfId="2171" xr:uid="{F74A90A4-F54F-4C83-B68D-68F11E3BBB2A}"/>
    <cellStyle name="40% - Accent2 2 3 5" xfId="2822" xr:uid="{7001E98C-04CC-4760-9F3B-03F7D8B46BCC}"/>
    <cellStyle name="40% - Accent2 2 3 6" xfId="3478" xr:uid="{7E35AAC5-70C1-41C5-A104-25E0A6E9E043}"/>
    <cellStyle name="40% - Accent2 2 3 7" xfId="4141" xr:uid="{0E82D054-C9DC-4BE9-AF9E-B12C792D0DD5}"/>
    <cellStyle name="40% - Accent2 2 4" xfId="1216" xr:uid="{EABE747C-D77F-4911-8BF3-5D1CF2BBC7EB}"/>
    <cellStyle name="40% - Accent2 2 4 2" xfId="1547" xr:uid="{6CE208D5-F7A7-4225-98DB-0E57BE69A667}"/>
    <cellStyle name="40% - Accent2 2 4 2 2" xfId="2606" xr:uid="{6572B72A-911B-4B68-86F7-E08D5F652E3A}"/>
    <cellStyle name="40% - Accent2 2 4 2 3" xfId="3257" xr:uid="{B8682C51-51CB-43B2-9B6A-C24DF86ACCB0}"/>
    <cellStyle name="40% - Accent2 2 4 2 4" xfId="3913" xr:uid="{8BD72367-75B9-4C0A-8445-71D7B2621AFB}"/>
    <cellStyle name="40% - Accent2 2 4 2 5" xfId="4576" xr:uid="{7F31FD66-481E-45C4-AB6F-E9AD9598F8B2}"/>
    <cellStyle name="40% - Accent2 2 4 3" xfId="2279" xr:uid="{81BDC1BF-9281-45A8-AD53-993692B489E0}"/>
    <cellStyle name="40% - Accent2 2 4 4" xfId="2930" xr:uid="{CBBD7317-DEAA-4B16-9D23-5254A43F25ED}"/>
    <cellStyle name="40% - Accent2 2 4 5" xfId="3586" xr:uid="{BDE603CC-064E-4CB1-A6F5-14B5C019726B}"/>
    <cellStyle name="40% - Accent2 2 4 6" xfId="4249" xr:uid="{B628990B-F522-43E4-B49A-3320D2B15A97}"/>
    <cellStyle name="40% - Accent2 2 5" xfId="1331" xr:uid="{A366ED4A-8EEE-4BB1-B8D3-3CDFF206F783}"/>
    <cellStyle name="40% - Accent2 2 5 2" xfId="2390" xr:uid="{4BFD6984-2477-4C49-ACD9-8BA97D167E7B}"/>
    <cellStyle name="40% - Accent2 2 5 3" xfId="3041" xr:uid="{EDCA4367-1DC7-4F80-BAEA-6C8652FBEBD9}"/>
    <cellStyle name="40% - Accent2 2 5 4" xfId="3697" xr:uid="{8D1E5937-B6CA-4F7C-9CF5-2960EE69A820}"/>
    <cellStyle name="40% - Accent2 2 5 5" xfId="4360" xr:uid="{021B4EBF-8EEC-4603-BDE1-1097764E968E}"/>
    <cellStyle name="40% - Accent2 2 6" xfId="1890" xr:uid="{9E95A573-49F0-4837-B5D7-680B8A47F93D}"/>
    <cellStyle name="40% - Accent2 2 7" xfId="2063" xr:uid="{B31981C3-9899-497A-965B-AE8E7ED6EA9A}"/>
    <cellStyle name="40% - Accent2 2 8" xfId="2714" xr:uid="{5037C04F-933D-48B0-9A77-2165323D8901}"/>
    <cellStyle name="40% - Accent2 2 9" xfId="3369" xr:uid="{EF7ACA31-7C57-48AD-91B2-FFF1933C704C}"/>
    <cellStyle name="40% - Accent2 3" xfId="253" xr:uid="{53145DE6-6407-4511-ACCB-CCD79D9DB321}"/>
    <cellStyle name="40% - Accent2 3 10" xfId="4046" xr:uid="{DF2D9019-D8DE-4A34-8475-01C75B58C989}"/>
    <cellStyle name="40% - Accent2 3 11" xfId="1807" xr:uid="{967572AB-650B-4EC6-8BCB-7A10508AB83B}"/>
    <cellStyle name="40% - Accent2 3 12" xfId="1724" xr:uid="{8461F513-7EF7-462B-9299-84ED456CC8B4}"/>
    <cellStyle name="40% - Accent2 3 13" xfId="998" xr:uid="{943BF2D8-7026-4EBB-B2F1-9CB8C01DF0DB}"/>
    <cellStyle name="40% - Accent2 3 2" xfId="349" xr:uid="{CB1FB208-2997-4F05-A115-14AC643C8A5A}"/>
    <cellStyle name="40% - Accent2 3 2 10" xfId="1062" xr:uid="{FA8CE950-E7FE-4B78-BADC-8F79CEEA2348}"/>
    <cellStyle name="40% - Accent2 3 2 2" xfId="465" xr:uid="{DC811425-5A34-478A-B752-640394A91E82}"/>
    <cellStyle name="40% - Accent2 3 2 2 2" xfId="684" xr:uid="{67F186A6-2161-4388-9BE1-0D552AEC2110}"/>
    <cellStyle name="40% - Accent2 3 2 2 2 2" xfId="2565" xr:uid="{32944EC8-85E2-4819-97F3-C8BD75181062}"/>
    <cellStyle name="40% - Accent2 3 2 2 2 3" xfId="3216" xr:uid="{319472C8-6A0F-469C-B43B-071CF760D2ED}"/>
    <cellStyle name="40% - Accent2 3 2 2 2 4" xfId="3872" xr:uid="{637A3DEB-50CE-4B75-9E80-95172BFC19D7}"/>
    <cellStyle name="40% - Accent2 3 2 2 2 5" xfId="4535" xr:uid="{D86F63B2-5881-4E4C-84DE-435CFB1F31BF}"/>
    <cellStyle name="40% - Accent2 3 2 2 2 6" xfId="1506" xr:uid="{373E9B08-5B30-4C84-9F28-050E9E646A1D}"/>
    <cellStyle name="40% - Accent2 3 2 2 3" xfId="1846" xr:uid="{A4155927-19DB-45E0-AC19-57AA05769CDD}"/>
    <cellStyle name="40% - Accent2 3 2 2 4" xfId="2238" xr:uid="{EAA4C9D1-C59E-454E-AA4B-C9CB24D593E5}"/>
    <cellStyle name="40% - Accent2 3 2 2 5" xfId="2889" xr:uid="{9264C7F6-5729-407A-AA36-575E8A6AF211}"/>
    <cellStyle name="40% - Accent2 3 2 2 6" xfId="3545" xr:uid="{B0AF5D9E-FAD7-49CE-9C9D-E65E23A00FDD}"/>
    <cellStyle name="40% - Accent2 3 2 2 7" xfId="4208" xr:uid="{580A4F15-F36C-4D31-A3A9-125C7C0E3811}"/>
    <cellStyle name="40% - Accent2 3 2 2 8" xfId="1169" xr:uid="{277F85F5-48D5-4235-B4F5-7ABF4E010E03}"/>
    <cellStyle name="40% - Accent2 3 2 3" xfId="574" xr:uid="{DEB976FF-C77D-40A2-B696-F3D817B9DA01}"/>
    <cellStyle name="40% - Accent2 3 2 3 2" xfId="1614" xr:uid="{4558245A-247B-419A-ADC7-9684FE059EA7}"/>
    <cellStyle name="40% - Accent2 3 2 3 2 2" xfId="2673" xr:uid="{F14ACDAB-E97E-40BF-AB62-83B1D432EDD5}"/>
    <cellStyle name="40% - Accent2 3 2 3 2 3" xfId="3324" xr:uid="{637A081B-99D8-4658-B40A-9B175B1F7777}"/>
    <cellStyle name="40% - Accent2 3 2 3 2 4" xfId="3980" xr:uid="{AD7ECA1C-05B0-49D9-835A-F964F8BA639A}"/>
    <cellStyle name="40% - Accent2 3 2 3 2 5" xfId="4643" xr:uid="{E948FBDE-1546-4010-B2D5-78B5E543FAA4}"/>
    <cellStyle name="40% - Accent2 3 2 3 3" xfId="2346" xr:uid="{88C1F897-1578-4A3F-A544-A42185D7C2CC}"/>
    <cellStyle name="40% - Accent2 3 2 3 4" xfId="2997" xr:uid="{41FCBEB8-D4F1-4FAB-9DF5-76785CE7E964}"/>
    <cellStyle name="40% - Accent2 3 2 3 5" xfId="3653" xr:uid="{0791E059-528F-42FA-9361-523DF8E4A791}"/>
    <cellStyle name="40% - Accent2 3 2 3 6" xfId="4316" xr:uid="{C60DFBF5-29DE-4040-AE02-15B5BDDE81CA}"/>
    <cellStyle name="40% - Accent2 3 2 3 7" xfId="1283" xr:uid="{1E5530BC-DC48-4584-BD2C-8DA312E22B2D}"/>
    <cellStyle name="40% - Accent2 3 2 4" xfId="1398" xr:uid="{99A49FFE-1DB9-43CA-BB3A-15D0CCB10E53}"/>
    <cellStyle name="40% - Accent2 3 2 4 2" xfId="2457" xr:uid="{7A6ABA2D-A641-4F23-AD35-D486C7FE6EC1}"/>
    <cellStyle name="40% - Accent2 3 2 4 3" xfId="3108" xr:uid="{3267F679-4C3C-40A1-AAEA-47CCD99DFF76}"/>
    <cellStyle name="40% - Accent2 3 2 4 4" xfId="3764" xr:uid="{B1253FE9-21DE-490F-943D-91C3AB9CF45A}"/>
    <cellStyle name="40% - Accent2 3 2 4 5" xfId="4427" xr:uid="{6BB0DA0E-EB37-4879-AAF5-980F5D14A610}"/>
    <cellStyle name="40% - Accent2 3 2 5" xfId="1854" xr:uid="{9AAD4386-2847-402C-AD59-F5B611D465CB}"/>
    <cellStyle name="40% - Accent2 3 2 6" xfId="2130" xr:uid="{F7468F44-9682-45E3-AFD0-5E579AFD9022}"/>
    <cellStyle name="40% - Accent2 3 2 7" xfId="2781" xr:uid="{54B3ADCD-3B71-403F-B17E-8CD2A1675A43}"/>
    <cellStyle name="40% - Accent2 3 2 8" xfId="3437" xr:uid="{8E3EEFCE-1EA4-4F43-A08F-F1D7A7BDCE3B}"/>
    <cellStyle name="40% - Accent2 3 2 9" xfId="4100" xr:uid="{FC7F41EE-0549-49EF-A013-85109E9F2DAC}"/>
    <cellStyle name="40% - Accent2 3 3" xfId="422" xr:uid="{DC323931-1A1D-4AFA-8F94-314BCD31213C}"/>
    <cellStyle name="40% - Accent2 3 3 2" xfId="641" xr:uid="{82CD8885-EC0D-4927-A63A-029F779749A1}"/>
    <cellStyle name="40% - Accent2 3 3 2 2" xfId="2511" xr:uid="{7E84ACE9-9743-4FD6-AACC-ABA2403FF30D}"/>
    <cellStyle name="40% - Accent2 3 3 2 3" xfId="3162" xr:uid="{DA806EBA-EBFE-448D-8D8F-335894133EF2}"/>
    <cellStyle name="40% - Accent2 3 3 2 4" xfId="3818" xr:uid="{D714016D-AED2-4558-8041-731CC37589B5}"/>
    <cellStyle name="40% - Accent2 3 3 2 5" xfId="4481" xr:uid="{C6154E73-7321-4BD9-AAE1-274983384CF8}"/>
    <cellStyle name="40% - Accent2 3 3 2 6" xfId="1452" xr:uid="{87918AC9-3691-4FAB-9FB8-6352D59959F1}"/>
    <cellStyle name="40% - Accent2 3 3 3" xfId="2026" xr:uid="{5FC722BC-FBC6-4D8E-8BC9-472462900E6A}"/>
    <cellStyle name="40% - Accent2 3 3 4" xfId="2184" xr:uid="{5ABA2A98-C000-47A9-BC57-9B6D6EF645D4}"/>
    <cellStyle name="40% - Accent2 3 3 5" xfId="2835" xr:uid="{F550441B-5320-4319-94C0-F6DE1E2BBD28}"/>
    <cellStyle name="40% - Accent2 3 3 6" xfId="3491" xr:uid="{0B7AA076-264C-49A3-B08F-F62C8C4F286B}"/>
    <cellStyle name="40% - Accent2 3 3 7" xfId="4154" xr:uid="{970846CD-B2E2-485A-82D4-640D3DA9FA83}"/>
    <cellStyle name="40% - Accent2 3 3 8" xfId="1115" xr:uid="{2086A837-9CFD-4CD5-9D2D-8D5CD8FFD20D}"/>
    <cellStyle name="40% - Accent2 3 4" xfId="531" xr:uid="{DA90802D-EECA-46D2-9670-4DB51A05DBD1}"/>
    <cellStyle name="40% - Accent2 3 4 2" xfId="1560" xr:uid="{3A5482C0-0E16-4FDF-80CC-47D0F4C95E13}"/>
    <cellStyle name="40% - Accent2 3 4 2 2" xfId="2619" xr:uid="{547D6447-3EBF-431A-AC8F-54B1A2CB0D58}"/>
    <cellStyle name="40% - Accent2 3 4 2 3" xfId="3270" xr:uid="{B5968B9D-66CE-46FD-9920-8DB5524B42B0}"/>
    <cellStyle name="40% - Accent2 3 4 2 4" xfId="3926" xr:uid="{621FC8CA-2CAB-4BDC-8D1B-EEFDF5A73C8F}"/>
    <cellStyle name="40% - Accent2 3 4 2 5" xfId="4589" xr:uid="{3BB22955-848E-40DD-AC6E-CE21E7C471C7}"/>
    <cellStyle name="40% - Accent2 3 4 3" xfId="2292" xr:uid="{D02E47A3-E27F-4886-9F0E-8FAFBD57DAC7}"/>
    <cellStyle name="40% - Accent2 3 4 4" xfId="2943" xr:uid="{E75F67C2-D72D-43D8-93F4-EB8E866EF58B}"/>
    <cellStyle name="40% - Accent2 3 4 5" xfId="3599" xr:uid="{0C647777-414D-4C86-AF1A-FE26DC8BC9DE}"/>
    <cellStyle name="40% - Accent2 3 4 6" xfId="4262" xr:uid="{27F4E030-5ACB-4340-BC45-C8830F224089}"/>
    <cellStyle name="40% - Accent2 3 4 7" xfId="1229" xr:uid="{F990F780-D04C-4BF8-8025-58F8516B2BA4}"/>
    <cellStyle name="40% - Accent2 3 5" xfId="301" xr:uid="{C6EE1967-AA34-4B59-AC4F-B2B1E701E1BD}"/>
    <cellStyle name="40% - Accent2 3 5 2" xfId="2403" xr:uid="{192E7A78-E1FA-488F-BE86-4479FDC49539}"/>
    <cellStyle name="40% - Accent2 3 5 3" xfId="3054" xr:uid="{0B0DE2F3-6999-4B2C-B187-D7FB5D6F6DBB}"/>
    <cellStyle name="40% - Accent2 3 5 4" xfId="3710" xr:uid="{FB7031BC-8207-45E0-8E0C-902C61972F10}"/>
    <cellStyle name="40% - Accent2 3 5 5" xfId="4373" xr:uid="{C2C10467-CEFE-402E-BFB9-8251096F0CEB}"/>
    <cellStyle name="40% - Accent2 3 5 6" xfId="1344" xr:uid="{C49E7CFA-66D8-46DC-A1AD-5A55A180E0DD}"/>
    <cellStyle name="40% - Accent2 3 6" xfId="1956" xr:uid="{1DA2CA1F-81BE-42F3-AC56-E4377FDFEC51}"/>
    <cellStyle name="40% - Accent2 3 7" xfId="2076" xr:uid="{925DBE8F-7E01-43EA-B93D-1127DB75BE0C}"/>
    <cellStyle name="40% - Accent2 3 8" xfId="2727" xr:uid="{7DC111D9-B0EE-4870-A575-EBB1DCE3BF52}"/>
    <cellStyle name="40% - Accent2 3 9" xfId="3382" xr:uid="{B7BCB090-2174-4E76-8594-62D2340EECEA}"/>
    <cellStyle name="40% - Accent2 4" xfId="368" xr:uid="{0A6287A0-7DEC-4F92-9385-D61781B6384D}"/>
    <cellStyle name="40% - Accent2 4 10" xfId="1029" xr:uid="{7E557D18-AA58-4465-B27A-E43987AF31E6}"/>
    <cellStyle name="40% - Accent2 4 2" xfId="484" xr:uid="{2C078E69-2127-4E82-911C-74D67461E4CD}"/>
    <cellStyle name="40% - Accent2 4 2 2" xfId="703" xr:uid="{2A748E62-49CB-4F9A-8CA6-A1165D105ED8}"/>
    <cellStyle name="40% - Accent2 4 2 2 2" xfId="2532" xr:uid="{85BBD7D8-55AB-41F1-9578-DAD0FE134E71}"/>
    <cellStyle name="40% - Accent2 4 2 2 3" xfId="3183" xr:uid="{99218499-D9C6-4CDC-AD91-5A30FF4D0A22}"/>
    <cellStyle name="40% - Accent2 4 2 2 4" xfId="3839" xr:uid="{7F9231E5-BF5C-4E8F-AEDC-43748542D6BA}"/>
    <cellStyle name="40% - Accent2 4 2 2 5" xfId="4502" xr:uid="{F3BF8748-1037-4446-A7E9-71C014A7CAA6}"/>
    <cellStyle name="40% - Accent2 4 2 2 6" xfId="1473" xr:uid="{290357BA-63DF-4662-8008-5D47C4701119}"/>
    <cellStyle name="40% - Accent2 4 2 3" xfId="1842" xr:uid="{5D933E44-26D1-4B38-9457-41D002D3286C}"/>
    <cellStyle name="40% - Accent2 4 2 4" xfId="2205" xr:uid="{B70F70E9-DCE7-4276-8337-07074B9C5E4C}"/>
    <cellStyle name="40% - Accent2 4 2 5" xfId="2856" xr:uid="{50DE91EB-C328-423A-90D6-40AF4ADF20AE}"/>
    <cellStyle name="40% - Accent2 4 2 6" xfId="3512" xr:uid="{B9110A02-D27F-4217-95A7-C009CF120405}"/>
    <cellStyle name="40% - Accent2 4 2 7" xfId="4175" xr:uid="{FB1F2AD2-A65A-430F-A2BC-46A6ACC4D1BB}"/>
    <cellStyle name="40% - Accent2 4 2 8" xfId="1136" xr:uid="{F2F8B376-5CC3-448D-B66F-3FB92F46595E}"/>
    <cellStyle name="40% - Accent2 4 3" xfId="593" xr:uid="{A8AB549F-2B1B-488B-B8F6-F7EBE76F2EEC}"/>
    <cellStyle name="40% - Accent2 4 3 2" xfId="1581" xr:uid="{55718A68-A2C7-4E80-BB04-C021EE5FD373}"/>
    <cellStyle name="40% - Accent2 4 3 2 2" xfId="2640" xr:uid="{9F15CA77-7E4A-4B93-AC89-71D12BFE7EAE}"/>
    <cellStyle name="40% - Accent2 4 3 2 3" xfId="3291" xr:uid="{B9BA84E3-7AED-437B-8C87-17EDB2BEF490}"/>
    <cellStyle name="40% - Accent2 4 3 2 4" xfId="3947" xr:uid="{172A794F-BA91-4288-9EF2-8BB9FAF38242}"/>
    <cellStyle name="40% - Accent2 4 3 2 5" xfId="4610" xr:uid="{00CCA651-AD72-4E76-BCBF-73AD176A8B59}"/>
    <cellStyle name="40% - Accent2 4 3 3" xfId="2313" xr:uid="{35A41ACB-56F6-4F40-BE6A-CE9D5FF7508A}"/>
    <cellStyle name="40% - Accent2 4 3 4" xfId="2964" xr:uid="{BC42EA99-ADC3-4350-96F4-4E4F5C9E8A64}"/>
    <cellStyle name="40% - Accent2 4 3 5" xfId="3620" xr:uid="{823FF624-34B4-4961-856B-D3B5F729BF6F}"/>
    <cellStyle name="40% - Accent2 4 3 6" xfId="4283" xr:uid="{4E717DEA-BA01-4CB7-B3AF-9E684560FF3E}"/>
    <cellStyle name="40% - Accent2 4 3 7" xfId="1250" xr:uid="{E25B9A2F-831F-4052-992D-B6EEDB844205}"/>
    <cellStyle name="40% - Accent2 4 4" xfId="1365" xr:uid="{17C43241-552F-4608-A686-6F9C4BEC3BB2}"/>
    <cellStyle name="40% - Accent2 4 4 2" xfId="2424" xr:uid="{183339E7-6C09-4B5D-AF22-105F123C6773}"/>
    <cellStyle name="40% - Accent2 4 4 3" xfId="3075" xr:uid="{3207B006-4713-4203-92FB-83749548E6F8}"/>
    <cellStyle name="40% - Accent2 4 4 4" xfId="3731" xr:uid="{B8D1D0BD-DED8-436A-87D0-B2E9ADBB2002}"/>
    <cellStyle name="40% - Accent2 4 4 5" xfId="4394" xr:uid="{85246CB1-8FFD-4EC0-9CCB-67D5422762FC}"/>
    <cellStyle name="40% - Accent2 4 5" xfId="1920" xr:uid="{52FB8DCA-1FA0-4BC7-AC72-39FBCA434ED7}"/>
    <cellStyle name="40% - Accent2 4 6" xfId="2097" xr:uid="{B51FB843-F54D-4332-82E1-5177B3A0D28D}"/>
    <cellStyle name="40% - Accent2 4 7" xfId="2748" xr:uid="{5CA2F217-6546-4C67-AA23-8B0428D96B26}"/>
    <cellStyle name="40% - Accent2 4 8" xfId="3404" xr:uid="{376E6AEA-1025-4BFA-9367-D9EF2075309D}"/>
    <cellStyle name="40% - Accent2 4 9" xfId="4067" xr:uid="{DC2E512C-46C7-47E7-9F39-2B36F693A23D}"/>
    <cellStyle name="40% - Accent2 5" xfId="325" xr:uid="{148600B7-9FE7-4928-BD3C-020E046906C7}"/>
    <cellStyle name="40% - Accent2 5 10" xfId="1080" xr:uid="{BAABF58B-5A21-453D-B2B2-1F8E96C5EFA5}"/>
    <cellStyle name="40% - Accent2 5 2" xfId="446" xr:uid="{05AD9B58-266F-4C81-AAC7-F175D1558949}"/>
    <cellStyle name="40% - Accent2 5 2 2" xfId="665" xr:uid="{DAD12412-E41D-4989-A363-C03D19503A96}"/>
    <cellStyle name="40% - Accent2 5 2 2 2" xfId="2476" xr:uid="{71638901-B472-498C-987A-B036DE9A0F8C}"/>
    <cellStyle name="40% - Accent2 5 2 3" xfId="3127" xr:uid="{C10DB4CE-B144-4223-A2A3-96C6606A19B3}"/>
    <cellStyle name="40% - Accent2 5 2 4" xfId="3783" xr:uid="{C0DC6E41-4065-49B3-8D09-FC55AE828B23}"/>
    <cellStyle name="40% - Accent2 5 2 5" xfId="4446" xr:uid="{ECED1B75-85CB-4063-B128-B25C9D690118}"/>
    <cellStyle name="40% - Accent2 5 2 6" xfId="1417" xr:uid="{47187A00-A329-4A49-99C1-54D1A0E0B7D1}"/>
    <cellStyle name="40% - Accent2 5 3" xfId="555" xr:uid="{E20974CC-6DC6-4084-9BE1-72D591800D35}"/>
    <cellStyle name="40% - Accent2 5 3 2" xfId="1881" xr:uid="{090F8AB0-E37C-48C1-A6E1-130DE4F7A618}"/>
    <cellStyle name="40% - Accent2 5 4" xfId="2149" xr:uid="{2F94B15E-E405-48DB-80B3-9AED1454C4F3}"/>
    <cellStyle name="40% - Accent2 5 5" xfId="2800" xr:uid="{6B1B6B65-06E2-4262-876D-9A2D20013BA2}"/>
    <cellStyle name="40% - Accent2 5 6" xfId="3456" xr:uid="{A6DFB8EB-B685-4D36-A137-D70D7A86DD7D}"/>
    <cellStyle name="40% - Accent2 5 7" xfId="4119" xr:uid="{24947C02-0652-4384-9B37-AFE9012E3880}"/>
    <cellStyle name="40% - Accent2 5 8" xfId="1822" xr:uid="{1AA30B68-62D9-4EDF-B791-FDBF4C07A98B}"/>
    <cellStyle name="40% - Accent2 5 9" xfId="1668" xr:uid="{62870033-3E08-4B9B-A775-BCC261269140}"/>
    <cellStyle name="40% - Accent2 6" xfId="399" xr:uid="{2D8BEFD8-5CCC-4BD9-8788-59A7A220845A}"/>
    <cellStyle name="40% - Accent2 6 2" xfId="619" xr:uid="{F679797D-AE92-4970-8E62-721AF4C85960}"/>
    <cellStyle name="40% - Accent2 6 2 2" xfId="2584" xr:uid="{2DA3DFF1-3066-4EA4-AA86-60D9045FB98E}"/>
    <cellStyle name="40% - Accent2 6 2 3" xfId="3235" xr:uid="{B0AEA2DC-49F3-4063-8B6C-98088EE05FE1}"/>
    <cellStyle name="40% - Accent2 6 2 4" xfId="3891" xr:uid="{10EBDFBF-6D21-4547-90D5-36A2BD7404A8}"/>
    <cellStyle name="40% - Accent2 6 2 5" xfId="4554" xr:uid="{C2EB8CFB-7517-4F1E-9EE8-55EEA806A4C0}"/>
    <cellStyle name="40% - Accent2 6 2 6" xfId="1525" xr:uid="{D690CB1B-E1EE-42D4-BDC3-B33017572D8B}"/>
    <cellStyle name="40% - Accent2 6 3" xfId="2257" xr:uid="{7B95AA1F-3BE4-44F3-822D-A1CA3B3CA7C1}"/>
    <cellStyle name="40% - Accent2 6 4" xfId="2908" xr:uid="{E2EB40E6-A6C2-409E-A634-C3BC77766706}"/>
    <cellStyle name="40% - Accent2 6 5" xfId="3564" xr:uid="{93886D3D-57AB-414D-9EB2-B85C33582817}"/>
    <cellStyle name="40% - Accent2 6 6" xfId="4227" xr:uid="{81A37D86-DC02-4D68-B01D-A946C5CE2108}"/>
    <cellStyle name="40% - Accent2 6 7" xfId="1194" xr:uid="{6504EAF2-E47E-4C09-BF09-A7C71990F6D4}"/>
    <cellStyle name="40% - Accent2 7" xfId="509" xr:uid="{11C28DA2-DD2A-4B04-B350-099E2339CA8A}"/>
    <cellStyle name="40% - Accent2 7 2" xfId="2368" xr:uid="{7F24B180-92AC-4D9C-93D9-DE714E5A33F6}"/>
    <cellStyle name="40% - Accent2 7 3" xfId="3019" xr:uid="{66ED06B9-D7B7-4E0A-B9C1-E7A2BE76C5E7}"/>
    <cellStyle name="40% - Accent2 7 4" xfId="3675" xr:uid="{7D6BEC98-CF9C-4A31-9FF4-DFF514C1415E}"/>
    <cellStyle name="40% - Accent2 7 5" xfId="4338" xr:uid="{3DFDDF1D-7379-4368-A3E2-BC1391DE9B9F}"/>
    <cellStyle name="40% - Accent2 7 6" xfId="1304" xr:uid="{443F3311-F0B6-48EA-BA7B-48441BD9E958}"/>
    <cellStyle name="40% - Accent2 8" xfId="277" xr:uid="{6F2FF2E2-0FD2-4624-8318-EF0C7BC4AAD5}"/>
    <cellStyle name="40% - Accent2 8 2" xfId="1906" xr:uid="{B8E45E3B-E654-4043-8C7A-C6020C848A60}"/>
    <cellStyle name="40% - Accent2 9" xfId="2041" xr:uid="{7B310796-E175-45D2-9884-FFD010E662DB}"/>
    <cellStyle name="40% - Accent3" xfId="31" builtinId="39" customBuiltin="1"/>
    <cellStyle name="40% - Accent3 10" xfId="2694" xr:uid="{2542C211-E6AB-4BF6-8602-3F525C415DD5}"/>
    <cellStyle name="40% - Accent3 11" xfId="3348" xr:uid="{BA91BEE6-0074-493D-8A7A-A64AEDDB54B6}"/>
    <cellStyle name="40% - Accent3 12" xfId="4013" xr:uid="{DDECB584-7D3D-4DD6-868E-012542753AF4}"/>
    <cellStyle name="40% - Accent3 13" xfId="732" xr:uid="{7A7AB4B0-64D4-493B-9A59-012C1C4DF8A5}"/>
    <cellStyle name="40% - Accent3 14" xfId="160" xr:uid="{C30791F5-442F-436D-B892-6A5E03FBACEF}"/>
    <cellStyle name="40% - Accent3 2" xfId="86" xr:uid="{55E86908-92AD-4360-8559-FC224B3C5845}"/>
    <cellStyle name="40% - Accent3 2 10" xfId="4034" xr:uid="{A8EDC638-52BD-4F76-88FF-9D66BA8A9C29}"/>
    <cellStyle name="40% - Accent3 2 11" xfId="748" xr:uid="{C7342AC6-6F13-4DFE-B4BF-7E6F56036604}"/>
    <cellStyle name="40% - Accent3 2 12" xfId="179" xr:uid="{C7909DE4-20A2-4AEA-BE6F-DBC85C226D74}"/>
    <cellStyle name="40% - Accent3 2 2" xfId="1050" xr:uid="{A0B62F6B-EDF5-4DF0-8F63-B1F13D89AF53}"/>
    <cellStyle name="40% - Accent3 2 2 2" xfId="1157" xr:uid="{13ED4586-CAED-4891-9744-67DE5ED65EBE}"/>
    <cellStyle name="40% - Accent3 2 2 2 2" xfId="1494" xr:uid="{E14453AA-C14C-4DB6-B89B-DAD5FA8B6310}"/>
    <cellStyle name="40% - Accent3 2 2 2 2 2" xfId="2553" xr:uid="{81E873D7-CE29-47FD-92BD-3FFFE2E89C86}"/>
    <cellStyle name="40% - Accent3 2 2 2 2 3" xfId="3204" xr:uid="{420483D4-A5FB-4787-AD06-5F0AD9067770}"/>
    <cellStyle name="40% - Accent3 2 2 2 2 4" xfId="3860" xr:uid="{2B75C4E5-A314-44C6-9BA4-04D166E00E2C}"/>
    <cellStyle name="40% - Accent3 2 2 2 2 5" xfId="4523" xr:uid="{8F0AEE14-4ED1-40A4-A1A8-5D14AE30178B}"/>
    <cellStyle name="40% - Accent3 2 2 2 3" xfId="1931" xr:uid="{4609DDE9-F8B7-4B85-BBAD-251DB89F53E5}"/>
    <cellStyle name="40% - Accent3 2 2 2 4" xfId="2226" xr:uid="{544BB650-F5AE-4CDA-91B4-B4570E6C442B}"/>
    <cellStyle name="40% - Accent3 2 2 2 5" xfId="2877" xr:uid="{5BAD0324-9FA4-4B8B-89C3-7D9FFEE50D01}"/>
    <cellStyle name="40% - Accent3 2 2 2 6" xfId="3533" xr:uid="{43A61909-9154-437F-8528-05C0D20A9F43}"/>
    <cellStyle name="40% - Accent3 2 2 2 7" xfId="4196" xr:uid="{0258048B-AC79-408D-9150-DEFA087C0662}"/>
    <cellStyle name="40% - Accent3 2 2 3" xfId="1271" xr:uid="{A481A40E-6834-4115-AFB6-72F2FC132DE5}"/>
    <cellStyle name="40% - Accent3 2 2 3 2" xfId="1602" xr:uid="{6A4DA8EE-C6E0-49A8-9CC1-25D85717F30E}"/>
    <cellStyle name="40% - Accent3 2 2 3 2 2" xfId="2661" xr:uid="{AFFB4E15-2121-49C8-B22F-213C0DEC077D}"/>
    <cellStyle name="40% - Accent3 2 2 3 2 3" xfId="3312" xr:uid="{E1742099-2255-4A8D-B9B6-E5F33EC5613E}"/>
    <cellStyle name="40% - Accent3 2 2 3 2 4" xfId="3968" xr:uid="{2F811894-F130-4503-93C4-342351788367}"/>
    <cellStyle name="40% - Accent3 2 2 3 2 5" xfId="4631" xr:uid="{9368EC32-4B16-4A8B-B665-01DA93CEE143}"/>
    <cellStyle name="40% - Accent3 2 2 3 3" xfId="2334" xr:uid="{FB23C2EE-BD4C-4371-971D-1C6AF36AE84C}"/>
    <cellStyle name="40% - Accent3 2 2 3 4" xfId="2985" xr:uid="{1065AE5A-D998-4D26-89A1-272A8BA155CB}"/>
    <cellStyle name="40% - Accent3 2 2 3 5" xfId="3641" xr:uid="{CC28D2C4-E7FA-469E-BAD3-AB5E51AF2586}"/>
    <cellStyle name="40% - Accent3 2 2 3 6" xfId="4304" xr:uid="{5446EDEF-C7DB-48E5-A4F8-C1AED95A52C2}"/>
    <cellStyle name="40% - Accent3 2 2 4" xfId="1386" xr:uid="{DD61A536-F341-4A6E-B013-A7978C485256}"/>
    <cellStyle name="40% - Accent3 2 2 4 2" xfId="2445" xr:uid="{9424605B-B76A-4F04-B91A-E4792E518BC6}"/>
    <cellStyle name="40% - Accent3 2 2 4 3" xfId="3096" xr:uid="{7F1E3DF4-16A1-4D3C-81EC-5760662C2696}"/>
    <cellStyle name="40% - Accent3 2 2 4 4" xfId="3752" xr:uid="{DB5CC63E-9F35-4B40-8B4A-EBCDB4016C18}"/>
    <cellStyle name="40% - Accent3 2 2 4 5" xfId="4415" xr:uid="{405B9C4E-29A2-46C8-A67D-D365AFADE7EB}"/>
    <cellStyle name="40% - Accent3 2 2 5" xfId="1858" xr:uid="{9C8A81C2-059F-4556-BD9B-FF831C5935D3}"/>
    <cellStyle name="40% - Accent3 2 2 6" xfId="2118" xr:uid="{B913EF56-1D6D-45AC-926E-97D4F4B94273}"/>
    <cellStyle name="40% - Accent3 2 2 7" xfId="2769" xr:uid="{C5CCC722-6080-4CD9-A972-514C0F18E93F}"/>
    <cellStyle name="40% - Accent3 2 2 8" xfId="3425" xr:uid="{0DC5D20F-95BD-4440-89C5-669276F8AFCF}"/>
    <cellStyle name="40% - Accent3 2 2 9" xfId="4088" xr:uid="{792D4F7D-7696-406E-9593-67F6E5FFE3F6}"/>
    <cellStyle name="40% - Accent3 2 3" xfId="1103" xr:uid="{46414541-C27B-4C95-A2B4-A1E6B6D9E008}"/>
    <cellStyle name="40% - Accent3 2 3 2" xfId="1440" xr:uid="{5D315E54-5AE6-4F92-A304-C3C4AAF31ADF}"/>
    <cellStyle name="40% - Accent3 2 3 2 2" xfId="2499" xr:uid="{04984D13-9918-4D96-BC34-36F5DEE265DB}"/>
    <cellStyle name="40% - Accent3 2 3 2 3" xfId="3150" xr:uid="{4C8C30C5-4BB7-45A5-9B28-F6A2179ABBC9}"/>
    <cellStyle name="40% - Accent3 2 3 2 4" xfId="3806" xr:uid="{2725F8D6-8215-462C-9274-44BE28A34154}"/>
    <cellStyle name="40% - Accent3 2 3 2 5" xfId="4469" xr:uid="{3C3D9BA1-E1B3-4080-AF84-23E9CA27A4BD}"/>
    <cellStyle name="40% - Accent3 2 3 3" xfId="1932" xr:uid="{D8048F23-9F71-4E44-8880-C56A127D8E09}"/>
    <cellStyle name="40% - Accent3 2 3 4" xfId="2172" xr:uid="{33735DBE-5277-422D-BCF4-5323B6BD26C6}"/>
    <cellStyle name="40% - Accent3 2 3 5" xfId="2823" xr:uid="{334E7080-E122-4164-90D0-31DAFD069445}"/>
    <cellStyle name="40% - Accent3 2 3 6" xfId="3479" xr:uid="{5912AFBB-F2E0-4D6A-A832-99DF2CC2C08B}"/>
    <cellStyle name="40% - Accent3 2 3 7" xfId="4142" xr:uid="{ED1A81B6-9C21-49DD-BE93-7698CBF7C1A9}"/>
    <cellStyle name="40% - Accent3 2 4" xfId="1217" xr:uid="{6DD4A68E-0725-40F1-918C-EDEB43EC1C44}"/>
    <cellStyle name="40% - Accent3 2 4 2" xfId="1548" xr:uid="{06C21530-1E63-456E-B410-7D58B8ED1A89}"/>
    <cellStyle name="40% - Accent3 2 4 2 2" xfId="2607" xr:uid="{742ECD11-DE65-4FC2-9080-778421AC0EE5}"/>
    <cellStyle name="40% - Accent3 2 4 2 3" xfId="3258" xr:uid="{66843320-2E23-44CA-A3EA-D8FDE995564E}"/>
    <cellStyle name="40% - Accent3 2 4 2 4" xfId="3914" xr:uid="{50E968B4-0EEA-44C2-985E-6B4D58DFF14E}"/>
    <cellStyle name="40% - Accent3 2 4 2 5" xfId="4577" xr:uid="{968AA444-10DC-4845-8DB3-405837E34613}"/>
    <cellStyle name="40% - Accent3 2 4 3" xfId="2280" xr:uid="{A2F26E39-F243-4E8B-8743-4C49A9593380}"/>
    <cellStyle name="40% - Accent3 2 4 4" xfId="2931" xr:uid="{7D259E56-D220-4A12-93E7-12E7B29FE851}"/>
    <cellStyle name="40% - Accent3 2 4 5" xfId="3587" xr:uid="{373E1D36-1A4B-4F87-9ECD-044E38355703}"/>
    <cellStyle name="40% - Accent3 2 4 6" xfId="4250" xr:uid="{65FFD38C-A8EC-47B0-A89C-0F1A7E578C9F}"/>
    <cellStyle name="40% - Accent3 2 5" xfId="1332" xr:uid="{8A532B9F-3A0C-49A0-8F45-5CD66AC582E3}"/>
    <cellStyle name="40% - Accent3 2 5 2" xfId="2391" xr:uid="{F85F190D-4782-4A3C-8BC9-3C5995593487}"/>
    <cellStyle name="40% - Accent3 2 5 3" xfId="3042" xr:uid="{3076DBB5-EE99-4C3F-8D41-59B494A89EDF}"/>
    <cellStyle name="40% - Accent3 2 5 4" xfId="3698" xr:uid="{28780BBD-F689-4215-86A9-A4C9A15F40E9}"/>
    <cellStyle name="40% - Accent3 2 5 5" xfId="4361" xr:uid="{FDDA7DD5-28B5-4C9E-84F2-E9571D21FA8B}"/>
    <cellStyle name="40% - Accent3 2 6" xfId="1988" xr:uid="{4AF71FD4-0A7B-4746-A4F5-A913440EC0FC}"/>
    <cellStyle name="40% - Accent3 2 7" xfId="2064" xr:uid="{9E31EBCE-C0D4-4377-AD5C-850FD93C7375}"/>
    <cellStyle name="40% - Accent3 2 8" xfId="2715" xr:uid="{5A547874-3EEB-47EC-A373-D047364709DE}"/>
    <cellStyle name="40% - Accent3 2 9" xfId="3370" xr:uid="{5A2BE3F4-2D5C-4A65-91EB-186D500056AE}"/>
    <cellStyle name="40% - Accent3 3" xfId="255" xr:uid="{164E4D1D-A6D3-4C51-8411-337CE0A48324}"/>
    <cellStyle name="40% - Accent3 3 10" xfId="4048" xr:uid="{49C0AA8D-2EF3-4250-8CA0-F95378E1DB5C}"/>
    <cellStyle name="40% - Accent3 3 11" xfId="1809" xr:uid="{7A8F4538-1398-4A92-8BE2-C1134AFCB048}"/>
    <cellStyle name="40% - Accent3 3 12" xfId="1731" xr:uid="{2F5BE7E7-49ED-4597-82DC-F324F02781FD}"/>
    <cellStyle name="40% - Accent3 3 13" xfId="1000" xr:uid="{BA6B2A90-A80D-4BA5-90F6-226E5BDB2FEF}"/>
    <cellStyle name="40% - Accent3 3 2" xfId="351" xr:uid="{CD197499-6D89-4942-8C97-DA7E912A478F}"/>
    <cellStyle name="40% - Accent3 3 2 10" xfId="1064" xr:uid="{A2886336-3575-45BB-B7FE-D60013E0AEFD}"/>
    <cellStyle name="40% - Accent3 3 2 2" xfId="467" xr:uid="{647C974F-8D7E-4513-9F00-92CB5F33A10C}"/>
    <cellStyle name="40% - Accent3 3 2 2 2" xfId="686" xr:uid="{BB5C78A3-8745-4722-95AE-A225C3388D77}"/>
    <cellStyle name="40% - Accent3 3 2 2 2 2" xfId="2567" xr:uid="{20D51CC3-99A0-4BEE-B765-2217CD3F1C07}"/>
    <cellStyle name="40% - Accent3 3 2 2 2 3" xfId="3218" xr:uid="{1487B7D1-CE73-4399-AF76-414DD9ABFD5A}"/>
    <cellStyle name="40% - Accent3 3 2 2 2 4" xfId="3874" xr:uid="{4A468EDB-DFF4-4D57-9B63-A73FE22BC1C2}"/>
    <cellStyle name="40% - Accent3 3 2 2 2 5" xfId="4537" xr:uid="{ADDE647C-C0C0-4EE6-AC2B-B9BF983EED8B}"/>
    <cellStyle name="40% - Accent3 3 2 2 2 6" xfId="1508" xr:uid="{3281126F-4CE9-4786-8123-3FED7C7052B2}"/>
    <cellStyle name="40% - Accent3 3 2 2 3" xfId="1944" xr:uid="{82E6805D-1065-4FC3-AECA-4E6DECCB31F9}"/>
    <cellStyle name="40% - Accent3 3 2 2 4" xfId="2240" xr:uid="{3394C61F-3AB5-4CFF-B808-265CC23DBC79}"/>
    <cellStyle name="40% - Accent3 3 2 2 5" xfId="2891" xr:uid="{5F4EF3AB-D377-4857-A89A-D35AB08D64D0}"/>
    <cellStyle name="40% - Accent3 3 2 2 6" xfId="3547" xr:uid="{1EDF9AE6-4A49-4E61-A1AD-5945D7CA3D71}"/>
    <cellStyle name="40% - Accent3 3 2 2 7" xfId="4210" xr:uid="{C701CC66-62E8-40CA-8F62-01EC7F3F69AD}"/>
    <cellStyle name="40% - Accent3 3 2 2 8" xfId="1171" xr:uid="{57CB6CE7-2C7F-49CF-AABE-6A8428767B1D}"/>
    <cellStyle name="40% - Accent3 3 2 3" xfId="576" xr:uid="{F01EE75C-C685-4E50-B6E4-D5EF7550BE93}"/>
    <cellStyle name="40% - Accent3 3 2 3 2" xfId="1616" xr:uid="{4C90775D-7ADC-4B0E-BDD7-C08BDF41CE52}"/>
    <cellStyle name="40% - Accent3 3 2 3 2 2" xfId="2675" xr:uid="{852F7E82-EF2C-4B0D-91AF-BD8153B9B8EC}"/>
    <cellStyle name="40% - Accent3 3 2 3 2 3" xfId="3326" xr:uid="{F9D6D61B-E04B-4249-A754-D12D0289CB81}"/>
    <cellStyle name="40% - Accent3 3 2 3 2 4" xfId="3982" xr:uid="{FE78F36E-84CD-4A3A-B58A-24376EC070F4}"/>
    <cellStyle name="40% - Accent3 3 2 3 2 5" xfId="4645" xr:uid="{41A189EB-D580-4EC3-9D1F-B7CEEE5A0D89}"/>
    <cellStyle name="40% - Accent3 3 2 3 3" xfId="2348" xr:uid="{FFCDAEE8-7DF3-4529-8037-6E2B35AAC4CF}"/>
    <cellStyle name="40% - Accent3 3 2 3 4" xfId="2999" xr:uid="{017FBB4A-06BB-4ADE-9EAD-7DBE82507525}"/>
    <cellStyle name="40% - Accent3 3 2 3 5" xfId="3655" xr:uid="{7E646F8D-B9CD-4712-8169-4653E9C32DBE}"/>
    <cellStyle name="40% - Accent3 3 2 3 6" xfId="4318" xr:uid="{8F7FE33B-8B2D-4C5E-94C2-AA56625485F1}"/>
    <cellStyle name="40% - Accent3 3 2 3 7" xfId="1285" xr:uid="{215C5372-028E-47A0-BA5E-45E4AA31F80A}"/>
    <cellStyle name="40% - Accent3 3 2 4" xfId="1400" xr:uid="{24B77E8E-A65B-4C35-96F5-774A5E206F0A}"/>
    <cellStyle name="40% - Accent3 3 2 4 2" xfId="2459" xr:uid="{3064C373-9CD9-476F-9FC8-D81AC712CE87}"/>
    <cellStyle name="40% - Accent3 3 2 4 3" xfId="3110" xr:uid="{007F8F23-A551-4DF5-BCF4-1B7C4A5F67B7}"/>
    <cellStyle name="40% - Accent3 3 2 4 4" xfId="3766" xr:uid="{7407BB91-4137-43AC-8230-A0964AC7350E}"/>
    <cellStyle name="40% - Accent3 3 2 4 5" xfId="4429" xr:uid="{FA31F14E-BB10-46ED-90B0-AE346233D7E3}"/>
    <cellStyle name="40% - Accent3 3 2 5" xfId="1780" xr:uid="{6DB54853-EE90-44DE-B446-6496DFEF6230}"/>
    <cellStyle name="40% - Accent3 3 2 6" xfId="2132" xr:uid="{8348E754-2FBB-4F62-A5DF-53DE6B045C35}"/>
    <cellStyle name="40% - Accent3 3 2 7" xfId="2783" xr:uid="{143D0CF7-1120-4E45-9543-56EB860651D6}"/>
    <cellStyle name="40% - Accent3 3 2 8" xfId="3439" xr:uid="{A5F966A3-0F69-4730-8E6F-0CF78BCB3D8B}"/>
    <cellStyle name="40% - Accent3 3 2 9" xfId="4102" xr:uid="{F13F6834-4CA9-439C-81F4-FFF23D710750}"/>
    <cellStyle name="40% - Accent3 3 3" xfId="424" xr:uid="{51E7321C-EE13-45D9-AE60-A90EF1060A92}"/>
    <cellStyle name="40% - Accent3 3 3 2" xfId="643" xr:uid="{F9B7810A-6B2E-4CCB-A470-37693E271073}"/>
    <cellStyle name="40% - Accent3 3 3 2 2" xfId="2513" xr:uid="{12B1B119-5114-44BB-A9C1-F4BF670F67ED}"/>
    <cellStyle name="40% - Accent3 3 3 2 3" xfId="3164" xr:uid="{4A0C5C20-C272-4E75-AFD2-BD98BF446434}"/>
    <cellStyle name="40% - Accent3 3 3 2 4" xfId="3820" xr:uid="{5BC2A327-8756-452E-837A-85319934FB2D}"/>
    <cellStyle name="40% - Accent3 3 3 2 5" xfId="4483" xr:uid="{F1D600BB-9600-43D4-A2D0-E069FC6B9851}"/>
    <cellStyle name="40% - Accent3 3 3 2 6" xfId="1454" xr:uid="{0D118FBE-E48A-4DD3-8F2C-9251BCFA104F}"/>
    <cellStyle name="40% - Accent3 3 3 3" xfId="2010" xr:uid="{E0EEA350-F7D5-4AC5-AFCA-50F841E016A3}"/>
    <cellStyle name="40% - Accent3 3 3 4" xfId="2186" xr:uid="{69D5D832-5874-42E1-9910-E9F2B96FA59A}"/>
    <cellStyle name="40% - Accent3 3 3 5" xfId="2837" xr:uid="{298FE24E-BFED-4DE1-A585-06FE157FB266}"/>
    <cellStyle name="40% - Accent3 3 3 6" xfId="3493" xr:uid="{685ECD35-A779-4B24-9776-229F67451EFD}"/>
    <cellStyle name="40% - Accent3 3 3 7" xfId="4156" xr:uid="{981C047B-5762-4D0D-AE4C-769DE0AB6521}"/>
    <cellStyle name="40% - Accent3 3 3 8" xfId="1117" xr:uid="{895CB973-BF6F-4012-B677-4FDE38A582F9}"/>
    <cellStyle name="40% - Accent3 3 4" xfId="533" xr:uid="{4CDF0C74-5163-4741-AC81-8205CE18F39F}"/>
    <cellStyle name="40% - Accent3 3 4 2" xfId="1562" xr:uid="{64F2C8BE-C273-4B8E-9FDE-22105C3814A7}"/>
    <cellStyle name="40% - Accent3 3 4 2 2" xfId="2621" xr:uid="{35872B78-2B52-4C2D-AAFB-1A42AEDB2859}"/>
    <cellStyle name="40% - Accent3 3 4 2 3" xfId="3272" xr:uid="{5FE0DD57-44B9-4255-A2F2-AA9D604A6FE8}"/>
    <cellStyle name="40% - Accent3 3 4 2 4" xfId="3928" xr:uid="{C0EEDA36-F8E8-44B9-9F27-A60397EEEB1C}"/>
    <cellStyle name="40% - Accent3 3 4 2 5" xfId="4591" xr:uid="{E7A136F4-DA85-4B76-A1CF-51231B33BCB2}"/>
    <cellStyle name="40% - Accent3 3 4 3" xfId="2294" xr:uid="{E1C28A1B-509E-4448-B3EF-6DA91D499DC4}"/>
    <cellStyle name="40% - Accent3 3 4 4" xfId="2945" xr:uid="{C1DAFDE2-72CF-4C2C-AD1C-F1146DAFAECE}"/>
    <cellStyle name="40% - Accent3 3 4 5" xfId="3601" xr:uid="{5ABFFF01-258E-4486-B0F0-BE42337A9137}"/>
    <cellStyle name="40% - Accent3 3 4 6" xfId="4264" xr:uid="{233FA84C-9505-4AE1-A684-198D841FE44E}"/>
    <cellStyle name="40% - Accent3 3 4 7" xfId="1231" xr:uid="{7F56084B-D281-43A3-A06F-631A2EF24FED}"/>
    <cellStyle name="40% - Accent3 3 5" xfId="303" xr:uid="{51508C25-9FD1-4D10-88EE-8F6C91BD08C5}"/>
    <cellStyle name="40% - Accent3 3 5 2" xfId="2405" xr:uid="{207197B0-C16E-4E83-967A-19539CE3B7AA}"/>
    <cellStyle name="40% - Accent3 3 5 3" xfId="3056" xr:uid="{5CA11EB0-665E-426E-9499-F8173574D633}"/>
    <cellStyle name="40% - Accent3 3 5 4" xfId="3712" xr:uid="{66040D62-A4E8-4CA2-914A-32DBAEECE1CD}"/>
    <cellStyle name="40% - Accent3 3 5 5" xfId="4375" xr:uid="{F482666B-23DA-4E16-96E0-DDF981904EF4}"/>
    <cellStyle name="40% - Accent3 3 5 6" xfId="1346" xr:uid="{B3459C99-8488-4F04-AB40-D676AC013A4B}"/>
    <cellStyle name="40% - Accent3 3 6" xfId="1927" xr:uid="{1EE56E09-B07E-4BDF-871B-5AC9FB613873}"/>
    <cellStyle name="40% - Accent3 3 7" xfId="2078" xr:uid="{E09DFDE8-CAA5-4940-B26A-4B7147902C0A}"/>
    <cellStyle name="40% - Accent3 3 8" xfId="2729" xr:uid="{93F8B578-A14F-4510-A1A0-F35644D619D5}"/>
    <cellStyle name="40% - Accent3 3 9" xfId="3384" xr:uid="{4C5C1724-181B-412F-9CEA-E19A4ECB10D8}"/>
    <cellStyle name="40% - Accent3 4" xfId="370" xr:uid="{18AC4E93-DD32-4F30-9D5A-EAC0E5D8B18F}"/>
    <cellStyle name="40% - Accent3 4 10" xfId="1031" xr:uid="{B81EA01F-986C-48A9-9C6D-CD85B3CBBC8B}"/>
    <cellStyle name="40% - Accent3 4 2" xfId="486" xr:uid="{A876ECFC-EA0F-4FD0-8906-29218BC663E0}"/>
    <cellStyle name="40% - Accent3 4 2 2" xfId="705" xr:uid="{554329C6-D009-4052-B221-C3601839D607}"/>
    <cellStyle name="40% - Accent3 4 2 2 2" xfId="2534" xr:uid="{EB4F1D60-DC9D-4FCC-B072-C1F8CFA6AF30}"/>
    <cellStyle name="40% - Accent3 4 2 2 3" xfId="3185" xr:uid="{5E48C6DE-0F04-4FFF-B65A-0E6606756617}"/>
    <cellStyle name="40% - Accent3 4 2 2 4" xfId="3841" xr:uid="{771200D9-D1A4-4B1D-BF19-1F254DF3821C}"/>
    <cellStyle name="40% - Accent3 4 2 2 5" xfId="4504" xr:uid="{1C777D59-BD37-4923-AB34-FE51A165E5F2}"/>
    <cellStyle name="40% - Accent3 4 2 2 6" xfId="1475" xr:uid="{32167DCB-F1E1-473C-B561-C80CBD69E76A}"/>
    <cellStyle name="40% - Accent3 4 2 3" xfId="1860" xr:uid="{D5112869-7E9E-4DAE-B0D3-A4AC1D47C253}"/>
    <cellStyle name="40% - Accent3 4 2 4" xfId="2207" xr:uid="{045BD4ED-11EC-48C2-AA97-1655FD176F38}"/>
    <cellStyle name="40% - Accent3 4 2 5" xfId="2858" xr:uid="{688B090C-3F79-46A4-8AF9-7461950B230B}"/>
    <cellStyle name="40% - Accent3 4 2 6" xfId="3514" xr:uid="{829C5FB0-CD26-44AE-B412-794B035EEF07}"/>
    <cellStyle name="40% - Accent3 4 2 7" xfId="4177" xr:uid="{2C63C1ED-2488-4FFB-BE1C-28AB1B799DF0}"/>
    <cellStyle name="40% - Accent3 4 2 8" xfId="1138" xr:uid="{F5FDA7BE-9F29-4BFC-8734-E80EEA68F5F4}"/>
    <cellStyle name="40% - Accent3 4 3" xfId="595" xr:uid="{19347263-3BB4-4382-8F8D-1876DA80040F}"/>
    <cellStyle name="40% - Accent3 4 3 2" xfId="1583" xr:uid="{C539EF97-BFB4-4922-BA0F-E9AB262A7082}"/>
    <cellStyle name="40% - Accent3 4 3 2 2" xfId="2642" xr:uid="{DACABF9C-585B-433E-BCB8-37224DD56F5F}"/>
    <cellStyle name="40% - Accent3 4 3 2 3" xfId="3293" xr:uid="{7C1A0E70-D396-4B8B-94DA-7DA4FFB9473C}"/>
    <cellStyle name="40% - Accent3 4 3 2 4" xfId="3949" xr:uid="{81DEAA34-5690-40E1-B914-0F9665C7A38A}"/>
    <cellStyle name="40% - Accent3 4 3 2 5" xfId="4612" xr:uid="{87633E8E-35E7-4D74-AE7D-3CB84D9F4F82}"/>
    <cellStyle name="40% - Accent3 4 3 3" xfId="2315" xr:uid="{46BCB3AC-11F8-40DB-873C-0226FC80FE69}"/>
    <cellStyle name="40% - Accent3 4 3 4" xfId="2966" xr:uid="{8D33584A-877A-46F6-B2CF-8011E7CA8F46}"/>
    <cellStyle name="40% - Accent3 4 3 5" xfId="3622" xr:uid="{287DFBB0-625E-4ACE-B685-3FF53C1DC3AD}"/>
    <cellStyle name="40% - Accent3 4 3 6" xfId="4285" xr:uid="{FBFD6428-527C-491B-89B1-C3008272B2F4}"/>
    <cellStyle name="40% - Accent3 4 3 7" xfId="1252" xr:uid="{E25DD875-10E5-47D3-8725-F74AB64E81C1}"/>
    <cellStyle name="40% - Accent3 4 4" xfId="1367" xr:uid="{8604A2EF-38D0-4F93-8CC4-443C9C092E01}"/>
    <cellStyle name="40% - Accent3 4 4 2" xfId="2426" xr:uid="{839ECB48-597F-4B5A-9145-49F1DA6BA0B4}"/>
    <cellStyle name="40% - Accent3 4 4 3" xfId="3077" xr:uid="{F737D767-324A-434F-A922-4F0DB08F05F1}"/>
    <cellStyle name="40% - Accent3 4 4 4" xfId="3733" xr:uid="{04EDA22C-E444-4270-8FA8-B3B69A3C6CFF}"/>
    <cellStyle name="40% - Accent3 4 4 5" xfId="4396" xr:uid="{C2673243-1658-47BE-86BA-BBE45146B1CC}"/>
    <cellStyle name="40% - Accent3 4 5" xfId="1871" xr:uid="{DC862D46-31D6-46F9-8C5E-A96E596C9254}"/>
    <cellStyle name="40% - Accent3 4 6" xfId="2099" xr:uid="{E979C681-5312-4D1A-BE23-A334F023C4AA}"/>
    <cellStyle name="40% - Accent3 4 7" xfId="2750" xr:uid="{23A1C5D4-06CD-4EBD-984B-E3EF0C648B5F}"/>
    <cellStyle name="40% - Accent3 4 8" xfId="3406" xr:uid="{82E96D0E-79E7-44C2-8B7B-892B2FE8B68D}"/>
    <cellStyle name="40% - Accent3 4 9" xfId="4069" xr:uid="{C50539CE-81E3-497A-AFC2-0121CBB48954}"/>
    <cellStyle name="40% - Accent3 5" xfId="327" xr:uid="{CE686FB2-E607-4BD4-9435-CDFE781CBE21}"/>
    <cellStyle name="40% - Accent3 5 10" xfId="1082" xr:uid="{CF3758A4-FB2B-4C80-84C9-82918B93A112}"/>
    <cellStyle name="40% - Accent3 5 2" xfId="448" xr:uid="{8FA7A66A-27C5-4D99-AD0E-5C1244F3B575}"/>
    <cellStyle name="40% - Accent3 5 2 2" xfId="667" xr:uid="{8F0BD209-2D0C-47E3-8F29-745C926FED4D}"/>
    <cellStyle name="40% - Accent3 5 2 2 2" xfId="2478" xr:uid="{30D174DC-272D-48EC-B9E4-76439C633672}"/>
    <cellStyle name="40% - Accent3 5 2 3" xfId="3129" xr:uid="{64B37950-CFED-4E65-9E28-1770FBB99748}"/>
    <cellStyle name="40% - Accent3 5 2 4" xfId="3785" xr:uid="{4703A8FC-8CE5-4A28-B895-BD3D98782673}"/>
    <cellStyle name="40% - Accent3 5 2 5" xfId="4448" xr:uid="{0E70A4F8-0977-4DAC-9999-F05528F52E11}"/>
    <cellStyle name="40% - Accent3 5 2 6" xfId="1419" xr:uid="{0A9EE0C3-32EC-4215-9431-A4FF31C97B5D}"/>
    <cellStyle name="40% - Accent3 5 3" xfId="557" xr:uid="{DB0ECF8C-1015-4EF6-B70E-C903B2AC1492}"/>
    <cellStyle name="40% - Accent3 5 3 2" xfId="1958" xr:uid="{2B71618A-DD49-47B9-8995-07281D31F5F3}"/>
    <cellStyle name="40% - Accent3 5 4" xfId="2151" xr:uid="{C9532491-5261-47F5-B796-BD61BB10F5C6}"/>
    <cellStyle name="40% - Accent3 5 5" xfId="2802" xr:uid="{C762BB89-A538-48E6-A211-D69394F973B8}"/>
    <cellStyle name="40% - Accent3 5 6" xfId="3458" xr:uid="{B40A44CA-3882-4A1A-AA8C-401A841094DC}"/>
    <cellStyle name="40% - Accent3 5 7" xfId="4121" xr:uid="{5EB3FC7D-09C0-4A91-87EC-ABBC9268EA9B}"/>
    <cellStyle name="40% - Accent3 5 8" xfId="1824" xr:uid="{9005D487-65E6-47FC-ABB2-385BC2773B06}"/>
    <cellStyle name="40% - Accent3 5 9" xfId="1672" xr:uid="{84770465-2206-4C0D-931B-E24E0AD35D5F}"/>
    <cellStyle name="40% - Accent3 6" xfId="401" xr:uid="{2239C27F-BD17-4FE8-9F1E-65BE47BCEFE7}"/>
    <cellStyle name="40% - Accent3 6 2" xfId="621" xr:uid="{1C279E95-4D78-4C16-BA71-21A55FCC8391}"/>
    <cellStyle name="40% - Accent3 6 2 2" xfId="2586" xr:uid="{77B60869-BAB9-4C6F-B2EE-89F73CF54338}"/>
    <cellStyle name="40% - Accent3 6 2 3" xfId="3237" xr:uid="{67EA8FE0-6375-4C2F-9CA1-C4B9A0615835}"/>
    <cellStyle name="40% - Accent3 6 2 4" xfId="3893" xr:uid="{64FDB99D-97DA-47F3-BE92-BD6D9A8F0ABC}"/>
    <cellStyle name="40% - Accent3 6 2 5" xfId="4556" xr:uid="{CB1A0E2A-19AE-4F24-982F-2BF26DC3892F}"/>
    <cellStyle name="40% - Accent3 6 2 6" xfId="1527" xr:uid="{478580F8-0709-4798-B802-6E0573529B99}"/>
    <cellStyle name="40% - Accent3 6 3" xfId="2259" xr:uid="{A63A5171-4FDA-447A-B41F-CE1408010896}"/>
    <cellStyle name="40% - Accent3 6 4" xfId="2910" xr:uid="{828168FF-87EB-4AE1-8F82-0FF69E402BBF}"/>
    <cellStyle name="40% - Accent3 6 5" xfId="3566" xr:uid="{AFFCF2BA-E16A-4347-9103-0AD13881F47B}"/>
    <cellStyle name="40% - Accent3 6 6" xfId="4229" xr:uid="{19B99528-08E3-42B9-9DA4-54B2848845A3}"/>
    <cellStyle name="40% - Accent3 6 7" xfId="1196" xr:uid="{9145D1F7-A44B-4337-BC4A-C5515AA3595B}"/>
    <cellStyle name="40% - Accent3 7" xfId="511" xr:uid="{9CD2685F-CB96-41D3-B5AA-E1FE2F03F6D6}"/>
    <cellStyle name="40% - Accent3 7 2" xfId="2370" xr:uid="{52580607-8F66-4CF7-9435-FFD7786F1F74}"/>
    <cellStyle name="40% - Accent3 7 3" xfId="3021" xr:uid="{9071AA18-4D6C-42F3-BE41-6F9D6A48FD58}"/>
    <cellStyle name="40% - Accent3 7 4" xfId="3677" xr:uid="{FBADD077-9593-44A3-AE62-F80E0F78B4E3}"/>
    <cellStyle name="40% - Accent3 7 5" xfId="4340" xr:uid="{639D13AE-18A0-4997-9E75-6986D7AA4343}"/>
    <cellStyle name="40% - Accent3 7 6" xfId="1306" xr:uid="{0E09563E-BC6F-48AF-B6CF-5A9FD86D9F97}"/>
    <cellStyle name="40% - Accent3 8" xfId="279" xr:uid="{2A47095C-5876-45DA-93D0-74A2BE4D8ED6}"/>
    <cellStyle name="40% - Accent3 8 2" xfId="1938" xr:uid="{79048DDD-0D78-4CA8-8A2C-82C1137707DF}"/>
    <cellStyle name="40% - Accent3 9" xfId="2043" xr:uid="{4710C649-5D8B-4939-95CB-010D90418A7A}"/>
    <cellStyle name="40% - Accent4" xfId="35" builtinId="43" customBuiltin="1"/>
    <cellStyle name="40% - Accent4 10" xfId="2696" xr:uid="{BBCC3315-006D-4CB6-94C0-CB836865D73F}"/>
    <cellStyle name="40% - Accent4 11" xfId="3350" xr:uid="{D1AE24F3-C373-4285-9FE7-4D6FDEFB69E5}"/>
    <cellStyle name="40% - Accent4 12" xfId="4015" xr:uid="{E2564E7C-9550-462D-8312-60AF87C9B839}"/>
    <cellStyle name="40% - Accent4 13" xfId="734" xr:uid="{4F21B2DC-ADDC-46B4-9587-0620A8A1712F}"/>
    <cellStyle name="40% - Accent4 14" xfId="162" xr:uid="{BE60E157-D7FF-4BB3-B45F-D3FD7DEC80E1}"/>
    <cellStyle name="40% - Accent4 2" xfId="87" xr:uid="{42FBCE4C-50EF-4F5C-8F33-359C63F9E3C4}"/>
    <cellStyle name="40% - Accent4 2 10" xfId="4035" xr:uid="{C7698492-E2D5-41D0-8CEE-06A03310E4DF}"/>
    <cellStyle name="40% - Accent4 2 11" xfId="749" xr:uid="{6A0DE64D-0784-487D-94FE-EF63BAA7DC0C}"/>
    <cellStyle name="40% - Accent4 2 12" xfId="180" xr:uid="{43760633-7F29-434A-A4AE-A896C3A4156B}"/>
    <cellStyle name="40% - Accent4 2 2" xfId="1051" xr:uid="{019CDFF8-29FC-4D3D-9D6E-B2F9A30C9269}"/>
    <cellStyle name="40% - Accent4 2 2 2" xfId="1158" xr:uid="{3C9802D2-126C-448F-936E-37473E1F6642}"/>
    <cellStyle name="40% - Accent4 2 2 2 2" xfId="1495" xr:uid="{D53DBB86-7B65-4F2C-BA37-61EED0E21C61}"/>
    <cellStyle name="40% - Accent4 2 2 2 2 2" xfId="2554" xr:uid="{56D5B016-76B2-4627-9896-04AA068C6C38}"/>
    <cellStyle name="40% - Accent4 2 2 2 2 3" xfId="3205" xr:uid="{61C50ABD-A809-4B97-A51D-C6AB37E3E854}"/>
    <cellStyle name="40% - Accent4 2 2 2 2 4" xfId="3861" xr:uid="{39794366-2357-4D4F-9FEC-549513B46BBC}"/>
    <cellStyle name="40% - Accent4 2 2 2 2 5" xfId="4524" xr:uid="{553D5EDA-6195-4C81-9930-6E1029FD5364}"/>
    <cellStyle name="40% - Accent4 2 2 2 3" xfId="1946" xr:uid="{08980035-2E45-4BC1-9E92-0426AAB0F5DA}"/>
    <cellStyle name="40% - Accent4 2 2 2 4" xfId="2227" xr:uid="{4E0DB3D8-F16A-4747-AE15-EC1FE24EE4FA}"/>
    <cellStyle name="40% - Accent4 2 2 2 5" xfId="2878" xr:uid="{249A669D-FB15-42AB-A1E7-0930C5A0A416}"/>
    <cellStyle name="40% - Accent4 2 2 2 6" xfId="3534" xr:uid="{6E532D6E-0C97-4154-983F-FDE8A814FB55}"/>
    <cellStyle name="40% - Accent4 2 2 2 7" xfId="4197" xr:uid="{520D84C0-AC6F-4ABA-B4A4-56B1AF146638}"/>
    <cellStyle name="40% - Accent4 2 2 3" xfId="1272" xr:uid="{305E4262-9F9C-45A2-A3A7-4006D57A21AB}"/>
    <cellStyle name="40% - Accent4 2 2 3 2" xfId="1603" xr:uid="{7F549F87-323B-419E-8BEF-325CF6FBE258}"/>
    <cellStyle name="40% - Accent4 2 2 3 2 2" xfId="2662" xr:uid="{5E1E7CA5-9316-4347-A2D4-A0E26D565D20}"/>
    <cellStyle name="40% - Accent4 2 2 3 2 3" xfId="3313" xr:uid="{049E34C3-ED65-4E15-A9D7-14F4ACA1D411}"/>
    <cellStyle name="40% - Accent4 2 2 3 2 4" xfId="3969" xr:uid="{EBE36CD9-86DA-4673-842D-792423040944}"/>
    <cellStyle name="40% - Accent4 2 2 3 2 5" xfId="4632" xr:uid="{ADCCD0EB-9C90-4244-8367-59C105885C7E}"/>
    <cellStyle name="40% - Accent4 2 2 3 3" xfId="2335" xr:uid="{E2927F45-E0C8-43D6-842A-5B874E027E7B}"/>
    <cellStyle name="40% - Accent4 2 2 3 4" xfId="2986" xr:uid="{8BD1A0DF-27F6-4CD7-B7E0-3AB080D737CB}"/>
    <cellStyle name="40% - Accent4 2 2 3 5" xfId="3642" xr:uid="{35B3BD07-F501-44A7-8613-77DD23D3586F}"/>
    <cellStyle name="40% - Accent4 2 2 3 6" xfId="4305" xr:uid="{983E6C93-ED69-4F25-9B3A-6A2B657CF21F}"/>
    <cellStyle name="40% - Accent4 2 2 4" xfId="1387" xr:uid="{46E8214C-552C-4210-A9FB-7919EAD71BE3}"/>
    <cellStyle name="40% - Accent4 2 2 4 2" xfId="2446" xr:uid="{0A6AA7D4-7A28-442D-A6A4-C0EC687E7B31}"/>
    <cellStyle name="40% - Accent4 2 2 4 3" xfId="3097" xr:uid="{BE0B9735-2204-4451-8A80-F50EC72E41B9}"/>
    <cellStyle name="40% - Accent4 2 2 4 4" xfId="3753" xr:uid="{6A6C0897-407D-4531-AA5A-73F169860BC9}"/>
    <cellStyle name="40% - Accent4 2 2 4 5" xfId="4416" xr:uid="{0E031E83-9E58-4545-B6BA-96C27B7303C7}"/>
    <cellStyle name="40% - Accent4 2 2 5" xfId="1891" xr:uid="{2FA86F24-3158-4E31-8D77-17CA1B1A561D}"/>
    <cellStyle name="40% - Accent4 2 2 6" xfId="2119" xr:uid="{4A56F469-A5D8-4CF9-B8B8-9B12D009CFE8}"/>
    <cellStyle name="40% - Accent4 2 2 7" xfId="2770" xr:uid="{D64F625F-6CDA-4906-B9AB-EBABA7DDDAC1}"/>
    <cellStyle name="40% - Accent4 2 2 8" xfId="3426" xr:uid="{FA0DB217-86D1-4FF6-85F5-B8C426CDC34D}"/>
    <cellStyle name="40% - Accent4 2 2 9" xfId="4089" xr:uid="{AEF59216-6248-4903-911D-D8AD11B9BB22}"/>
    <cellStyle name="40% - Accent4 2 3" xfId="1104" xr:uid="{5FEA8897-855C-44E9-BF56-862020F38692}"/>
    <cellStyle name="40% - Accent4 2 3 2" xfId="1441" xr:uid="{F2F2DD93-582A-4DF1-85AF-D5EAB4548DD4}"/>
    <cellStyle name="40% - Accent4 2 3 2 2" xfId="2500" xr:uid="{CB985D4C-5456-42AA-8904-2BB94DF4A838}"/>
    <cellStyle name="40% - Accent4 2 3 2 3" xfId="3151" xr:uid="{0D64ABAD-E6D1-4C16-A662-CA620AD77C4B}"/>
    <cellStyle name="40% - Accent4 2 3 2 4" xfId="3807" xr:uid="{065E0844-A911-4E26-9ABF-934A29ABA1B0}"/>
    <cellStyle name="40% - Accent4 2 3 2 5" xfId="4470" xr:uid="{F1208B6B-84AF-4DFE-B874-C02D9127C821}"/>
    <cellStyle name="40% - Accent4 2 3 3" xfId="1792" xr:uid="{E0B434F6-85CB-46F3-AF2A-89F67227AE60}"/>
    <cellStyle name="40% - Accent4 2 3 4" xfId="2173" xr:uid="{9AA8AF28-0178-41D7-86C0-B8C65F7E6E07}"/>
    <cellStyle name="40% - Accent4 2 3 5" xfId="2824" xr:uid="{313EB7D4-ACD8-43A5-A301-ABA69CCFE766}"/>
    <cellStyle name="40% - Accent4 2 3 6" xfId="3480" xr:uid="{10DF7B65-6A74-4D3E-8A4B-ED5F20D55768}"/>
    <cellStyle name="40% - Accent4 2 3 7" xfId="4143" xr:uid="{3BEC1B78-FF77-4919-8060-0523E8F2BC70}"/>
    <cellStyle name="40% - Accent4 2 4" xfId="1218" xr:uid="{1359387A-D654-405C-8CE9-DC84EDFB310F}"/>
    <cellStyle name="40% - Accent4 2 4 2" xfId="1549" xr:uid="{443EDC14-0AD9-4880-900C-B65A75B7D910}"/>
    <cellStyle name="40% - Accent4 2 4 2 2" xfId="2608" xr:uid="{BD87BB65-0F01-482E-979A-59F93F51B303}"/>
    <cellStyle name="40% - Accent4 2 4 2 3" xfId="3259" xr:uid="{E011BA0B-BFDF-480F-842A-256550006535}"/>
    <cellStyle name="40% - Accent4 2 4 2 4" xfId="3915" xr:uid="{482F7BF1-AD05-4699-9DB5-32CE519D0C44}"/>
    <cellStyle name="40% - Accent4 2 4 2 5" xfId="4578" xr:uid="{BCD49A6D-1472-48C2-96DC-C0E8367BE738}"/>
    <cellStyle name="40% - Accent4 2 4 3" xfId="2281" xr:uid="{FFB15A53-21A4-4154-9FBE-64D2EB186CCE}"/>
    <cellStyle name="40% - Accent4 2 4 4" xfId="2932" xr:uid="{560621EE-7D8B-4EFD-8B67-EFB6263F749F}"/>
    <cellStyle name="40% - Accent4 2 4 5" xfId="3588" xr:uid="{56189243-2FE7-4A0C-BB9C-EF44D4806913}"/>
    <cellStyle name="40% - Accent4 2 4 6" xfId="4251" xr:uid="{B81C2210-97EC-41F4-9046-ED6355CEEAB6}"/>
    <cellStyle name="40% - Accent4 2 5" xfId="1333" xr:uid="{93EE6963-5798-40AC-809F-EF1B26321A44}"/>
    <cellStyle name="40% - Accent4 2 5 2" xfId="2392" xr:uid="{3D9AF60B-FC37-4E28-A5ED-D15CF5F2F73C}"/>
    <cellStyle name="40% - Accent4 2 5 3" xfId="3043" xr:uid="{EBA04851-8037-4872-A3CE-E20028206487}"/>
    <cellStyle name="40% - Accent4 2 5 4" xfId="3699" xr:uid="{80D3DBAA-2B3A-44FE-9A85-409E8909E3A3}"/>
    <cellStyle name="40% - Accent4 2 5 5" xfId="4362" xr:uid="{57F3A891-C5AC-49B0-B380-539078B0427F}"/>
    <cellStyle name="40% - Accent4 2 6" xfId="1960" xr:uid="{0776CB37-A6F7-4AF7-AEDF-622D32DE4E7E}"/>
    <cellStyle name="40% - Accent4 2 7" xfId="2065" xr:uid="{AF9FF945-B9DD-44AA-A95A-0DEB8C302B27}"/>
    <cellStyle name="40% - Accent4 2 8" xfId="2716" xr:uid="{8D85D879-C717-43BA-A94D-FBF8B33ADAD8}"/>
    <cellStyle name="40% - Accent4 2 9" xfId="3371" xr:uid="{0BBD79BF-378B-49D1-9ED8-A7025C77BC3F}"/>
    <cellStyle name="40% - Accent4 3" xfId="257" xr:uid="{CA063DDA-B632-4475-BA78-FD1CD0CEFAEC}"/>
    <cellStyle name="40% - Accent4 3 10" xfId="4050" xr:uid="{3200F7E0-22CF-4F67-88C3-EBD2B97C6C8A}"/>
    <cellStyle name="40% - Accent4 3 11" xfId="1811" xr:uid="{F504D751-5259-4AC7-A880-46E1EBB276ED}"/>
    <cellStyle name="40% - Accent4 3 12" xfId="1715" xr:uid="{6FB01B67-827D-40B7-BED4-C6D7D96C4327}"/>
    <cellStyle name="40% - Accent4 3 13" xfId="1002" xr:uid="{63E8902C-C54B-4938-93F7-6E8C9FFE02E4}"/>
    <cellStyle name="40% - Accent4 3 2" xfId="353" xr:uid="{2ACE0782-A7DF-43CD-A38A-CF22C0225E68}"/>
    <cellStyle name="40% - Accent4 3 2 10" xfId="1066" xr:uid="{3D84E383-75FE-46FC-9760-3892C8BFB639}"/>
    <cellStyle name="40% - Accent4 3 2 2" xfId="469" xr:uid="{9E8D65F7-AB5B-43B2-B947-717091644EC3}"/>
    <cellStyle name="40% - Accent4 3 2 2 2" xfId="688" xr:uid="{86F7D466-3691-4C29-BD4E-7FDD92471AA3}"/>
    <cellStyle name="40% - Accent4 3 2 2 2 2" xfId="2569" xr:uid="{9D8F0080-03BE-405B-BDB0-BC828D157953}"/>
    <cellStyle name="40% - Accent4 3 2 2 2 3" xfId="3220" xr:uid="{37A84C40-2B71-46F1-983C-957BCF47E84C}"/>
    <cellStyle name="40% - Accent4 3 2 2 2 4" xfId="3876" xr:uid="{091B6EF8-BD27-4CBC-BD18-1A3A5CF7F9D6}"/>
    <cellStyle name="40% - Accent4 3 2 2 2 5" xfId="4539" xr:uid="{04B589D9-59E0-425C-B474-179F0D59455C}"/>
    <cellStyle name="40% - Accent4 3 2 2 2 6" xfId="1510" xr:uid="{E623581A-3CAD-4939-94AD-73802D6E6437}"/>
    <cellStyle name="40% - Accent4 3 2 2 3" xfId="1867" xr:uid="{8E218279-B9F8-406A-AB5E-4FB3BE55DBBD}"/>
    <cellStyle name="40% - Accent4 3 2 2 4" xfId="2242" xr:uid="{427934BE-9B46-421B-B932-92A62857D234}"/>
    <cellStyle name="40% - Accent4 3 2 2 5" xfId="2893" xr:uid="{B9AD901A-5B18-4A65-97A9-E1E4A2B028F5}"/>
    <cellStyle name="40% - Accent4 3 2 2 6" xfId="3549" xr:uid="{8985C286-4BF2-42C2-9913-1DBCBDBF5E36}"/>
    <cellStyle name="40% - Accent4 3 2 2 7" xfId="4212" xr:uid="{1A854881-F345-4422-81F8-8F7047DE5CCF}"/>
    <cellStyle name="40% - Accent4 3 2 2 8" xfId="1173" xr:uid="{21D4FF18-4B31-4F7F-B760-E0FE3C525BCC}"/>
    <cellStyle name="40% - Accent4 3 2 3" xfId="578" xr:uid="{FAE9BDC9-ABA7-4388-B727-8A741065ABEE}"/>
    <cellStyle name="40% - Accent4 3 2 3 2" xfId="1618" xr:uid="{5FEAF7F9-D8DF-424A-95F2-76CB8CE274F8}"/>
    <cellStyle name="40% - Accent4 3 2 3 2 2" xfId="2677" xr:uid="{30FE2293-6468-4C5E-B39D-7FFC6824B823}"/>
    <cellStyle name="40% - Accent4 3 2 3 2 3" xfId="3328" xr:uid="{D3C63E6C-CE0A-4E9C-9621-A466BB47ED7F}"/>
    <cellStyle name="40% - Accent4 3 2 3 2 4" xfId="3984" xr:uid="{65DBEB26-F6FA-4E22-AFA8-C8E257D8CD93}"/>
    <cellStyle name="40% - Accent4 3 2 3 2 5" xfId="4647" xr:uid="{ADA15CE2-9882-4880-9AA0-3FC380EC6D11}"/>
    <cellStyle name="40% - Accent4 3 2 3 3" xfId="2350" xr:uid="{074ED39A-AE81-4C9C-A718-20B7EFDD30F9}"/>
    <cellStyle name="40% - Accent4 3 2 3 4" xfId="3001" xr:uid="{A562ED2B-5DB5-4EF1-B302-BCC3E771CA5E}"/>
    <cellStyle name="40% - Accent4 3 2 3 5" xfId="3657" xr:uid="{0334F61D-77D8-4A84-98F0-97182A3C2BBE}"/>
    <cellStyle name="40% - Accent4 3 2 3 6" xfId="4320" xr:uid="{5D95C1ED-3CCB-46F8-A3BB-5C329BF179E5}"/>
    <cellStyle name="40% - Accent4 3 2 3 7" xfId="1287" xr:uid="{D3975FCC-1115-4F1D-9172-63AF500ADB1A}"/>
    <cellStyle name="40% - Accent4 3 2 4" xfId="1402" xr:uid="{436BD14E-BEC1-4414-9171-90EB98862148}"/>
    <cellStyle name="40% - Accent4 3 2 4 2" xfId="2461" xr:uid="{D54FD603-ADF5-4D36-9BAD-86EEB4B23C12}"/>
    <cellStyle name="40% - Accent4 3 2 4 3" xfId="3112" xr:uid="{7275CBF0-41DE-40F1-979C-F83B6F1D49AA}"/>
    <cellStyle name="40% - Accent4 3 2 4 4" xfId="3768" xr:uid="{63669034-581E-47F0-821C-82642FF2E5BE}"/>
    <cellStyle name="40% - Accent4 3 2 4 5" xfId="4431" xr:uid="{ACD84AF8-53AF-4A54-A3C7-7559821FD49B}"/>
    <cellStyle name="40% - Accent4 3 2 5" xfId="1987" xr:uid="{A01D819D-785D-4D06-B033-C0D44F9CF7A5}"/>
    <cellStyle name="40% - Accent4 3 2 6" xfId="2134" xr:uid="{E09C9CD9-7FE4-4AEB-A252-B297AF86EB30}"/>
    <cellStyle name="40% - Accent4 3 2 7" xfId="2785" xr:uid="{5ED0973D-121D-4BE2-9E03-08B4F256BB44}"/>
    <cellStyle name="40% - Accent4 3 2 8" xfId="3441" xr:uid="{9C1350F7-9DD7-4EB9-BAF0-728A2AFB8306}"/>
    <cellStyle name="40% - Accent4 3 2 9" xfId="4104" xr:uid="{41A4C01B-86DF-4834-A7E9-6030DB9F4A31}"/>
    <cellStyle name="40% - Accent4 3 3" xfId="426" xr:uid="{F62FD78C-C37D-423B-8CC7-96502E656FBA}"/>
    <cellStyle name="40% - Accent4 3 3 2" xfId="645" xr:uid="{E2DFFBA4-AE92-475A-87E9-81860E6D8120}"/>
    <cellStyle name="40% - Accent4 3 3 2 2" xfId="2515" xr:uid="{52CB5EB5-6CB3-42BE-8AB8-6F721C32551B}"/>
    <cellStyle name="40% - Accent4 3 3 2 3" xfId="3166" xr:uid="{91A8E779-C5AE-40AA-8AD3-4219E1E3EEE9}"/>
    <cellStyle name="40% - Accent4 3 3 2 4" xfId="3822" xr:uid="{8D0CE56C-F78B-4D3C-A75A-C185E5E583B3}"/>
    <cellStyle name="40% - Accent4 3 3 2 5" xfId="4485" xr:uid="{FB12F6FA-CA9C-466A-93F4-0702A84F4EB2}"/>
    <cellStyle name="40% - Accent4 3 3 2 6" xfId="1456" xr:uid="{FFCBC295-A755-40D2-9352-94FDCD87F753}"/>
    <cellStyle name="40% - Accent4 3 3 3" xfId="1975" xr:uid="{5A39D0FA-F59F-44D6-A72F-D1AC78DE1BB6}"/>
    <cellStyle name="40% - Accent4 3 3 4" xfId="2188" xr:uid="{43912256-72AB-4A21-8642-4B75C455E128}"/>
    <cellStyle name="40% - Accent4 3 3 5" xfId="2839" xr:uid="{BCDD5535-DE1F-4D1F-99A7-B1EC982AEBC5}"/>
    <cellStyle name="40% - Accent4 3 3 6" xfId="3495" xr:uid="{A2B2F19B-1FE9-4B71-A612-17C75E0BF45D}"/>
    <cellStyle name="40% - Accent4 3 3 7" xfId="4158" xr:uid="{29602939-BF1D-42BA-BDB4-D946963A1B7D}"/>
    <cellStyle name="40% - Accent4 3 3 8" xfId="1119" xr:uid="{B5E1F550-C9BB-43A6-9ED9-0636B67508B4}"/>
    <cellStyle name="40% - Accent4 3 4" xfId="535" xr:uid="{F5452DED-9725-4BAF-A1C6-C94C8772DBC2}"/>
    <cellStyle name="40% - Accent4 3 4 2" xfId="1564" xr:uid="{0DE8383A-2757-40F2-828A-179B90F17E13}"/>
    <cellStyle name="40% - Accent4 3 4 2 2" xfId="2623" xr:uid="{03F36598-12CF-40BC-BD05-55639AA16109}"/>
    <cellStyle name="40% - Accent4 3 4 2 3" xfId="3274" xr:uid="{815D853F-D340-46B4-916F-39EE11E0EC4F}"/>
    <cellStyle name="40% - Accent4 3 4 2 4" xfId="3930" xr:uid="{778BA63A-1AA1-4D5E-B605-1DBBB187CB26}"/>
    <cellStyle name="40% - Accent4 3 4 2 5" xfId="4593" xr:uid="{759A969C-F7EA-4338-8D04-5723E127CD3E}"/>
    <cellStyle name="40% - Accent4 3 4 3" xfId="2296" xr:uid="{C1C3D699-64DD-45FE-A50E-C5A19A20D4B6}"/>
    <cellStyle name="40% - Accent4 3 4 4" xfId="2947" xr:uid="{8B660540-4F9B-4B53-951E-72B6897D006D}"/>
    <cellStyle name="40% - Accent4 3 4 5" xfId="3603" xr:uid="{FFBE2988-E797-435E-A5D9-32402742BAD9}"/>
    <cellStyle name="40% - Accent4 3 4 6" xfId="4266" xr:uid="{17D9A6B1-A2BF-4C64-AD4A-67962B4345EB}"/>
    <cellStyle name="40% - Accent4 3 4 7" xfId="1233" xr:uid="{FA43E740-E2A9-49F1-B378-A771048DDB71}"/>
    <cellStyle name="40% - Accent4 3 5" xfId="305" xr:uid="{4945D048-111E-48DF-905D-880D300996B1}"/>
    <cellStyle name="40% - Accent4 3 5 2" xfId="2407" xr:uid="{A12A2A03-8F52-435E-B614-DD6CA49BE7D7}"/>
    <cellStyle name="40% - Accent4 3 5 3" xfId="3058" xr:uid="{5FA6C99E-31AF-4A13-BA23-D8EE832AA48B}"/>
    <cellStyle name="40% - Accent4 3 5 4" xfId="3714" xr:uid="{8745B83F-EFE6-4C48-8BEE-012EA979100A}"/>
    <cellStyle name="40% - Accent4 3 5 5" xfId="4377" xr:uid="{2079409F-876D-43B6-9C6A-CFBD423DCE92}"/>
    <cellStyle name="40% - Accent4 3 5 6" xfId="1348" xr:uid="{FFE6000F-55EE-4AA3-A8BC-BEFE29FF2370}"/>
    <cellStyle name="40% - Accent4 3 6" xfId="1885" xr:uid="{D7119C2A-B5FC-4BEC-95EA-B553C1DF2A76}"/>
    <cellStyle name="40% - Accent4 3 7" xfId="2080" xr:uid="{5AE94CFA-B1BA-4C1D-9C27-8785E99F50E2}"/>
    <cellStyle name="40% - Accent4 3 8" xfId="2731" xr:uid="{95C41C84-19DB-4202-BA49-A4FB54A2C69B}"/>
    <cellStyle name="40% - Accent4 3 9" xfId="3386" xr:uid="{AE049D96-DFFA-43F9-8CAE-095FCAAB1C12}"/>
    <cellStyle name="40% - Accent4 4" xfId="373" xr:uid="{B427743A-97EE-4D66-AFF1-E04DD6D98945}"/>
    <cellStyle name="40% - Accent4 4 10" xfId="1033" xr:uid="{59E0A0DB-2394-403D-A773-F1808E044037}"/>
    <cellStyle name="40% - Accent4 4 2" xfId="488" xr:uid="{314E514F-DCAF-4EE2-A754-16FEE08CA0D3}"/>
    <cellStyle name="40% - Accent4 4 2 2" xfId="707" xr:uid="{0A404B3E-5F07-46EE-9429-E002E739E3EE}"/>
    <cellStyle name="40% - Accent4 4 2 2 2" xfId="2536" xr:uid="{C9C8C7D1-F15B-48C3-9F24-44CD085E7333}"/>
    <cellStyle name="40% - Accent4 4 2 2 3" xfId="3187" xr:uid="{5F78D8FB-515E-45DC-8D14-CCDC89CC93E1}"/>
    <cellStyle name="40% - Accent4 4 2 2 4" xfId="3843" xr:uid="{C177D9EF-8DB5-4305-97FA-F33FE2E5E9FE}"/>
    <cellStyle name="40% - Accent4 4 2 2 5" xfId="4506" xr:uid="{B30B65D4-B23E-4006-A227-B7E2E3C79964}"/>
    <cellStyle name="40% - Accent4 4 2 2 6" xfId="1477" xr:uid="{8235CA40-BA34-4A1F-8499-75E4B40B1740}"/>
    <cellStyle name="40% - Accent4 4 2 3" xfId="2035" xr:uid="{FB6FB2B9-A313-45E4-A2B4-3EBAF3135829}"/>
    <cellStyle name="40% - Accent4 4 2 4" xfId="2209" xr:uid="{98B559B8-D7B6-429C-B4D2-5EBD342CD788}"/>
    <cellStyle name="40% - Accent4 4 2 5" xfId="2860" xr:uid="{D3CC004A-B75D-41C9-B5C9-2ECBD4CF8F75}"/>
    <cellStyle name="40% - Accent4 4 2 6" xfId="3516" xr:uid="{CBFDE952-F253-42ED-B875-EE28BE5D9698}"/>
    <cellStyle name="40% - Accent4 4 2 7" xfId="4179" xr:uid="{EC64FE81-14EF-46CF-8ED6-CEB020AF9CEF}"/>
    <cellStyle name="40% - Accent4 4 2 8" xfId="1140" xr:uid="{D456C332-B5D1-435D-84AF-1428C9B3921B}"/>
    <cellStyle name="40% - Accent4 4 3" xfId="597" xr:uid="{241CBF71-F786-49D2-B0F3-7774D3B37584}"/>
    <cellStyle name="40% - Accent4 4 3 2" xfId="1585" xr:uid="{E0329A99-E96F-4188-B94C-EAAD94713CBF}"/>
    <cellStyle name="40% - Accent4 4 3 2 2" xfId="2644" xr:uid="{3D01706F-BD17-45D8-B424-58553F677863}"/>
    <cellStyle name="40% - Accent4 4 3 2 3" xfId="3295" xr:uid="{2FC4DE3E-7C1A-4E44-8C22-2D334164BBCD}"/>
    <cellStyle name="40% - Accent4 4 3 2 4" xfId="3951" xr:uid="{9AEFC424-1A3E-4850-A0AF-0332E8C67C3B}"/>
    <cellStyle name="40% - Accent4 4 3 2 5" xfId="4614" xr:uid="{1DAAA276-0EF4-451F-A17D-C41F65F660B1}"/>
    <cellStyle name="40% - Accent4 4 3 3" xfId="2317" xr:uid="{09F269C7-F5D9-41B8-A38F-111E26F0F2BE}"/>
    <cellStyle name="40% - Accent4 4 3 4" xfId="2968" xr:uid="{FB28D832-AB5E-4DE5-B77A-B4BFCCEC646D}"/>
    <cellStyle name="40% - Accent4 4 3 5" xfId="3624" xr:uid="{E25092DF-B1D2-4094-91C7-F87BC08EFC50}"/>
    <cellStyle name="40% - Accent4 4 3 6" xfId="4287" xr:uid="{0D27D96E-8245-4CF7-AEB5-08AE8DC73484}"/>
    <cellStyle name="40% - Accent4 4 3 7" xfId="1254" xr:uid="{A09832B1-11F9-4AD6-B8E6-BF96F2D6FFFD}"/>
    <cellStyle name="40% - Accent4 4 4" xfId="1369" xr:uid="{6F225192-042A-4DC2-89A3-7E8AE8E493A4}"/>
    <cellStyle name="40% - Accent4 4 4 2" xfId="2428" xr:uid="{255A8F23-88B2-4C86-A13D-E8076D08B469}"/>
    <cellStyle name="40% - Accent4 4 4 3" xfId="3079" xr:uid="{2FAA48EB-3205-4B60-962B-7D6662F16592}"/>
    <cellStyle name="40% - Accent4 4 4 4" xfId="3735" xr:uid="{C5AE2C5E-952E-459D-B9C4-77C6E95B26E6}"/>
    <cellStyle name="40% - Accent4 4 4 5" xfId="4398" xr:uid="{1D07A580-BB31-47C6-8E5C-3764D380F0A0}"/>
    <cellStyle name="40% - Accent4 4 5" xfId="1841" xr:uid="{5441B00C-86A7-4085-878B-606393477E9D}"/>
    <cellStyle name="40% - Accent4 4 6" xfId="2101" xr:uid="{C691B250-9606-4235-AD13-25A56F85284A}"/>
    <cellStyle name="40% - Accent4 4 7" xfId="2752" xr:uid="{2E77E35D-7EB4-4FD9-B544-D1B663766964}"/>
    <cellStyle name="40% - Accent4 4 8" xfId="3408" xr:uid="{16134963-D8FE-4D93-BDE3-7E909F1F191B}"/>
    <cellStyle name="40% - Accent4 4 9" xfId="4071" xr:uid="{EDB0EB28-B3A1-4F77-BF01-0A69294E4A73}"/>
    <cellStyle name="40% - Accent4 5" xfId="329" xr:uid="{AC0DB4D0-0E43-4842-B14B-FC0D3C1301B1}"/>
    <cellStyle name="40% - Accent4 5 10" xfId="1084" xr:uid="{C80913C7-546A-448D-B293-AD7CC9013B45}"/>
    <cellStyle name="40% - Accent4 5 2" xfId="450" xr:uid="{C30A0990-85A7-48EB-BF6D-FE7273781A4B}"/>
    <cellStyle name="40% - Accent4 5 2 2" xfId="669" xr:uid="{690BC37F-3126-4FF4-97B4-BDF24C997DFB}"/>
    <cellStyle name="40% - Accent4 5 2 2 2" xfId="2480" xr:uid="{4125C148-D1E0-4425-B793-382CB7DA1C47}"/>
    <cellStyle name="40% - Accent4 5 2 3" xfId="3131" xr:uid="{6B5906C6-0D68-4FE6-8B82-4C226F74C4BB}"/>
    <cellStyle name="40% - Accent4 5 2 4" xfId="3787" xr:uid="{2AFCAD25-3A18-4A8C-AA97-2066BCE735DF}"/>
    <cellStyle name="40% - Accent4 5 2 5" xfId="4450" xr:uid="{99AE2AF7-DAA0-47C8-9864-DB03BABD22CE}"/>
    <cellStyle name="40% - Accent4 5 2 6" xfId="1421" xr:uid="{E116DBC8-15FB-4777-A605-44D801868935}"/>
    <cellStyle name="40% - Accent4 5 3" xfId="559" xr:uid="{61641692-E5E5-433B-85CC-8011BE98DB8C}"/>
    <cellStyle name="40% - Accent4 5 3 2" xfId="1986" xr:uid="{8CC78239-0071-481F-923F-91930A468225}"/>
    <cellStyle name="40% - Accent4 5 4" xfId="2153" xr:uid="{6DC052F6-0B98-4CC8-A93D-F982BCA9FB61}"/>
    <cellStyle name="40% - Accent4 5 5" xfId="2804" xr:uid="{51D8B030-D45C-4297-9349-90213D7CB3DD}"/>
    <cellStyle name="40% - Accent4 5 6" xfId="3460" xr:uid="{CF9B3B00-4D80-4237-AF86-CDFFBDE6ECDF}"/>
    <cellStyle name="40% - Accent4 5 7" xfId="4123" xr:uid="{59AFBC6F-373E-4667-8495-7143147FEFC0}"/>
    <cellStyle name="40% - Accent4 5 8" xfId="1826" xr:uid="{0545659C-A6E7-4E53-A0B5-00BB6E3B76CD}"/>
    <cellStyle name="40% - Accent4 5 9" xfId="1676" xr:uid="{2C48EE3A-E151-4B32-B8E5-E868834DF055}"/>
    <cellStyle name="40% - Accent4 6" xfId="403" xr:uid="{E8AFDC03-62A2-4D41-8AEB-4EDCA699D955}"/>
    <cellStyle name="40% - Accent4 6 2" xfId="623" xr:uid="{B7BB3366-93B7-49C0-B410-65E305208D8A}"/>
    <cellStyle name="40% - Accent4 6 2 2" xfId="2588" xr:uid="{CD5CC64A-F1A6-4F2E-B20D-D7579AFC0FA1}"/>
    <cellStyle name="40% - Accent4 6 2 3" xfId="3239" xr:uid="{F3A28E89-E74A-43FA-84E2-9A7AC2C48564}"/>
    <cellStyle name="40% - Accent4 6 2 4" xfId="3895" xr:uid="{684D2DB8-145C-49D6-A64F-96A7667558C4}"/>
    <cellStyle name="40% - Accent4 6 2 5" xfId="4558" xr:uid="{EA5A1007-6FBD-4A8A-B901-ED5592B97D3B}"/>
    <cellStyle name="40% - Accent4 6 2 6" xfId="1529" xr:uid="{69A3C293-9D5C-43A4-851E-E7BC7EA10B04}"/>
    <cellStyle name="40% - Accent4 6 3" xfId="2261" xr:uid="{15BFE894-85F5-4371-ADAA-75FB699C5536}"/>
    <cellStyle name="40% - Accent4 6 4" xfId="2912" xr:uid="{FF25028E-214F-4B3C-8527-35B376EAD2A2}"/>
    <cellStyle name="40% - Accent4 6 5" xfId="3568" xr:uid="{48093184-C2F8-44C0-B9C8-3B0BCEC5F002}"/>
    <cellStyle name="40% - Accent4 6 6" xfId="4231" xr:uid="{4D73056A-BA79-48EC-85FD-29B83DDC9DA2}"/>
    <cellStyle name="40% - Accent4 6 7" xfId="1198" xr:uid="{63084A66-972F-49AC-AAA3-2D87C9D7EF2D}"/>
    <cellStyle name="40% - Accent4 7" xfId="513" xr:uid="{56B7C14D-E425-4993-86B5-4F001F00F663}"/>
    <cellStyle name="40% - Accent4 7 2" xfId="2372" xr:uid="{45C78E7A-C08F-4079-823E-171433B1AE7C}"/>
    <cellStyle name="40% - Accent4 7 3" xfId="3023" xr:uid="{97CED510-EB95-4175-918B-7E11B46A5726}"/>
    <cellStyle name="40% - Accent4 7 4" xfId="3679" xr:uid="{91D1205E-64C8-41B7-BC70-75F7E64C6ED3}"/>
    <cellStyle name="40% - Accent4 7 5" xfId="4342" xr:uid="{804DBEEC-7B50-438B-BE6A-EEE60CB13CE6}"/>
    <cellStyle name="40% - Accent4 7 6" xfId="1308" xr:uid="{5E18739B-C5E0-4E10-92FA-F4C9586528CD}"/>
    <cellStyle name="40% - Accent4 8" xfId="281" xr:uid="{0B468789-A2CE-4920-8212-68F0A5AD47FE}"/>
    <cellStyle name="40% - Accent4 8 2" xfId="1869" xr:uid="{DA11394F-62BC-463F-9D39-56ED63317002}"/>
    <cellStyle name="40% - Accent4 9" xfId="2045" xr:uid="{A2366F57-AB13-4940-A023-220C1FAA95F8}"/>
    <cellStyle name="40% - Accent5" xfId="39" builtinId="47" customBuiltin="1"/>
    <cellStyle name="40% - Accent5 10" xfId="2698" xr:uid="{7202CD0D-D9CC-4B03-92EA-17E54F1FE7F3}"/>
    <cellStyle name="40% - Accent5 11" xfId="3352" xr:uid="{1D93B785-8858-4827-83F6-B8DCA05969D1}"/>
    <cellStyle name="40% - Accent5 12" xfId="4017" xr:uid="{70DD270A-6B50-4205-833D-6AD67C14AFBA}"/>
    <cellStyle name="40% - Accent5 13" xfId="736" xr:uid="{8FBB4D6A-A543-4952-BC76-D31ED7F4FCAC}"/>
    <cellStyle name="40% - Accent5 14" xfId="164" xr:uid="{E7E3BB90-8B73-424E-93E8-D34282E0D7CB}"/>
    <cellStyle name="40% - Accent5 2" xfId="88" xr:uid="{2CA87E9F-CE67-4AD6-B9BF-59109E636CC3}"/>
    <cellStyle name="40% - Accent5 2 10" xfId="4036" xr:uid="{8B626A0A-23D8-4F97-B23E-F4E3CB18865E}"/>
    <cellStyle name="40% - Accent5 2 11" xfId="750" xr:uid="{13030F9C-E52F-4F0E-9E7C-FE015E79E329}"/>
    <cellStyle name="40% - Accent5 2 12" xfId="181" xr:uid="{51C3557B-0033-45DA-8C76-406F31E89E47}"/>
    <cellStyle name="40% - Accent5 2 2" xfId="1052" xr:uid="{A7027598-D18A-4824-8122-A48C47B18CA1}"/>
    <cellStyle name="40% - Accent5 2 2 2" xfId="1159" xr:uid="{81CDE44E-70DE-4461-A553-973A127EE69B}"/>
    <cellStyle name="40% - Accent5 2 2 2 2" xfId="1496" xr:uid="{105809CF-DB51-40A1-B607-D399499160F4}"/>
    <cellStyle name="40% - Accent5 2 2 2 2 2" xfId="2555" xr:uid="{40157131-71DD-4D16-BB59-5E8BB20EF33C}"/>
    <cellStyle name="40% - Accent5 2 2 2 2 3" xfId="3206" xr:uid="{92375CEE-E482-4666-A572-FCEE3BA5B9D7}"/>
    <cellStyle name="40% - Accent5 2 2 2 2 4" xfId="3862" xr:uid="{C1E6771C-3C30-4BB4-ADC5-CE4CA81027B1}"/>
    <cellStyle name="40% - Accent5 2 2 2 2 5" xfId="4525" xr:uid="{2E6BA1AC-11EC-4760-A258-5F6EFE646B90}"/>
    <cellStyle name="40% - Accent5 2 2 2 3" xfId="1863" xr:uid="{2B0FB801-B32C-4B20-8EF9-A30B55E78351}"/>
    <cellStyle name="40% - Accent5 2 2 2 4" xfId="2228" xr:uid="{C446FFE7-1948-4B4F-B7F2-553357230699}"/>
    <cellStyle name="40% - Accent5 2 2 2 5" xfId="2879" xr:uid="{94931EDA-62C0-402C-84B5-87FFADB191A3}"/>
    <cellStyle name="40% - Accent5 2 2 2 6" xfId="3535" xr:uid="{41D29FFB-8931-4950-BC61-25C1A769A3B6}"/>
    <cellStyle name="40% - Accent5 2 2 2 7" xfId="4198" xr:uid="{A89D1A88-A6B5-40DF-8D69-21488FEA166A}"/>
    <cellStyle name="40% - Accent5 2 2 3" xfId="1273" xr:uid="{5CCF662B-AF17-43A8-ABE7-20D4EDDFD7C1}"/>
    <cellStyle name="40% - Accent5 2 2 3 2" xfId="1604" xr:uid="{7121EC5B-9AC6-47A3-8D50-B03BCFCF677C}"/>
    <cellStyle name="40% - Accent5 2 2 3 2 2" xfId="2663" xr:uid="{3B841495-F410-4D84-A55C-5B70D1B0EE7D}"/>
    <cellStyle name="40% - Accent5 2 2 3 2 3" xfId="3314" xr:uid="{7102622E-81D4-48DC-902F-3288D9CA243C}"/>
    <cellStyle name="40% - Accent5 2 2 3 2 4" xfId="3970" xr:uid="{21274213-657B-4D61-A925-6AE94935CA2F}"/>
    <cellStyle name="40% - Accent5 2 2 3 2 5" xfId="4633" xr:uid="{9DD12745-494E-4D15-8B91-05C4E1B8FFC4}"/>
    <cellStyle name="40% - Accent5 2 2 3 3" xfId="2336" xr:uid="{0E560FE3-0C1D-472A-86CB-07A11ABE07E7}"/>
    <cellStyle name="40% - Accent5 2 2 3 4" xfId="2987" xr:uid="{847E4E11-714E-4AD0-B0D7-543ADB77F8DF}"/>
    <cellStyle name="40% - Accent5 2 2 3 5" xfId="3643" xr:uid="{97058A7F-9906-492A-BEB2-3E6EB1FC163C}"/>
    <cellStyle name="40% - Accent5 2 2 3 6" xfId="4306" xr:uid="{76C5657E-66A4-43AB-9075-29FE1877822A}"/>
    <cellStyle name="40% - Accent5 2 2 4" xfId="1388" xr:uid="{FBD23379-A4E7-4F46-98CE-FB01C36000CD}"/>
    <cellStyle name="40% - Accent5 2 2 4 2" xfId="2447" xr:uid="{B231D22E-1FF8-4FC3-B434-7F202878B862}"/>
    <cellStyle name="40% - Accent5 2 2 4 3" xfId="3098" xr:uid="{BB79C7A0-F1D6-47A4-BD85-5F5A8816A99F}"/>
    <cellStyle name="40% - Accent5 2 2 4 4" xfId="3754" xr:uid="{F2916802-26FC-4DA8-ACFB-05EBC2E7FBDC}"/>
    <cellStyle name="40% - Accent5 2 2 4 5" xfId="4417" xr:uid="{68B8BB2E-C007-4DCA-BA5E-EA049DF51BD2}"/>
    <cellStyle name="40% - Accent5 2 2 5" xfId="2021" xr:uid="{DF32E4F2-03E7-44BA-A81D-6DD7C76894AA}"/>
    <cellStyle name="40% - Accent5 2 2 6" xfId="2120" xr:uid="{3324466A-5F95-444B-AB01-AD597ADEF388}"/>
    <cellStyle name="40% - Accent5 2 2 7" xfId="2771" xr:uid="{CE3B6E72-CC5E-43EE-B375-0C1ED4B16BE3}"/>
    <cellStyle name="40% - Accent5 2 2 8" xfId="3427" xr:uid="{2628056D-C761-471D-8A9E-6F963F9FEBF7}"/>
    <cellStyle name="40% - Accent5 2 2 9" xfId="4090" xr:uid="{AB9B622C-2CE3-4F30-8323-5D0F68F5BE27}"/>
    <cellStyle name="40% - Accent5 2 3" xfId="1105" xr:uid="{F6A291D6-C614-48E4-80AF-471F343F0D29}"/>
    <cellStyle name="40% - Accent5 2 3 2" xfId="1442" xr:uid="{7C3954CC-5B2D-4358-963A-A7F202B464DC}"/>
    <cellStyle name="40% - Accent5 2 3 2 2" xfId="2501" xr:uid="{21F2E672-9967-454F-8425-05D451DD3EF2}"/>
    <cellStyle name="40% - Accent5 2 3 2 3" xfId="3152" xr:uid="{9422FD24-EB08-4B08-8290-441908F556B0}"/>
    <cellStyle name="40% - Accent5 2 3 2 4" xfId="3808" xr:uid="{91AB0FC1-3DD5-4077-A11F-A653EA101A72}"/>
    <cellStyle name="40% - Accent5 2 3 2 5" xfId="4471" xr:uid="{12500C3F-3567-47AC-9096-D04BF3630129}"/>
    <cellStyle name="40% - Accent5 2 3 3" xfId="1950" xr:uid="{19D0FA4E-3AD8-4494-A0F2-3F9CD9879780}"/>
    <cellStyle name="40% - Accent5 2 3 4" xfId="2174" xr:uid="{9122FBFC-D311-4B1B-B390-904D8C495FD2}"/>
    <cellStyle name="40% - Accent5 2 3 5" xfId="2825" xr:uid="{0E0D5112-2564-4224-A5C3-15CCDEAD8440}"/>
    <cellStyle name="40% - Accent5 2 3 6" xfId="3481" xr:uid="{AE220546-8C85-44C8-BD60-4B44EC08A724}"/>
    <cellStyle name="40% - Accent5 2 3 7" xfId="4144" xr:uid="{0FE9108F-DC58-4554-A4D8-37C33559790D}"/>
    <cellStyle name="40% - Accent5 2 4" xfId="1219" xr:uid="{88CC4634-C087-4BBD-ADB9-0CDE7106953B}"/>
    <cellStyle name="40% - Accent5 2 4 2" xfId="1550" xr:uid="{91CE6792-A10D-4CE5-BBE7-AF0A5D155BAE}"/>
    <cellStyle name="40% - Accent5 2 4 2 2" xfId="2609" xr:uid="{4F06E90A-C847-49DB-A2AB-A624E047F20B}"/>
    <cellStyle name="40% - Accent5 2 4 2 3" xfId="3260" xr:uid="{8A96D384-EF68-420C-9F74-72C62E5FAC47}"/>
    <cellStyle name="40% - Accent5 2 4 2 4" xfId="3916" xr:uid="{AF9C41D7-1A90-4280-A4E1-AB502F99BAC3}"/>
    <cellStyle name="40% - Accent5 2 4 2 5" xfId="4579" xr:uid="{865ECB62-DA95-4AAF-9DE0-E24F63A04DD7}"/>
    <cellStyle name="40% - Accent5 2 4 3" xfId="2282" xr:uid="{22F37E1A-B16D-4D89-975A-57F7401AEE55}"/>
    <cellStyle name="40% - Accent5 2 4 4" xfId="2933" xr:uid="{6A6CFB9B-DC81-4F67-9123-D3A8FF7314FC}"/>
    <cellStyle name="40% - Accent5 2 4 5" xfId="3589" xr:uid="{E7B750BD-3F94-4AD1-BA0A-9502AE10D6A6}"/>
    <cellStyle name="40% - Accent5 2 4 6" xfId="4252" xr:uid="{34C59556-D74C-4611-B982-98AD0A81110D}"/>
    <cellStyle name="40% - Accent5 2 5" xfId="1334" xr:uid="{B0F65EEB-A480-4E5D-B900-1DA0393FCE61}"/>
    <cellStyle name="40% - Accent5 2 5 2" xfId="2393" xr:uid="{129C4E62-E533-41A2-841F-D35665083F6E}"/>
    <cellStyle name="40% - Accent5 2 5 3" xfId="3044" xr:uid="{DF51DF9F-2B05-4256-9486-D65F6A60730A}"/>
    <cellStyle name="40% - Accent5 2 5 4" xfId="3700" xr:uid="{01B74023-3F94-4712-A291-ECCEC99EA203}"/>
    <cellStyle name="40% - Accent5 2 5 5" xfId="4363" xr:uid="{768AACA3-CC23-416C-B13B-C42F1289A206}"/>
    <cellStyle name="40% - Accent5 2 6" xfId="1865" xr:uid="{FE96E707-70A9-4CBA-8054-4119D02EC798}"/>
    <cellStyle name="40% - Accent5 2 7" xfId="2066" xr:uid="{6E235F58-57F8-4A25-A768-0175D2039ACF}"/>
    <cellStyle name="40% - Accent5 2 8" xfId="2717" xr:uid="{19280919-4FF2-41EF-8988-C83E7F387711}"/>
    <cellStyle name="40% - Accent5 2 9" xfId="3372" xr:uid="{FC0E4C69-0BFD-486C-8886-9670CC782417}"/>
    <cellStyle name="40% - Accent5 3" xfId="259" xr:uid="{DEBF0D1E-2800-4FD3-954F-E0E7BF18DA00}"/>
    <cellStyle name="40% - Accent5 3 10" xfId="4052" xr:uid="{0C7CDFAA-A89E-42AE-AE2A-B3995C69801F}"/>
    <cellStyle name="40% - Accent5 3 11" xfId="1813" xr:uid="{269F0C8D-8AAF-4AAC-B5C7-DFD0F2A61F5E}"/>
    <cellStyle name="40% - Accent5 3 12" xfId="1753" xr:uid="{739846C8-9F14-4660-86A1-0844F5F4E74D}"/>
    <cellStyle name="40% - Accent5 3 13" xfId="1004" xr:uid="{CA7A112D-81C8-471C-AD2C-D326FDACADE2}"/>
    <cellStyle name="40% - Accent5 3 2" xfId="355" xr:uid="{52C3C06A-0FF2-4FC6-827A-A4A4002F77D3}"/>
    <cellStyle name="40% - Accent5 3 2 10" xfId="1068" xr:uid="{AD517EB6-CC4E-4B7B-8DFB-99075332FDA5}"/>
    <cellStyle name="40% - Accent5 3 2 2" xfId="471" xr:uid="{31C02A83-1BFD-4B42-BF62-B1E77299F03B}"/>
    <cellStyle name="40% - Accent5 3 2 2 2" xfId="690" xr:uid="{E83FA6E2-EDA6-4C3F-A75E-42E3399206C2}"/>
    <cellStyle name="40% - Accent5 3 2 2 2 2" xfId="2571" xr:uid="{2B080C68-4D7E-482B-A37B-191EFA2221A0}"/>
    <cellStyle name="40% - Accent5 3 2 2 2 3" xfId="3222" xr:uid="{F98A0B65-8BD5-44C9-8573-7B6D4BCC7849}"/>
    <cellStyle name="40% - Accent5 3 2 2 2 4" xfId="3878" xr:uid="{910C54EE-7488-4380-8AB3-CA86950050DD}"/>
    <cellStyle name="40% - Accent5 3 2 2 2 5" xfId="4541" xr:uid="{4E62D74C-ED9D-4A64-BD47-5033EC70FB6D}"/>
    <cellStyle name="40% - Accent5 3 2 2 2 6" xfId="1512" xr:uid="{07B6FE62-4F2B-40E5-94C1-54AE04C52DCC}"/>
    <cellStyle name="40% - Accent5 3 2 2 3" xfId="1990" xr:uid="{FEA7636E-F998-42A7-9AAF-EC3924A516D7}"/>
    <cellStyle name="40% - Accent5 3 2 2 4" xfId="2244" xr:uid="{AD36BE6D-E277-4570-8B4F-C1B24AAC52C8}"/>
    <cellStyle name="40% - Accent5 3 2 2 5" xfId="2895" xr:uid="{1234B4F2-0747-4735-BD25-D5D29BC84F2D}"/>
    <cellStyle name="40% - Accent5 3 2 2 6" xfId="3551" xr:uid="{AF95DFC9-2141-435F-8659-9E6354719FB1}"/>
    <cellStyle name="40% - Accent5 3 2 2 7" xfId="4214" xr:uid="{B25C61E0-58BD-4B78-8345-3BC659F8E654}"/>
    <cellStyle name="40% - Accent5 3 2 2 8" xfId="1175" xr:uid="{96FCA5C9-7052-4087-86EE-0A8C70049682}"/>
    <cellStyle name="40% - Accent5 3 2 3" xfId="580" xr:uid="{81819AF4-F8BE-4F7E-BD83-52B61F5C7724}"/>
    <cellStyle name="40% - Accent5 3 2 3 2" xfId="1620" xr:uid="{91901B18-057F-4BE2-856A-E3A0D8A00BC1}"/>
    <cellStyle name="40% - Accent5 3 2 3 2 2" xfId="2679" xr:uid="{E02177B7-6C8E-4D27-8BC5-5867D393CA5B}"/>
    <cellStyle name="40% - Accent5 3 2 3 2 3" xfId="3330" xr:uid="{2CA4B6FD-35BD-450A-80B9-34E8F25CCEE5}"/>
    <cellStyle name="40% - Accent5 3 2 3 2 4" xfId="3986" xr:uid="{FD59B59F-50C2-4DAF-BD2F-6A1F64849FD8}"/>
    <cellStyle name="40% - Accent5 3 2 3 2 5" xfId="4649" xr:uid="{D5A656FB-E5B9-406F-883B-150E1D3E295A}"/>
    <cellStyle name="40% - Accent5 3 2 3 3" xfId="2352" xr:uid="{AC1736D7-0ADC-4F41-ACAF-A6459146CC76}"/>
    <cellStyle name="40% - Accent5 3 2 3 4" xfId="3003" xr:uid="{B02B1DFD-A644-4A99-B2EE-43C39226789E}"/>
    <cellStyle name="40% - Accent5 3 2 3 5" xfId="3659" xr:uid="{18A6B1B1-1A12-4CD3-B8AA-6753D66D2566}"/>
    <cellStyle name="40% - Accent5 3 2 3 6" xfId="4322" xr:uid="{FEA6C3EE-6D70-4763-AA5B-465CC53E7B75}"/>
    <cellStyle name="40% - Accent5 3 2 3 7" xfId="1289" xr:uid="{DD2DB76D-A4A4-42B4-9F1C-1090C8B51581}"/>
    <cellStyle name="40% - Accent5 3 2 4" xfId="1404" xr:uid="{8DF8CB9C-8C50-4CD9-86A1-C79F8BB4C879}"/>
    <cellStyle name="40% - Accent5 3 2 4 2" xfId="2463" xr:uid="{EA1AA7F4-8B3F-4DA1-A9C6-C1518A760275}"/>
    <cellStyle name="40% - Accent5 3 2 4 3" xfId="3114" xr:uid="{5AC41EF4-A4F3-46CF-8D25-7387E06E7C17}"/>
    <cellStyle name="40% - Accent5 3 2 4 4" xfId="3770" xr:uid="{FCEB2CC5-8496-4E84-8047-D9934ED8EBA7}"/>
    <cellStyle name="40% - Accent5 3 2 4 5" xfId="4433" xr:uid="{7D1361BB-003F-45ED-8A34-7F6CBD433DA6}"/>
    <cellStyle name="40% - Accent5 3 2 5" xfId="1983" xr:uid="{705B1EF4-8CAE-4D0F-A0EE-BFCBFC1FA1CA}"/>
    <cellStyle name="40% - Accent5 3 2 6" xfId="2136" xr:uid="{136D5BA9-262B-46F4-86C2-B404B2906331}"/>
    <cellStyle name="40% - Accent5 3 2 7" xfId="2787" xr:uid="{33DD132F-DD3D-4DCA-8E48-7D66840B491B}"/>
    <cellStyle name="40% - Accent5 3 2 8" xfId="3443" xr:uid="{8C0BCCBE-0468-4BB2-A1A2-164FCBE8F4B9}"/>
    <cellStyle name="40% - Accent5 3 2 9" xfId="4106" xr:uid="{1C67C7DA-95AA-419C-8367-321163C70964}"/>
    <cellStyle name="40% - Accent5 3 3" xfId="428" xr:uid="{C339E6E3-BA0A-46E9-8991-73B64F879C47}"/>
    <cellStyle name="40% - Accent5 3 3 2" xfId="647" xr:uid="{6EA4B65B-30E1-4B7A-AA63-19F76AC6E840}"/>
    <cellStyle name="40% - Accent5 3 3 2 2" xfId="2517" xr:uid="{510A9D2E-7747-4895-87F1-AF1DD5DE88F8}"/>
    <cellStyle name="40% - Accent5 3 3 2 3" xfId="3168" xr:uid="{49731F93-2B5B-4D5A-8E12-4AB7BF0E0369}"/>
    <cellStyle name="40% - Accent5 3 3 2 4" xfId="3824" xr:uid="{326A5221-99C5-4FC1-9DAF-BAE3BB563CFB}"/>
    <cellStyle name="40% - Accent5 3 3 2 5" xfId="4487" xr:uid="{E1FCE4B6-37E9-4C97-9B67-B5C03845288E}"/>
    <cellStyle name="40% - Accent5 3 3 2 6" xfId="1458" xr:uid="{1367390E-CC45-42D1-9BC5-8169AF34FA06}"/>
    <cellStyle name="40% - Accent5 3 3 3" xfId="2013" xr:uid="{16B535AB-EF05-4635-8298-23B950FD5E76}"/>
    <cellStyle name="40% - Accent5 3 3 4" xfId="2190" xr:uid="{056EACB2-9233-4DA2-8717-80256259BE9F}"/>
    <cellStyle name="40% - Accent5 3 3 5" xfId="2841" xr:uid="{F2084579-F93C-43DB-9DA0-087994DE05AC}"/>
    <cellStyle name="40% - Accent5 3 3 6" xfId="3497" xr:uid="{338C5432-A5A7-4D1A-B447-CC0E2FA80E9E}"/>
    <cellStyle name="40% - Accent5 3 3 7" xfId="4160" xr:uid="{F9A5D65B-4231-477C-9A1A-8DF78281A0A7}"/>
    <cellStyle name="40% - Accent5 3 3 8" xfId="1121" xr:uid="{34E4E542-DBD7-49C8-94D7-FA00DE3995F5}"/>
    <cellStyle name="40% - Accent5 3 4" xfId="537" xr:uid="{31A6ED7D-056B-4F36-8E13-1FBF07DB3D2C}"/>
    <cellStyle name="40% - Accent5 3 4 2" xfId="1566" xr:uid="{4FD43B1A-0D3F-4A62-8854-72CB26698110}"/>
    <cellStyle name="40% - Accent5 3 4 2 2" xfId="2625" xr:uid="{64808EED-99E4-498A-A579-CD6DC3BF9AEC}"/>
    <cellStyle name="40% - Accent5 3 4 2 3" xfId="3276" xr:uid="{1023464E-1FF3-4EED-8016-74544E684DB3}"/>
    <cellStyle name="40% - Accent5 3 4 2 4" xfId="3932" xr:uid="{7639BF9F-46C4-44B8-9C42-014D984315AE}"/>
    <cellStyle name="40% - Accent5 3 4 2 5" xfId="4595" xr:uid="{EFC93026-1498-4BA8-9AA1-92CC26258388}"/>
    <cellStyle name="40% - Accent5 3 4 3" xfId="2298" xr:uid="{D76518DF-3B1C-4104-8EAB-6F46167D215A}"/>
    <cellStyle name="40% - Accent5 3 4 4" xfId="2949" xr:uid="{E50DE5C9-D2B8-4DA1-8F0B-D49C645C9FB5}"/>
    <cellStyle name="40% - Accent5 3 4 5" xfId="3605" xr:uid="{6A5D7183-BFB8-49E5-B3F3-FAF9AF99C8FA}"/>
    <cellStyle name="40% - Accent5 3 4 6" xfId="4268" xr:uid="{3007E21C-FC56-410E-A3D9-2789916A2F37}"/>
    <cellStyle name="40% - Accent5 3 4 7" xfId="1235" xr:uid="{F165FBF3-0160-4AA2-A740-D22AE83253D2}"/>
    <cellStyle name="40% - Accent5 3 5" xfId="307" xr:uid="{E11348A4-8D21-437F-B017-87524C801EED}"/>
    <cellStyle name="40% - Accent5 3 5 2" xfId="2409" xr:uid="{DDAF8A41-0412-41D8-9C2C-70DB8864316C}"/>
    <cellStyle name="40% - Accent5 3 5 3" xfId="3060" xr:uid="{15ECB063-30F5-42FA-86EF-C837CBBC20B4}"/>
    <cellStyle name="40% - Accent5 3 5 4" xfId="3716" xr:uid="{641FBEEC-B71C-441E-8A6D-359DC748A563}"/>
    <cellStyle name="40% - Accent5 3 5 5" xfId="4379" xr:uid="{EC98745B-6B7A-4093-BCF1-F06731D1C997}"/>
    <cellStyle name="40% - Accent5 3 5 6" xfId="1350" xr:uid="{28D33224-7DCC-4322-9ED7-3A655A08A764}"/>
    <cellStyle name="40% - Accent5 3 6" xfId="1928" xr:uid="{F5F17F82-D664-44F3-A79C-7B976635E7A1}"/>
    <cellStyle name="40% - Accent5 3 7" xfId="2082" xr:uid="{35D80945-986C-4540-8E52-FCE5D68A257F}"/>
    <cellStyle name="40% - Accent5 3 8" xfId="2733" xr:uid="{5E72F501-DCC9-4443-BD8B-B07BB1E3BFB5}"/>
    <cellStyle name="40% - Accent5 3 9" xfId="3388" xr:uid="{BA10EE27-4EF4-447C-9F68-09ABAC60731D}"/>
    <cellStyle name="40% - Accent5 4" xfId="375" xr:uid="{EC333F91-72AB-4DF8-9681-3D83FB9464E6}"/>
    <cellStyle name="40% - Accent5 4 10" xfId="1035" xr:uid="{65A4095C-B3E3-444E-A4EA-7D46ABF3F4A7}"/>
    <cellStyle name="40% - Accent5 4 2" xfId="490" xr:uid="{074302D7-BB37-4DC0-99D3-C4CA93073917}"/>
    <cellStyle name="40% - Accent5 4 2 2" xfId="709" xr:uid="{6BDCE448-DCCE-4948-BD8D-49370BD1552A}"/>
    <cellStyle name="40% - Accent5 4 2 2 2" xfId="2538" xr:uid="{A252B825-DDB0-4C49-985D-D816F8014D1A}"/>
    <cellStyle name="40% - Accent5 4 2 2 3" xfId="3189" xr:uid="{CFE9D23B-D6EC-431D-9902-89D6997E0F79}"/>
    <cellStyle name="40% - Accent5 4 2 2 4" xfId="3845" xr:uid="{3612EA5E-CB01-46E9-8FDC-1086F0C67AA9}"/>
    <cellStyle name="40% - Accent5 4 2 2 5" xfId="4508" xr:uid="{EE0CD5D5-7B3B-4109-B4FE-8960F463A09D}"/>
    <cellStyle name="40% - Accent5 4 2 2 6" xfId="1479" xr:uid="{24952D8D-C328-47AE-810A-67D8BBAA165F}"/>
    <cellStyle name="40% - Accent5 4 2 3" xfId="1942" xr:uid="{EC8C9821-C9A2-41CA-8464-32016CC16426}"/>
    <cellStyle name="40% - Accent5 4 2 4" xfId="2211" xr:uid="{5C803A17-DC7D-4A20-AEE9-01963DC4C00D}"/>
    <cellStyle name="40% - Accent5 4 2 5" xfId="2862" xr:uid="{1414DB6C-3545-4B0D-B122-81D08580BCDC}"/>
    <cellStyle name="40% - Accent5 4 2 6" xfId="3518" xr:uid="{46C0D962-44B1-4B2A-B463-4027AAFE5CE4}"/>
    <cellStyle name="40% - Accent5 4 2 7" xfId="4181" xr:uid="{011CFBB6-17E0-4312-B039-033DA9E1DC9E}"/>
    <cellStyle name="40% - Accent5 4 2 8" xfId="1142" xr:uid="{A81B604C-08A2-4BED-AE8B-41516063D987}"/>
    <cellStyle name="40% - Accent5 4 3" xfId="599" xr:uid="{AD8DD587-0926-482B-8C45-DF0E4AF77770}"/>
    <cellStyle name="40% - Accent5 4 3 2" xfId="1587" xr:uid="{00D2FE95-0526-4A53-949C-D6F18935C09D}"/>
    <cellStyle name="40% - Accent5 4 3 2 2" xfId="2646" xr:uid="{05E738FA-1881-4DB9-A9D0-C0A86FCCDDDA}"/>
    <cellStyle name="40% - Accent5 4 3 2 3" xfId="3297" xr:uid="{AF8EA443-C28D-41FC-BB8D-E1C1C28EBB4A}"/>
    <cellStyle name="40% - Accent5 4 3 2 4" xfId="3953" xr:uid="{0E352003-FCEC-4920-AB5F-F205572B2102}"/>
    <cellStyle name="40% - Accent5 4 3 2 5" xfId="4616" xr:uid="{E6412723-6895-4834-B9A6-401BB729BA3A}"/>
    <cellStyle name="40% - Accent5 4 3 3" xfId="2319" xr:uid="{341325F2-5A79-447C-BA21-CF73B6934B89}"/>
    <cellStyle name="40% - Accent5 4 3 4" xfId="2970" xr:uid="{2BF402F9-56E1-474B-B635-8F918552E12D}"/>
    <cellStyle name="40% - Accent5 4 3 5" xfId="3626" xr:uid="{9465964C-ED7F-4699-890D-423C6A4C2630}"/>
    <cellStyle name="40% - Accent5 4 3 6" xfId="4289" xr:uid="{5F2348D2-2AB9-42C1-AC6B-CF98C774FB1A}"/>
    <cellStyle name="40% - Accent5 4 3 7" xfId="1256" xr:uid="{8191C4D7-8A9C-4AED-A21E-AE032C068856}"/>
    <cellStyle name="40% - Accent5 4 4" xfId="1371" xr:uid="{5B3A3774-7E28-41DD-AB9C-257098CE7D2D}"/>
    <cellStyle name="40% - Accent5 4 4 2" xfId="2430" xr:uid="{239A92C5-5E1C-46FA-A02B-08A435C7D181}"/>
    <cellStyle name="40% - Accent5 4 4 3" xfId="3081" xr:uid="{0C001C60-AAE2-4F93-9291-501DC1C4631D}"/>
    <cellStyle name="40% - Accent5 4 4 4" xfId="3737" xr:uid="{B08C8DEC-E354-4E72-B335-A5E7A7F16EA0}"/>
    <cellStyle name="40% - Accent5 4 4 5" xfId="4400" xr:uid="{4E5F0105-2284-42C9-9317-4F3FF32EBC53}"/>
    <cellStyle name="40% - Accent5 4 5" xfId="1972" xr:uid="{B6DABBF3-1E01-44C0-A0EE-47EAB4F9013B}"/>
    <cellStyle name="40% - Accent5 4 6" xfId="2103" xr:uid="{A840A273-277C-431A-AAD8-EC16BF58AFE7}"/>
    <cellStyle name="40% - Accent5 4 7" xfId="2754" xr:uid="{A107CABB-0D45-4E5C-8AFC-CDC8672C4A68}"/>
    <cellStyle name="40% - Accent5 4 8" xfId="3410" xr:uid="{D4983988-704F-4BD0-8458-427FD2871C1B}"/>
    <cellStyle name="40% - Accent5 4 9" xfId="4073" xr:uid="{B2D4BB91-8F2B-43F7-9402-B270D1748D7B}"/>
    <cellStyle name="40% - Accent5 5" xfId="331" xr:uid="{183708CB-C396-4ABF-A882-41D4C47216E4}"/>
    <cellStyle name="40% - Accent5 5 10" xfId="1086" xr:uid="{4D7E835D-BA9F-41AB-9381-4B7FEF0058A7}"/>
    <cellStyle name="40% - Accent5 5 2" xfId="452" xr:uid="{EF51F3FF-5DAF-4257-9FDA-C333FC23DABE}"/>
    <cellStyle name="40% - Accent5 5 2 2" xfId="671" xr:uid="{A123F0FC-A1B3-4E41-BD72-4E033CA8D812}"/>
    <cellStyle name="40% - Accent5 5 2 2 2" xfId="2482" xr:uid="{9A4FBF50-34D1-46DD-9DD5-0FE1F3194841}"/>
    <cellStyle name="40% - Accent5 5 2 3" xfId="3133" xr:uid="{550841EA-022C-4E73-8DAC-262F78CE2C87}"/>
    <cellStyle name="40% - Accent5 5 2 4" xfId="3789" xr:uid="{5F0E0A26-1E19-4484-9DE1-39323C890267}"/>
    <cellStyle name="40% - Accent5 5 2 5" xfId="4452" xr:uid="{70D2CAF2-2025-482A-8101-7C72FE32CE58}"/>
    <cellStyle name="40% - Accent5 5 2 6" xfId="1423" xr:uid="{3AA247AB-6A67-4CCC-801C-48AFB9C6C121}"/>
    <cellStyle name="40% - Accent5 5 3" xfId="561" xr:uid="{15FCF0EE-629C-4235-94BC-D3B261F2E798}"/>
    <cellStyle name="40% - Accent5 5 3 2" xfId="1934" xr:uid="{B0C4B1EC-633D-43FD-BAE9-BA5AAE6435AD}"/>
    <cellStyle name="40% - Accent5 5 4" xfId="2155" xr:uid="{E87B6F79-40FC-4BF6-994B-9A8F8B3F6F3C}"/>
    <cellStyle name="40% - Accent5 5 5" xfId="2806" xr:uid="{1755F7D1-4285-4C93-BE4C-43BFDD95541F}"/>
    <cellStyle name="40% - Accent5 5 6" xfId="3462" xr:uid="{7F1B0E76-7FCA-4199-B86B-989603EBFC1F}"/>
    <cellStyle name="40% - Accent5 5 7" xfId="4125" xr:uid="{35B3AF49-4534-4961-8AF3-407634D0CE4F}"/>
    <cellStyle name="40% - Accent5 5 8" xfId="1828" xr:uid="{2D3CF083-E3A7-4057-BCD4-47DF5EED8565}"/>
    <cellStyle name="40% - Accent5 5 9" xfId="1680" xr:uid="{C87C0CD8-709B-4D4C-BCE7-A9079DEEFE1E}"/>
    <cellStyle name="40% - Accent5 6" xfId="405" xr:uid="{C0B32F9D-0179-4323-9971-F3DB1C79231C}"/>
    <cellStyle name="40% - Accent5 6 2" xfId="625" xr:uid="{9FBBDB2C-4303-43A9-BAE0-E9216F9781A9}"/>
    <cellStyle name="40% - Accent5 6 2 2" xfId="2590" xr:uid="{34303AB5-B208-4184-A800-8D220F89FBB0}"/>
    <cellStyle name="40% - Accent5 6 2 3" xfId="3241" xr:uid="{06C609FB-8673-4F05-83B4-A1FB9E56F991}"/>
    <cellStyle name="40% - Accent5 6 2 4" xfId="3897" xr:uid="{46639B0D-4858-4453-B1B9-535DA1C14BBE}"/>
    <cellStyle name="40% - Accent5 6 2 5" xfId="4560" xr:uid="{92CB40AB-FFA3-4101-93FC-3316DEBCFD47}"/>
    <cellStyle name="40% - Accent5 6 2 6" xfId="1531" xr:uid="{AAD90372-B2F7-42C1-8F40-5F637B917F52}"/>
    <cellStyle name="40% - Accent5 6 3" xfId="2263" xr:uid="{B4F1E891-07DE-4E90-BF92-2AB37FB8B865}"/>
    <cellStyle name="40% - Accent5 6 4" xfId="2914" xr:uid="{ADF6EF72-7868-4B3E-A2F6-FCB2CCD5545B}"/>
    <cellStyle name="40% - Accent5 6 5" xfId="3570" xr:uid="{7B59E3F3-CD82-4319-BD35-6B9C24D1E8BA}"/>
    <cellStyle name="40% - Accent5 6 6" xfId="4233" xr:uid="{02862D2A-7EA4-4E9C-853C-57E2C7CC3A24}"/>
    <cellStyle name="40% - Accent5 6 7" xfId="1200" xr:uid="{3B952DAD-2F23-4519-8507-C5392E8C57B9}"/>
    <cellStyle name="40% - Accent5 7" xfId="515" xr:uid="{97193AF8-BD13-4793-A5B6-5E43AF3DE37A}"/>
    <cellStyle name="40% - Accent5 7 2" xfId="2374" xr:uid="{ED6D168C-FFC3-45D3-B0B1-DD578773F272}"/>
    <cellStyle name="40% - Accent5 7 3" xfId="3025" xr:uid="{E0041AD1-67F7-4313-8AC0-377CE2E55352}"/>
    <cellStyle name="40% - Accent5 7 4" xfId="3681" xr:uid="{F158485C-1D20-427D-B24B-0869D3A2D5A1}"/>
    <cellStyle name="40% - Accent5 7 5" xfId="4344" xr:uid="{12AE05BF-D591-4BA5-B3B8-2B355A1D840A}"/>
    <cellStyle name="40% - Accent5 7 6" xfId="1310" xr:uid="{3FAF19B0-7D83-445F-B809-463870EDA983}"/>
    <cellStyle name="40% - Accent5 8" xfId="283" xr:uid="{6C0797AC-E292-43EA-AE92-6F356A7DDA0B}"/>
    <cellStyle name="40% - Accent5 8 2" xfId="2032" xr:uid="{E3677B98-132A-4DE0-9523-F2E43CEFC017}"/>
    <cellStyle name="40% - Accent5 9" xfId="2047" xr:uid="{033C8F30-3982-4B9A-804D-2B1F1311D6C7}"/>
    <cellStyle name="40% - Accent6" xfId="43" builtinId="51" customBuiltin="1"/>
    <cellStyle name="40% - Accent6 10" xfId="2700" xr:uid="{99182FA0-1041-46E6-AF82-FB559B4A81E6}"/>
    <cellStyle name="40% - Accent6 11" xfId="3354" xr:uid="{8D547E7C-3818-4E2D-AB2A-04031EB8D7D8}"/>
    <cellStyle name="40% - Accent6 12" xfId="4019" xr:uid="{C44440DA-7FEA-4FE0-87F9-A13E1D071B83}"/>
    <cellStyle name="40% - Accent6 13" xfId="738" xr:uid="{97F7B134-60BF-49B7-A615-F3011E94B533}"/>
    <cellStyle name="40% - Accent6 14" xfId="166" xr:uid="{0A71DF41-6626-4193-A2A7-FF223B716F8D}"/>
    <cellStyle name="40% - Accent6 2" xfId="89" xr:uid="{1659751C-C713-4EC4-947F-3A2ACEC10EE9}"/>
    <cellStyle name="40% - Accent6 2 10" xfId="4037" xr:uid="{3392CCEF-B267-4409-9505-782F8CD0415B}"/>
    <cellStyle name="40% - Accent6 2 11" xfId="751" xr:uid="{7BA011B4-A754-45AE-86AD-D0531B9F723B}"/>
    <cellStyle name="40% - Accent6 2 12" xfId="182" xr:uid="{EC6DA6AB-6267-48E6-96AE-5D5BE9605374}"/>
    <cellStyle name="40% - Accent6 2 2" xfId="1053" xr:uid="{EB5FD6C4-4431-42AA-8E6F-5FEC8C5674C0}"/>
    <cellStyle name="40% - Accent6 2 2 2" xfId="1160" xr:uid="{9B69A19D-99AA-4E0D-925C-35F890522F06}"/>
    <cellStyle name="40% - Accent6 2 2 2 2" xfId="1497" xr:uid="{8F77C346-4B9E-4754-976F-5B399FA4158E}"/>
    <cellStyle name="40% - Accent6 2 2 2 2 2" xfId="2556" xr:uid="{30DAA124-E9CA-4408-B0CB-8BC2DD364AF5}"/>
    <cellStyle name="40% - Accent6 2 2 2 2 3" xfId="3207" xr:uid="{55AC8DBA-95B6-46E6-853F-AE1CFABD193C}"/>
    <cellStyle name="40% - Accent6 2 2 2 2 4" xfId="3863" xr:uid="{38E6EAFB-DCB3-4806-9AFC-237F3A8CF1CC}"/>
    <cellStyle name="40% - Accent6 2 2 2 2 5" xfId="4526" xr:uid="{BAC46CED-153A-41D0-AA20-56FE5C9D3819}"/>
    <cellStyle name="40% - Accent6 2 2 2 3" xfId="1930" xr:uid="{80D97921-C58A-437E-8B10-3EB40EC9CC44}"/>
    <cellStyle name="40% - Accent6 2 2 2 4" xfId="2229" xr:uid="{67BD3293-8492-4F43-BAFC-3D8AE6A2A65D}"/>
    <cellStyle name="40% - Accent6 2 2 2 5" xfId="2880" xr:uid="{93808BB6-CE4B-48A1-A9B8-3FCA63A73129}"/>
    <cellStyle name="40% - Accent6 2 2 2 6" xfId="3536" xr:uid="{2F502E7D-F1A7-4F16-A99F-3E035A9440DB}"/>
    <cellStyle name="40% - Accent6 2 2 2 7" xfId="4199" xr:uid="{AAB65E5D-42B6-41E6-9FAD-EBAC96412323}"/>
    <cellStyle name="40% - Accent6 2 2 3" xfId="1274" xr:uid="{38D5D2F0-2A39-4DDD-B716-6F3ED1C3D0C5}"/>
    <cellStyle name="40% - Accent6 2 2 3 2" xfId="1605" xr:uid="{9D23378E-04FF-4ACF-A763-FBB71B674277}"/>
    <cellStyle name="40% - Accent6 2 2 3 2 2" xfId="2664" xr:uid="{F0276740-350B-4EA2-9D1B-A3800DF68733}"/>
    <cellStyle name="40% - Accent6 2 2 3 2 3" xfId="3315" xr:uid="{CAD32B99-C8B1-4714-A95C-7F78C6A36A37}"/>
    <cellStyle name="40% - Accent6 2 2 3 2 4" xfId="3971" xr:uid="{B6894A29-DB6C-4EED-98D1-D2EC9AD57BC5}"/>
    <cellStyle name="40% - Accent6 2 2 3 2 5" xfId="4634" xr:uid="{5F81D302-4A48-4B2C-8971-87DA71EA41A4}"/>
    <cellStyle name="40% - Accent6 2 2 3 3" xfId="2337" xr:uid="{8C8AF1CB-0C5B-4E46-A559-7F8B6C44BDCB}"/>
    <cellStyle name="40% - Accent6 2 2 3 4" xfId="2988" xr:uid="{91177EDA-D63F-44B8-B5E1-2C441D52C9CC}"/>
    <cellStyle name="40% - Accent6 2 2 3 5" xfId="3644" xr:uid="{244A7CA0-2ED9-4C28-A563-25E7F6A44BE4}"/>
    <cellStyle name="40% - Accent6 2 2 3 6" xfId="4307" xr:uid="{B7589C38-44C1-4DB1-B31C-8178CD1ADFB8}"/>
    <cellStyle name="40% - Accent6 2 2 4" xfId="1389" xr:uid="{02BF90C6-269D-4E4B-9E2C-FAFADC78862C}"/>
    <cellStyle name="40% - Accent6 2 2 4 2" xfId="2448" xr:uid="{68B060F6-0EB3-4378-A97C-05FBB93B6760}"/>
    <cellStyle name="40% - Accent6 2 2 4 3" xfId="3099" xr:uid="{D98E78C6-854B-4384-9D4C-A400783309A2}"/>
    <cellStyle name="40% - Accent6 2 2 4 4" xfId="3755" xr:uid="{09875B87-3F37-45AA-BB62-79509EBF8C54}"/>
    <cellStyle name="40% - Accent6 2 2 4 5" xfId="4418" xr:uid="{ED50C10D-B9AD-4748-A931-BD0FE50463CE}"/>
    <cellStyle name="40% - Accent6 2 2 5" xfId="2022" xr:uid="{44E57ED2-C2CB-44FD-BDC4-4A14541EE05C}"/>
    <cellStyle name="40% - Accent6 2 2 6" xfId="2121" xr:uid="{D6389578-2625-4B58-823B-32D68E495916}"/>
    <cellStyle name="40% - Accent6 2 2 7" xfId="2772" xr:uid="{75C23A9E-A948-48CD-9939-52E98663E7F1}"/>
    <cellStyle name="40% - Accent6 2 2 8" xfId="3428" xr:uid="{8DEF2FDE-521A-4E11-B780-C4767DE7F45D}"/>
    <cellStyle name="40% - Accent6 2 2 9" xfId="4091" xr:uid="{39623A4E-A014-4F23-BC9E-204D3863370F}"/>
    <cellStyle name="40% - Accent6 2 3" xfId="1106" xr:uid="{B912761B-148F-4DC5-92E7-AD1493A870C3}"/>
    <cellStyle name="40% - Accent6 2 3 2" xfId="1443" xr:uid="{2E6EBF33-E08F-4AC8-88DB-9FEA93422E38}"/>
    <cellStyle name="40% - Accent6 2 3 2 2" xfId="2502" xr:uid="{103BCC19-44EA-41D1-81A5-46B609990725}"/>
    <cellStyle name="40% - Accent6 2 3 2 3" xfId="3153" xr:uid="{7E773162-9FAC-4DFF-A066-8B1F37C2AB80}"/>
    <cellStyle name="40% - Accent6 2 3 2 4" xfId="3809" xr:uid="{FD4282DF-4F3A-4382-AA68-92B6F38B548D}"/>
    <cellStyle name="40% - Accent6 2 3 2 5" xfId="4472" xr:uid="{059A044E-A183-4277-9A77-1C504F247E3D}"/>
    <cellStyle name="40% - Accent6 2 3 3" xfId="1915" xr:uid="{A538C5C1-CAD9-4554-B92D-70DDC52F33DE}"/>
    <cellStyle name="40% - Accent6 2 3 4" xfId="2175" xr:uid="{54ACF015-2789-4E44-8BF4-75E40DE80F79}"/>
    <cellStyle name="40% - Accent6 2 3 5" xfId="2826" xr:uid="{D6884F4A-D812-4F66-92EE-441558F5D749}"/>
    <cellStyle name="40% - Accent6 2 3 6" xfId="3482" xr:uid="{8F334928-889E-44EA-A7FC-3802017BFA22}"/>
    <cellStyle name="40% - Accent6 2 3 7" xfId="4145" xr:uid="{699C78EC-F71F-4227-8C95-4B4A13388295}"/>
    <cellStyle name="40% - Accent6 2 4" xfId="1220" xr:uid="{F49F0C56-514B-439E-9A99-486E2C196FC1}"/>
    <cellStyle name="40% - Accent6 2 4 2" xfId="1551" xr:uid="{D5758B9F-53A9-43A3-A6D6-24E5A1942BA2}"/>
    <cellStyle name="40% - Accent6 2 4 2 2" xfId="2610" xr:uid="{76F898A8-6BF0-487A-B928-738229D50ED5}"/>
    <cellStyle name="40% - Accent6 2 4 2 3" xfId="3261" xr:uid="{9E9C51A3-9E7B-4B6D-98F3-416E8CBECB16}"/>
    <cellStyle name="40% - Accent6 2 4 2 4" xfId="3917" xr:uid="{71D07F13-22B1-4731-A34E-1DC2D36034CE}"/>
    <cellStyle name="40% - Accent6 2 4 2 5" xfId="4580" xr:uid="{D607E626-94CF-4106-8534-DD48356B9751}"/>
    <cellStyle name="40% - Accent6 2 4 3" xfId="2283" xr:uid="{FF69A16E-5B6C-4CB5-862B-A39534660235}"/>
    <cellStyle name="40% - Accent6 2 4 4" xfId="2934" xr:uid="{0652C561-0BE7-4FDE-A40E-0A2FA30ECA1A}"/>
    <cellStyle name="40% - Accent6 2 4 5" xfId="3590" xr:uid="{998B174A-26E4-4D82-BF0A-7B62A674C954}"/>
    <cellStyle name="40% - Accent6 2 4 6" xfId="4253" xr:uid="{8908C02D-C98E-4B78-842A-83F0A1E64AA0}"/>
    <cellStyle name="40% - Accent6 2 5" xfId="1335" xr:uid="{BBE5EBC2-CD44-40B0-84B9-E662DC78F756}"/>
    <cellStyle name="40% - Accent6 2 5 2" xfId="2394" xr:uid="{A151D9CC-3A64-474D-B60E-091C8C6C124D}"/>
    <cellStyle name="40% - Accent6 2 5 3" xfId="3045" xr:uid="{6D167530-1797-4E7C-A908-585F5D6688BA}"/>
    <cellStyle name="40% - Accent6 2 5 4" xfId="3701" xr:uid="{26BBD2C9-EC67-4F64-B22C-E5856A490BEE}"/>
    <cellStyle name="40% - Accent6 2 5 5" xfId="4364" xr:uid="{44EB0FE1-B168-4C66-9ED1-EC20C96C2653}"/>
    <cellStyle name="40% - Accent6 2 6" xfId="1787" xr:uid="{75002A16-045E-436A-BFD4-0DCF1E440874}"/>
    <cellStyle name="40% - Accent6 2 7" xfId="2067" xr:uid="{0363267E-4EDB-47F6-A7CF-83C047591568}"/>
    <cellStyle name="40% - Accent6 2 8" xfId="2718" xr:uid="{CE08E8A7-E8EE-4C9E-BA20-2C28C6AA0EA7}"/>
    <cellStyle name="40% - Accent6 2 9" xfId="3373" xr:uid="{39E3313E-6E0C-46DB-BEF5-F00F2C471FF0}"/>
    <cellStyle name="40% - Accent6 3" xfId="261" xr:uid="{D2221205-BA73-440B-944E-0641EEB3C371}"/>
    <cellStyle name="40% - Accent6 3 10" xfId="4054" xr:uid="{EACC7881-B1B2-43A5-8DDC-645B3B3F39DD}"/>
    <cellStyle name="40% - Accent6 3 11" xfId="1815" xr:uid="{98110101-8AF8-4461-A306-E5DF6D5FD81E}"/>
    <cellStyle name="40% - Accent6 3 12" xfId="1757" xr:uid="{584553C9-B4A7-4F22-81BA-5EF6072A154C}"/>
    <cellStyle name="40% - Accent6 3 13" xfId="1006" xr:uid="{698AC0FF-13A4-4440-9350-CB8243235036}"/>
    <cellStyle name="40% - Accent6 3 2" xfId="357" xr:uid="{2C139765-3AE2-4D6D-B2D8-803A9DBBDCCC}"/>
    <cellStyle name="40% - Accent6 3 2 10" xfId="1070" xr:uid="{68D45A7C-294F-4C12-9881-E265ED8CC8DE}"/>
    <cellStyle name="40% - Accent6 3 2 2" xfId="473" xr:uid="{AB819C1A-1AED-4E2D-A45F-8CD127E80410}"/>
    <cellStyle name="40% - Accent6 3 2 2 2" xfId="692" xr:uid="{6000FC2E-847F-402F-B979-5888ACC004E0}"/>
    <cellStyle name="40% - Accent6 3 2 2 2 2" xfId="2573" xr:uid="{CA25BCF0-5169-4F9F-8811-25F8EC2357F7}"/>
    <cellStyle name="40% - Accent6 3 2 2 2 3" xfId="3224" xr:uid="{F2EAA4B9-CA3F-48B9-8E06-01550520270E}"/>
    <cellStyle name="40% - Accent6 3 2 2 2 4" xfId="3880" xr:uid="{652586AF-D5D5-448A-BFB7-BCEC6433AFE5}"/>
    <cellStyle name="40% - Accent6 3 2 2 2 5" xfId="4543" xr:uid="{B7208525-CAF2-4D88-957F-AAD7CAFCB185}"/>
    <cellStyle name="40% - Accent6 3 2 2 2 6" xfId="1514" xr:uid="{1E776D54-58A6-41E6-8C5F-FF2C73F92C0A}"/>
    <cellStyle name="40% - Accent6 3 2 2 3" xfId="1786" xr:uid="{14404CEC-1354-42BC-BB99-7EC02D2B8797}"/>
    <cellStyle name="40% - Accent6 3 2 2 4" xfId="2246" xr:uid="{89F4E6A7-190B-4D3C-933E-FEB4352295D3}"/>
    <cellStyle name="40% - Accent6 3 2 2 5" xfId="2897" xr:uid="{9A9CC1F2-7C50-41BD-9079-2E839B399607}"/>
    <cellStyle name="40% - Accent6 3 2 2 6" xfId="3553" xr:uid="{FEB07C19-4C4D-4BF9-920D-643242B25E54}"/>
    <cellStyle name="40% - Accent6 3 2 2 7" xfId="4216" xr:uid="{AC04E02D-9881-406C-8D9D-8D3125472B30}"/>
    <cellStyle name="40% - Accent6 3 2 2 8" xfId="1177" xr:uid="{3DCEE2A1-F698-44E1-A6D3-6C5A6B9EDF2F}"/>
    <cellStyle name="40% - Accent6 3 2 3" xfId="582" xr:uid="{CA6AC35E-80D8-4521-BDB5-5C51C4A7C527}"/>
    <cellStyle name="40% - Accent6 3 2 3 2" xfId="1622" xr:uid="{6D0E1EB2-72D7-45F7-A40A-FE1FE83A310F}"/>
    <cellStyle name="40% - Accent6 3 2 3 2 2" xfId="2681" xr:uid="{148E5F1B-921F-41B9-8F9D-331BF7147EC6}"/>
    <cellStyle name="40% - Accent6 3 2 3 2 3" xfId="3332" xr:uid="{4AB61743-4C25-42E9-B4D0-6B24B748C00E}"/>
    <cellStyle name="40% - Accent6 3 2 3 2 4" xfId="3988" xr:uid="{2BD12D53-0626-419D-9F74-A29D0E2EB03A}"/>
    <cellStyle name="40% - Accent6 3 2 3 2 5" xfId="4651" xr:uid="{CDC30342-8DB4-4D25-91CB-47C07E5D8C8E}"/>
    <cellStyle name="40% - Accent6 3 2 3 3" xfId="2354" xr:uid="{EE25EF3B-F443-4E19-8CFB-FC9D61B3D236}"/>
    <cellStyle name="40% - Accent6 3 2 3 4" xfId="3005" xr:uid="{10F4E35D-4A97-44BB-A6EF-94C1D67EF92E}"/>
    <cellStyle name="40% - Accent6 3 2 3 5" xfId="3661" xr:uid="{B9581B4B-645D-44BB-83DF-7135E66CC783}"/>
    <cellStyle name="40% - Accent6 3 2 3 6" xfId="4324" xr:uid="{CD441AA9-362D-4249-A926-9EA89BA280EA}"/>
    <cellStyle name="40% - Accent6 3 2 3 7" xfId="1291" xr:uid="{92DE0422-0809-4AB5-8D34-C61C535C99A7}"/>
    <cellStyle name="40% - Accent6 3 2 4" xfId="1406" xr:uid="{5CFB17A1-9FA6-4016-8B0A-5D430F2BE628}"/>
    <cellStyle name="40% - Accent6 3 2 4 2" xfId="2465" xr:uid="{98C2E015-41DB-4D35-9A24-6E413F95E795}"/>
    <cellStyle name="40% - Accent6 3 2 4 3" xfId="3116" xr:uid="{FACAAE40-06FC-40D4-80D8-9AB815D65673}"/>
    <cellStyle name="40% - Accent6 3 2 4 4" xfId="3772" xr:uid="{9A0C1D31-8320-47C2-907B-D9B8DB709BB0}"/>
    <cellStyle name="40% - Accent6 3 2 4 5" xfId="4435" xr:uid="{940F1C68-56A7-4221-8C61-F75C565961F0}"/>
    <cellStyle name="40% - Accent6 3 2 5" xfId="2031" xr:uid="{6C69C11F-80ED-43A0-903D-098BE8BF430B}"/>
    <cellStyle name="40% - Accent6 3 2 6" xfId="2138" xr:uid="{D1E9C33B-FB5E-43F2-914A-2448FC6BE5AB}"/>
    <cellStyle name="40% - Accent6 3 2 7" xfId="2789" xr:uid="{3A628090-45D5-42A9-BE0C-BD0A1E815FE5}"/>
    <cellStyle name="40% - Accent6 3 2 8" xfId="3445" xr:uid="{F53A662D-81E4-47AE-9A4D-C57820AA765A}"/>
    <cellStyle name="40% - Accent6 3 2 9" xfId="4108" xr:uid="{7A5B98D7-6C84-44C5-AFD9-B11464CBF24F}"/>
    <cellStyle name="40% - Accent6 3 3" xfId="430" xr:uid="{11B457E8-465A-45AB-AF0F-84C9966BD3CF}"/>
    <cellStyle name="40% - Accent6 3 3 2" xfId="649" xr:uid="{7204F569-928B-4423-83C4-F044C3DE8D67}"/>
    <cellStyle name="40% - Accent6 3 3 2 2" xfId="2519" xr:uid="{5E371174-0F5E-46B2-9C85-3AD77ACDD3ED}"/>
    <cellStyle name="40% - Accent6 3 3 2 3" xfId="3170" xr:uid="{493D75FB-F8A5-41D7-9611-1CCFB9FE1A7A}"/>
    <cellStyle name="40% - Accent6 3 3 2 4" xfId="3826" xr:uid="{A9A79D50-4398-476A-9F8C-6FF798BFBD06}"/>
    <cellStyle name="40% - Accent6 3 3 2 5" xfId="4489" xr:uid="{C9A426C3-B100-41CC-9058-3C6F65817323}"/>
    <cellStyle name="40% - Accent6 3 3 2 6" xfId="1460" xr:uid="{EB5E4886-5062-4108-9A5A-EF819050DEEB}"/>
    <cellStyle name="40% - Accent6 3 3 3" xfId="1887" xr:uid="{6018F233-ABEE-41B1-90FF-8B199EAD6247}"/>
    <cellStyle name="40% - Accent6 3 3 4" xfId="2192" xr:uid="{737BE746-8607-401D-9EB3-8BF7D2D418A1}"/>
    <cellStyle name="40% - Accent6 3 3 5" xfId="2843" xr:uid="{1E57C4D1-07C3-43E1-9471-64EAE88B7306}"/>
    <cellStyle name="40% - Accent6 3 3 6" xfId="3499" xr:uid="{6256C0BF-9B84-41AF-A2C0-AB52CDC339FE}"/>
    <cellStyle name="40% - Accent6 3 3 7" xfId="4162" xr:uid="{40453192-804D-4DBB-8755-2FEB4E1E3C55}"/>
    <cellStyle name="40% - Accent6 3 3 8" xfId="1123" xr:uid="{C7364EE6-0859-44EC-A0A0-6537DA7A742C}"/>
    <cellStyle name="40% - Accent6 3 4" xfId="539" xr:uid="{455832E9-958D-4750-8911-8A3D1098FD4E}"/>
    <cellStyle name="40% - Accent6 3 4 2" xfId="1568" xr:uid="{EEED2EF3-6CF2-45E6-9F2F-CA29309283A6}"/>
    <cellStyle name="40% - Accent6 3 4 2 2" xfId="2627" xr:uid="{797FB962-7003-42EE-AEA0-BB362585203C}"/>
    <cellStyle name="40% - Accent6 3 4 2 3" xfId="3278" xr:uid="{371C5B2A-593D-4C74-8F00-B0BCAC530DFA}"/>
    <cellStyle name="40% - Accent6 3 4 2 4" xfId="3934" xr:uid="{7162D32B-2514-44F1-869D-106AE36898CB}"/>
    <cellStyle name="40% - Accent6 3 4 2 5" xfId="4597" xr:uid="{AA9278EC-FA36-4129-881B-ADC802347EC6}"/>
    <cellStyle name="40% - Accent6 3 4 3" xfId="2300" xr:uid="{014D5982-6662-4AE7-93AB-0944E7504474}"/>
    <cellStyle name="40% - Accent6 3 4 4" xfId="2951" xr:uid="{A6372870-319E-474F-80E4-A478D04259AE}"/>
    <cellStyle name="40% - Accent6 3 4 5" xfId="3607" xr:uid="{83EC5ADD-8436-49C2-98EC-BD3422D21903}"/>
    <cellStyle name="40% - Accent6 3 4 6" xfId="4270" xr:uid="{D61DBC35-B0A9-4382-990B-63A3FE84EA2A}"/>
    <cellStyle name="40% - Accent6 3 4 7" xfId="1237" xr:uid="{68792AE1-5450-4256-8DC0-4D8530600247}"/>
    <cellStyle name="40% - Accent6 3 5" xfId="309" xr:uid="{83F0ED0D-C0CD-4C18-87FB-1432E119E52A}"/>
    <cellStyle name="40% - Accent6 3 5 2" xfId="2411" xr:uid="{02ABE3D5-08D6-48CC-A2F7-70A2248D7451}"/>
    <cellStyle name="40% - Accent6 3 5 3" xfId="3062" xr:uid="{77F92E64-09A1-4DCE-AF94-5EDBA2F68525}"/>
    <cellStyle name="40% - Accent6 3 5 4" xfId="3718" xr:uid="{638B75BE-3F81-4DF2-83D2-696927FE6ADB}"/>
    <cellStyle name="40% - Accent6 3 5 5" xfId="4381" xr:uid="{F60FBED1-8544-476A-9507-60CCD6A5DCDB}"/>
    <cellStyle name="40% - Accent6 3 5 6" xfId="1352" xr:uid="{CC699C95-94CE-43E5-A64D-4B48807FD45F}"/>
    <cellStyle name="40% - Accent6 3 6" xfId="1888" xr:uid="{BB6B7E89-73A1-4CED-B7B9-B75A45434829}"/>
    <cellStyle name="40% - Accent6 3 7" xfId="2084" xr:uid="{57A12A63-47C0-40EC-8E47-B2D698DB30CA}"/>
    <cellStyle name="40% - Accent6 3 8" xfId="2735" xr:uid="{403BFE38-E616-480F-9835-3436D5F70F38}"/>
    <cellStyle name="40% - Accent6 3 9" xfId="3390" xr:uid="{3514C245-C183-40BC-B720-7B6FEE70131D}"/>
    <cellStyle name="40% - Accent6 4" xfId="377" xr:uid="{8AD58513-3AF3-41FC-82C0-CC3D36C5AF75}"/>
    <cellStyle name="40% - Accent6 4 10" xfId="1037" xr:uid="{E55550F6-FC35-4B71-885E-D5B617BECBEB}"/>
    <cellStyle name="40% - Accent6 4 2" xfId="492" xr:uid="{79F00CD5-3436-4210-BBF2-38A430E294FE}"/>
    <cellStyle name="40% - Accent6 4 2 2" xfId="711" xr:uid="{7AB45C88-5B31-48F3-8C47-11E4AE2B20C1}"/>
    <cellStyle name="40% - Accent6 4 2 2 2" xfId="2540" xr:uid="{1E3427B6-A97F-4570-9213-481978698D7E}"/>
    <cellStyle name="40% - Accent6 4 2 2 3" xfId="3191" xr:uid="{D187514D-098E-45A8-86CD-22DA6E1A4B80}"/>
    <cellStyle name="40% - Accent6 4 2 2 4" xfId="3847" xr:uid="{0A04137A-F9C6-425D-87C7-F02DE948396A}"/>
    <cellStyle name="40% - Accent6 4 2 2 5" xfId="4510" xr:uid="{884410F3-7E41-455C-85D8-D3CD30FBF6A4}"/>
    <cellStyle name="40% - Accent6 4 2 2 6" xfId="1481" xr:uid="{A06D2E68-0B78-4DD0-B953-8429CA57BE6B}"/>
    <cellStyle name="40% - Accent6 4 2 3" xfId="2018" xr:uid="{31721EA9-D36B-4EE6-BF50-2383BA353493}"/>
    <cellStyle name="40% - Accent6 4 2 4" xfId="2213" xr:uid="{23751903-FDFD-4B6C-8E0A-135F33C20448}"/>
    <cellStyle name="40% - Accent6 4 2 5" xfId="2864" xr:uid="{CD9DA0DC-F837-48D3-B0E9-5188CA25A71B}"/>
    <cellStyle name="40% - Accent6 4 2 6" xfId="3520" xr:uid="{609A6DC4-3AD8-447F-B189-603594011991}"/>
    <cellStyle name="40% - Accent6 4 2 7" xfId="4183" xr:uid="{F9FA4A79-984F-429F-9254-01E31480615E}"/>
    <cellStyle name="40% - Accent6 4 2 8" xfId="1144" xr:uid="{5B993C86-C5B1-4EFD-B998-67C56C14016F}"/>
    <cellStyle name="40% - Accent6 4 3" xfId="601" xr:uid="{73739EC4-4B0B-41AD-A8FC-118378F2B6A9}"/>
    <cellStyle name="40% - Accent6 4 3 2" xfId="1589" xr:uid="{870D41D4-68C2-4F43-922A-487FCD0C5B1C}"/>
    <cellStyle name="40% - Accent6 4 3 2 2" xfId="2648" xr:uid="{E80648BB-075D-4011-8F0E-84D484154A1F}"/>
    <cellStyle name="40% - Accent6 4 3 2 3" xfId="3299" xr:uid="{704177BB-93D9-4632-A7CD-6D71404105CA}"/>
    <cellStyle name="40% - Accent6 4 3 2 4" xfId="3955" xr:uid="{01FD24BF-1507-483B-BE98-5D5065353124}"/>
    <cellStyle name="40% - Accent6 4 3 2 5" xfId="4618" xr:uid="{2CC67676-8A4C-4DBD-BCCB-4DB355A6B8AC}"/>
    <cellStyle name="40% - Accent6 4 3 3" xfId="2321" xr:uid="{CD05F381-3CFF-47A2-921A-1C6B7B098E12}"/>
    <cellStyle name="40% - Accent6 4 3 4" xfId="2972" xr:uid="{B005D43B-82BE-4F54-8DBA-951597A6C30D}"/>
    <cellStyle name="40% - Accent6 4 3 5" xfId="3628" xr:uid="{7660D273-6435-4ED4-BE22-899F1490338C}"/>
    <cellStyle name="40% - Accent6 4 3 6" xfId="4291" xr:uid="{6BAF2ACB-84F8-49CB-BFED-4BCEC51EB0A3}"/>
    <cellStyle name="40% - Accent6 4 3 7" xfId="1258" xr:uid="{92A7E885-1B91-47F0-86CE-A35593C82837}"/>
    <cellStyle name="40% - Accent6 4 4" xfId="1373" xr:uid="{9E51808F-D4BF-428D-A437-4F6F74B97CF7}"/>
    <cellStyle name="40% - Accent6 4 4 2" xfId="2432" xr:uid="{9BEAD389-BA74-45D9-9E2E-5F0753CA478A}"/>
    <cellStyle name="40% - Accent6 4 4 3" xfId="3083" xr:uid="{51007204-DDBA-4492-A962-4F36AE06AAAF}"/>
    <cellStyle name="40% - Accent6 4 4 4" xfId="3739" xr:uid="{39410205-BD60-4D3D-9CBF-1CC306C73329}"/>
    <cellStyle name="40% - Accent6 4 4 5" xfId="4402" xr:uid="{0BC3860D-557C-4278-BCFE-286CB416E3D7}"/>
    <cellStyle name="40% - Accent6 4 5" xfId="1862" xr:uid="{504CBDAC-6148-4BF4-BE6B-2AC05B522002}"/>
    <cellStyle name="40% - Accent6 4 6" xfId="2105" xr:uid="{496FA81F-59DF-4577-9445-27EEA943FB45}"/>
    <cellStyle name="40% - Accent6 4 7" xfId="2756" xr:uid="{9D979488-B20F-44AE-BFC6-934E4CF866B3}"/>
    <cellStyle name="40% - Accent6 4 8" xfId="3412" xr:uid="{7B272DA2-AC91-440E-8D03-4B40D2A87D9D}"/>
    <cellStyle name="40% - Accent6 4 9" xfId="4075" xr:uid="{5B4BC544-BAE8-4EE1-924F-BB1E5C34221B}"/>
    <cellStyle name="40% - Accent6 5" xfId="333" xr:uid="{0797F3EA-D67C-44B3-BD30-64FB9A1DD6BD}"/>
    <cellStyle name="40% - Accent6 5 10" xfId="1088" xr:uid="{E2C91C91-47F4-46A5-8360-DE1773C61B10}"/>
    <cellStyle name="40% - Accent6 5 2" xfId="454" xr:uid="{5ED49654-CADC-463A-B52E-5C6F5AD77BB8}"/>
    <cellStyle name="40% - Accent6 5 2 2" xfId="673" xr:uid="{DE03EB93-5231-4829-B3F5-FCBE6B54CA1F}"/>
    <cellStyle name="40% - Accent6 5 2 2 2" xfId="2484" xr:uid="{DA2A6B65-5604-4285-9C2F-562FCF3DAB68}"/>
    <cellStyle name="40% - Accent6 5 2 3" xfId="3135" xr:uid="{D6883D79-6723-4D19-8BA0-15EC6B9E0146}"/>
    <cellStyle name="40% - Accent6 5 2 4" xfId="3791" xr:uid="{FE3D9365-5040-4C4F-B860-3D36355FBF90}"/>
    <cellStyle name="40% - Accent6 5 2 5" xfId="4454" xr:uid="{81D77D82-87EF-4D16-962C-E2A6EB885863}"/>
    <cellStyle name="40% - Accent6 5 2 6" xfId="1425" xr:uid="{A2C329BE-1603-4B99-8308-BFCF0A84D483}"/>
    <cellStyle name="40% - Accent6 5 3" xfId="563" xr:uid="{39E8BF2D-7BA6-4227-95C2-0C6D43F92FB5}"/>
    <cellStyle name="40% - Accent6 5 3 2" xfId="1935" xr:uid="{6D871E8F-5FE9-4A7C-9FBA-F7B4CC78D5FA}"/>
    <cellStyle name="40% - Accent6 5 4" xfId="2157" xr:uid="{E32A4309-1396-47CE-A0B3-29450D22EF41}"/>
    <cellStyle name="40% - Accent6 5 5" xfId="2808" xr:uid="{86CEF701-B845-4D7B-BE4A-A1B774E79787}"/>
    <cellStyle name="40% - Accent6 5 6" xfId="3464" xr:uid="{5AD7611B-14B7-4748-926C-E681387BD8AE}"/>
    <cellStyle name="40% - Accent6 5 7" xfId="4127" xr:uid="{8876C026-D2AC-4D08-AE61-879D91095E45}"/>
    <cellStyle name="40% - Accent6 5 8" xfId="1830" xr:uid="{0A923882-D032-4E8A-B62F-CC999EEF4D85}"/>
    <cellStyle name="40% - Accent6 5 9" xfId="1684" xr:uid="{2683ED3A-EC71-414D-87FE-D92EE45B46E9}"/>
    <cellStyle name="40% - Accent6 6" xfId="407" xr:uid="{8B821175-A72C-48A8-A63E-DBD3B861CC04}"/>
    <cellStyle name="40% - Accent6 6 2" xfId="627" xr:uid="{B9A59261-7D94-46B4-92C5-D1A279C82C41}"/>
    <cellStyle name="40% - Accent6 6 2 2" xfId="2592" xr:uid="{F3A1DD20-60D5-4C0E-A7E0-DC3DBE02D42E}"/>
    <cellStyle name="40% - Accent6 6 2 3" xfId="3243" xr:uid="{5B81FAD7-C11C-4072-95D2-82DF8FE2A6D7}"/>
    <cellStyle name="40% - Accent6 6 2 4" xfId="3899" xr:uid="{91DF3983-8EA3-4B56-A96B-384947270FE8}"/>
    <cellStyle name="40% - Accent6 6 2 5" xfId="4562" xr:uid="{41EA0848-92BE-47FB-9C19-F2EB57A6FEAC}"/>
    <cellStyle name="40% - Accent6 6 2 6" xfId="1533" xr:uid="{2CDA1461-8231-42F8-AD0A-9C9F842B881F}"/>
    <cellStyle name="40% - Accent6 6 3" xfId="2265" xr:uid="{5F07C1CF-E762-4E1E-8235-6ABDE19DFFFD}"/>
    <cellStyle name="40% - Accent6 6 4" xfId="2916" xr:uid="{D18C21F5-5C39-4C76-904A-12D7E4B9D17B}"/>
    <cellStyle name="40% - Accent6 6 5" xfId="3572" xr:uid="{5A9746F2-045C-4CFB-9746-DF5264BFAB96}"/>
    <cellStyle name="40% - Accent6 6 6" xfId="4235" xr:uid="{8F71BE81-F540-46E4-8344-6F225B3C4160}"/>
    <cellStyle name="40% - Accent6 6 7" xfId="1202" xr:uid="{FC72DD83-1CF1-4A89-962C-0D40DBB1BC0E}"/>
    <cellStyle name="40% - Accent6 7" xfId="517" xr:uid="{0DF3BDC9-8541-4C22-8C4C-5B1E2E4DFFFB}"/>
    <cellStyle name="40% - Accent6 7 2" xfId="2376" xr:uid="{7EF13BF3-003E-4910-948A-5C7F9CF931F8}"/>
    <cellStyle name="40% - Accent6 7 3" xfId="3027" xr:uid="{5261B64C-1C2F-4179-8E6A-0A4C1F206ED3}"/>
    <cellStyle name="40% - Accent6 7 4" xfId="3683" xr:uid="{E9DEC4E6-78C3-452B-B599-68E4440489F7}"/>
    <cellStyle name="40% - Accent6 7 5" xfId="4346" xr:uid="{061BB602-1149-4DF1-8584-C736CF4CB708}"/>
    <cellStyle name="40% - Accent6 7 6" xfId="1312" xr:uid="{7CDE3506-F97A-4D62-94F3-E4371DCD7B0D}"/>
    <cellStyle name="40% - Accent6 8" xfId="285" xr:uid="{B01E6573-9F31-4377-BA07-229B2F0FA4C5}"/>
    <cellStyle name="40% - Accent6 8 2" xfId="1832" xr:uid="{6C48F5F0-79AE-4C8E-B17F-6D61F69E7E2B}"/>
    <cellStyle name="40% - Accent6 9" xfId="2049" xr:uid="{73AD0697-3C4C-4EF7-A2F9-0AF24DF170E8}"/>
    <cellStyle name="60% - Accent1" xfId="24" builtinId="32" customBuiltin="1"/>
    <cellStyle name="60% - Accent1 2" xfId="90" xr:uid="{C8790D16-012C-4999-8184-AF626663550B}"/>
    <cellStyle name="60% - Accent1 2 2" xfId="752" xr:uid="{B1FBBCED-7E0A-4394-A864-6767D12A5730}"/>
    <cellStyle name="60% - Accent1 2 3" xfId="183" xr:uid="{DDB1DA7D-9A0A-4FD9-A391-32A97C1AA3F2}"/>
    <cellStyle name="60% - Accent1 3" xfId="61" xr:uid="{CE9BF378-0442-41DB-8288-01A17CC4D600}"/>
    <cellStyle name="60% - Accent1 3 2" xfId="1736" xr:uid="{44419C65-4119-4AA1-BC92-3724E6DA98E0}"/>
    <cellStyle name="60% - Accent1 4" xfId="1665" xr:uid="{91CD53D8-6331-40DC-91BE-A98E6E570C68}"/>
    <cellStyle name="60% - Accent1 5" xfId="1642" xr:uid="{3AC9D52E-2892-44DE-B9F5-EDACB2FC749B}"/>
    <cellStyle name="60% - Accent2" xfId="28" builtinId="36" customBuiltin="1"/>
    <cellStyle name="60% - Accent2 2" xfId="91" xr:uid="{7DAF0052-0444-49EB-87B7-DB7E24E98007}"/>
    <cellStyle name="60% - Accent2 2 2" xfId="753" xr:uid="{976DF454-962F-462A-B49A-6CBF16FF3827}"/>
    <cellStyle name="60% - Accent2 2 3" xfId="184" xr:uid="{991445AD-CAC5-4B99-B4F1-3A7638A072A3}"/>
    <cellStyle name="60% - Accent2 3" xfId="63" xr:uid="{B1919CBD-9613-4C30-B8C0-F2DFD2900F98}"/>
    <cellStyle name="60% - Accent2 3 2" xfId="1720" xr:uid="{4151F2B5-610E-43F8-BF25-3F1D78F6D8A9}"/>
    <cellStyle name="60% - Accent2 4" xfId="1669" xr:uid="{99A2EAF4-19F1-4228-AF47-4E67A60AA4A7}"/>
    <cellStyle name="60% - Accent2 5" xfId="1643" xr:uid="{F2F2C14C-F3C6-45B0-B783-A74B5291588A}"/>
    <cellStyle name="60% - Accent3" xfId="32" builtinId="40" customBuiltin="1"/>
    <cellStyle name="60% - Accent3 2" xfId="92" xr:uid="{CB6C63CD-8E0A-4F52-8729-3519AB128E73}"/>
    <cellStyle name="60% - Accent3 2 2" xfId="754" xr:uid="{094AF5EA-4F69-45FE-A146-D31CF3704324}"/>
    <cellStyle name="60% - Accent3 2 3" xfId="185" xr:uid="{E7C79943-C934-436A-A66D-D71C3B4330F3}"/>
    <cellStyle name="60% - Accent3 3" xfId="64" xr:uid="{CD670071-DE85-4E9E-A72F-3369D117D4A3}"/>
    <cellStyle name="60% - Accent3 3 2" xfId="1727" xr:uid="{019A07A7-26C5-4CAD-8A33-A5454A740580}"/>
    <cellStyle name="60% - Accent3 4" xfId="1673" xr:uid="{2D2260A7-00E6-42D2-8382-0FD2507BB317}"/>
    <cellStyle name="60% - Accent3 5" xfId="1644" xr:uid="{D61AB2D1-D7BD-4D2F-B4E0-6234EDDB7AB1}"/>
    <cellStyle name="60% - Accent4" xfId="36" builtinId="44" customBuiltin="1"/>
    <cellStyle name="60% - Accent4 2" xfId="93" xr:uid="{E4EAD058-051E-4CB6-9160-4314BE28436C}"/>
    <cellStyle name="60% - Accent4 2 2" xfId="755" xr:uid="{2AF6E938-F43C-494E-B64E-4CBB84D0B5D6}"/>
    <cellStyle name="60% - Accent4 2 3" xfId="186" xr:uid="{52859253-A30F-4819-8FD3-0AE3EC0F0358}"/>
    <cellStyle name="60% - Accent4 3" xfId="65" xr:uid="{B73EE701-3790-4401-9B70-FA915D6F4122}"/>
    <cellStyle name="60% - Accent4 3 2" xfId="1750" xr:uid="{CBB81B4E-3F58-41B2-BB87-1D080BEAEBBB}"/>
    <cellStyle name="60% - Accent4 4" xfId="1677" xr:uid="{670D2854-266E-4C88-8062-831B50184BAB}"/>
    <cellStyle name="60% - Accent4 5" xfId="1645" xr:uid="{D7236DA2-2057-4854-894F-E3ADFF66FC46}"/>
    <cellStyle name="60% - Accent5" xfId="40" builtinId="48" customBuiltin="1"/>
    <cellStyle name="60% - Accent5 2" xfId="94" xr:uid="{D84F7ADD-8C15-4E1C-9BC3-1C6C908B698A}"/>
    <cellStyle name="60% - Accent5 2 2" xfId="756" xr:uid="{31234545-9665-4456-A04A-B62564FE53C7}"/>
    <cellStyle name="60% - Accent5 2 3" xfId="187" xr:uid="{98F900D0-90E1-4B39-B6C1-602A64C9F601}"/>
    <cellStyle name="60% - Accent5 3" xfId="66" xr:uid="{0CDEB3C7-8F41-4ECD-BADC-40F159260813}"/>
    <cellStyle name="60% - Accent5 3 2" xfId="1754" xr:uid="{9476D637-98E6-4EB0-BA42-143C4356A666}"/>
    <cellStyle name="60% - Accent5 4" xfId="1681" xr:uid="{19906DAC-E735-4625-A705-7961AB2A1D98}"/>
    <cellStyle name="60% - Accent5 5" xfId="1646" xr:uid="{BAF26543-F164-439B-8A56-69CE10DC4B16}"/>
    <cellStyle name="60% - Accent6" xfId="44" builtinId="52" customBuiltin="1"/>
    <cellStyle name="60% - Accent6 2" xfId="95" xr:uid="{C0EFFE66-EC0C-4AE8-BF94-311B833A6F57}"/>
    <cellStyle name="60% - Accent6 2 2" xfId="757" xr:uid="{05134DFA-31EC-48EE-BD2D-8D82983E5DDB}"/>
    <cellStyle name="60% - Accent6 2 3" xfId="188" xr:uid="{433CC78F-C58C-4CBC-A6C6-5EE39CCC2885}"/>
    <cellStyle name="60% - Accent6 3" xfId="67" xr:uid="{F3F3C8CC-1844-46FF-BB03-D91CAF41B214}"/>
    <cellStyle name="60% - Accent6 3 2" xfId="1758" xr:uid="{BDE2E227-3F67-41CE-846D-FA29C603A035}"/>
    <cellStyle name="60% - Accent6 4" xfId="1685" xr:uid="{175A4B92-7F21-4F43-BE92-63DCEEE965D4}"/>
    <cellStyle name="60% - Accent6 5" xfId="1647" xr:uid="{B666088E-7346-47A2-ADB4-04A74438CE7D}"/>
    <cellStyle name="Accent1" xfId="21" builtinId="29" customBuiltin="1"/>
    <cellStyle name="Accent1 2" xfId="96" xr:uid="{4E1D0F2A-DF2B-46E6-B0FC-98F46AEBD383}"/>
    <cellStyle name="Accent1 2 2" xfId="1701" xr:uid="{479F4497-A650-4885-9FA2-FA331E648A36}"/>
    <cellStyle name="Accent1 2 3" xfId="189" xr:uid="{98DF25C9-48DD-4702-B1B6-A7F4E9551548}"/>
    <cellStyle name="Accent1 3" xfId="1725" xr:uid="{4D1EA6FF-0D88-4A59-89E7-BE76BE1CA138}"/>
    <cellStyle name="Accent1 4" xfId="1662" xr:uid="{0039A37E-C38A-422A-B7B6-E3EC32A358F1}"/>
    <cellStyle name="Accent2" xfId="25" builtinId="33" customBuiltin="1"/>
    <cellStyle name="Accent2 2" xfId="97" xr:uid="{68DC4F20-3E8D-4C1B-A2CC-7B1643D5DB50}"/>
    <cellStyle name="Accent2 2 2" xfId="1702" xr:uid="{B936F5CE-C9CA-48DE-A60C-FBCE30DBE803}"/>
    <cellStyle name="Accent2 2 3" xfId="190" xr:uid="{A4EC6A33-FEDA-4AB9-A539-C93021358240}"/>
    <cellStyle name="Accent2 3" xfId="1732" xr:uid="{3391A437-2E15-46CD-A349-3E4D6F0BC5E1}"/>
    <cellStyle name="Accent2 4" xfId="1666" xr:uid="{AFF52A8B-D105-4FA3-9273-48927FDBB56C}"/>
    <cellStyle name="Accent3" xfId="29" builtinId="37" customBuiltin="1"/>
    <cellStyle name="Accent3 2" xfId="98" xr:uid="{0768FB4B-46AE-48DA-963D-64013F2ACAF0}"/>
    <cellStyle name="Accent3 2 2" xfId="1703" xr:uid="{9B960FA7-1697-4E18-96D4-6885B9350D51}"/>
    <cellStyle name="Accent3 2 3" xfId="191" xr:uid="{FDA15465-2DEE-4628-B044-DFC375660473}"/>
    <cellStyle name="Accent3 3" xfId="1716" xr:uid="{48E07425-1EA6-44AC-AB90-61EA8945E2DF}"/>
    <cellStyle name="Accent3 4" xfId="1670" xr:uid="{2D40F52E-33BE-4A0C-B7A8-D42A78438E10}"/>
    <cellStyle name="Accent4" xfId="33" builtinId="41" customBuiltin="1"/>
    <cellStyle name="Accent4 2" xfId="99" xr:uid="{6CC6D209-8864-41A9-A287-3D3256BC9E78}"/>
    <cellStyle name="Accent4 2 2" xfId="1704" xr:uid="{18ADBC83-CB03-454F-BA9A-B74B42373BE5}"/>
    <cellStyle name="Accent4 2 3" xfId="192" xr:uid="{0368B444-33E1-43F7-9D19-F392B0F8106A}"/>
    <cellStyle name="Accent4 3" xfId="1723" xr:uid="{01E881E9-51CE-452A-AD9D-6AD8D28EA0AA}"/>
    <cellStyle name="Accent4 4" xfId="1674" xr:uid="{FFE3CEE7-38F9-455A-9619-B6C7ED596DAD}"/>
    <cellStyle name="Accent5" xfId="37" builtinId="45" customBuiltin="1"/>
    <cellStyle name="Accent5 2" xfId="193" xr:uid="{74D55E80-5D6B-4146-9CCC-0DD0F8E4B7F8}"/>
    <cellStyle name="Accent5 2 2" xfId="1705" xr:uid="{246F25B6-A39C-4D1C-8195-B9F4F7AA3741}"/>
    <cellStyle name="Accent5 3" xfId="1751" xr:uid="{97DBB1FA-FD09-42C8-B290-87BF0616A193}"/>
    <cellStyle name="Accent5 4" xfId="1678" xr:uid="{FACC43DE-887A-4DFC-8541-745D85364B48}"/>
    <cellStyle name="Accent6" xfId="41" builtinId="49" customBuiltin="1"/>
    <cellStyle name="Accent6 2" xfId="100" xr:uid="{6D31CD29-652D-4DB0-945F-4DF05B0AC4F5}"/>
    <cellStyle name="Accent6 2 2" xfId="1706" xr:uid="{14D932B0-B3BC-4ECB-B9A8-EED260B0A212}"/>
    <cellStyle name="Accent6 2 3" xfId="194" xr:uid="{59C86026-9535-4EA6-932A-9AF54C6F0B7C}"/>
    <cellStyle name="Accent6 3" xfId="1755" xr:uid="{91EAEEC1-464C-4E23-A12C-9EA820F59297}"/>
    <cellStyle name="Accent6 4" xfId="1682" xr:uid="{4DDEF17C-0F7E-45AD-8AB8-D3FB9305D9D1}"/>
    <cellStyle name="Bad" xfId="11" builtinId="27" customBuiltin="1"/>
    <cellStyle name="Bad 2" xfId="101" xr:uid="{154AD2E2-8866-4F0B-B2F9-7A4AA64A950C}"/>
    <cellStyle name="Bad 2 2" xfId="1692" xr:uid="{DC3193FF-005C-4A09-B286-F56BB258988B}"/>
    <cellStyle name="Bad 2 3" xfId="195" xr:uid="{EE6F7316-2771-45CF-98F1-5644896F9F97}"/>
    <cellStyle name="Bad 3" xfId="1712" xr:uid="{BAEC3A41-0BDC-4898-B19F-AEE3F2B4C19C}"/>
    <cellStyle name="Bad 4" xfId="1651" xr:uid="{3EC42629-F677-4C95-9E8B-192E2A937FFB}"/>
    <cellStyle name="Calculation" xfId="15" builtinId="22" customBuiltin="1"/>
    <cellStyle name="Calculation 2" xfId="102" xr:uid="{0F451EA9-17D5-421E-B51E-2333E888CFA4}"/>
    <cellStyle name="Calculation 2 2" xfId="1695" xr:uid="{382B5A28-DCF4-442D-9ED0-BB78B66C5801}"/>
    <cellStyle name="Calculation 2 3" xfId="196" xr:uid="{BC1B8EB4-0EC4-4579-849C-5155EAF3CC9F}"/>
    <cellStyle name="Calculation 3" xfId="1726" xr:uid="{4DBC7EAC-1244-478E-916F-C930EE6D65F3}"/>
    <cellStyle name="Calculation 4" xfId="1655" xr:uid="{E46E34EC-85B5-495F-95C8-0719EC43E96A}"/>
    <cellStyle name="Check Cell" xfId="17" builtinId="23" customBuiltin="1"/>
    <cellStyle name="Check Cell 2" xfId="197" xr:uid="{7772F7F4-D244-4BDB-8C63-CE8B7F3D8A72}"/>
    <cellStyle name="Check Cell 2 2" xfId="1697" xr:uid="{D4596C9A-F758-4188-9CCB-16A02539952E}"/>
    <cellStyle name="Check Cell 3" xfId="1718" xr:uid="{D277009B-B0D5-4986-BB14-1DD31C877DD4}"/>
    <cellStyle name="Check Cell 4" xfId="1657" xr:uid="{DC60281F-2375-4610-8D24-F5D0B27B3672}"/>
    <cellStyle name="Column Headings - size 10" xfId="758" xr:uid="{D4406128-49A0-498D-879A-3722657D00A2}"/>
    <cellStyle name="Column Headings - size 11" xfId="759" xr:uid="{D85FFB4D-A36C-4CC4-9375-DC1038511D53}"/>
    <cellStyle name="Column Headings - size 8" xfId="760" xr:uid="{7580DD70-4B95-4D3A-8725-D1F484982406}"/>
    <cellStyle name="Column Headings - size 9" xfId="761" xr:uid="{EA405317-08C6-4E37-A1CA-9B36D3A0621D}"/>
    <cellStyle name="Comma" xfId="1" builtinId="3"/>
    <cellStyle name="Comma [0] 2" xfId="125" xr:uid="{861840DA-BC2F-444F-ADDD-5803BB2C21AE}"/>
    <cellStyle name="Comma [0] 3" xfId="133" xr:uid="{843544E2-0D2A-4E93-944A-0EFF7A8A0BC7}"/>
    <cellStyle name="Comma [0] 4" xfId="119" xr:uid="{4E5BFD62-C53A-4DA2-BED4-1EF8E0C1C76F}"/>
    <cellStyle name="Comma 10" xfId="135" xr:uid="{B928962F-085F-4D5B-9EF4-19186C89237F}"/>
    <cellStyle name="Comma 10 2" xfId="944" xr:uid="{3A5CEE4C-F588-4287-AC27-EBD31F6FBB79}"/>
    <cellStyle name="Comma 11" xfId="138" xr:uid="{66729319-6284-466B-84E2-544A20550A20}"/>
    <cellStyle name="Comma 11 2" xfId="1016" xr:uid="{9219E070-4B03-4069-ADB7-85F2A64ED0B5}"/>
    <cellStyle name="Comma 11 3" xfId="986" xr:uid="{18E93ECF-4F43-4E27-B3C3-B27130344E5E}"/>
    <cellStyle name="Comma 12" xfId="137" xr:uid="{A4FB2D9C-7E8C-45A1-AC17-C42245E9CDF8}"/>
    <cellStyle name="Comma 12 10" xfId="4059" xr:uid="{FF7DFE1F-2C25-4EB4-AF32-B1A85559EAEB}"/>
    <cellStyle name="Comma 12 11" xfId="1015" xr:uid="{45E93544-DD4C-47CC-9B92-D69826DC9CCC}"/>
    <cellStyle name="Comma 12 2" xfId="1075" xr:uid="{5C6440D7-8BBE-43BA-B86A-EA217094B22D}"/>
    <cellStyle name="Comma 12 2 2" xfId="1182" xr:uid="{10CE456C-50F2-44F9-9072-9648BDD0E4E5}"/>
    <cellStyle name="Comma 12 2 2 2" xfId="1519" xr:uid="{463551DC-3635-4662-83D0-1C94D83765F5}"/>
    <cellStyle name="Comma 12 2 2 2 2" xfId="2578" xr:uid="{41473ED6-2329-460F-98D5-CE47EF06E524}"/>
    <cellStyle name="Comma 12 2 2 2 3" xfId="3229" xr:uid="{2177EF5D-79C7-4541-9CF5-5194B2CECB52}"/>
    <cellStyle name="Comma 12 2 2 2 4" xfId="3885" xr:uid="{5FFE8870-D8E9-4F1D-B5EF-1BE264688CF2}"/>
    <cellStyle name="Comma 12 2 2 2 5" xfId="4548" xr:uid="{19154437-EE4E-436A-872A-1B50AADBE4D8}"/>
    <cellStyle name="Comma 12 2 2 3" xfId="1973" xr:uid="{3BC655BD-BE8B-4A27-8D23-B480B1A2AF51}"/>
    <cellStyle name="Comma 12 2 2 4" xfId="2251" xr:uid="{5AF7FE4C-EB6A-4730-B99C-27A06131B527}"/>
    <cellStyle name="Comma 12 2 2 5" xfId="2902" xr:uid="{1BE53164-424D-4C1B-8676-F5C2C07B728E}"/>
    <cellStyle name="Comma 12 2 2 6" xfId="3558" xr:uid="{198524B2-2C92-4E1F-93C9-4BA0D1AEB4EE}"/>
    <cellStyle name="Comma 12 2 2 7" xfId="4221" xr:uid="{18769935-2FEC-4459-B551-858BA69C0121}"/>
    <cellStyle name="Comma 12 2 3" xfId="1296" xr:uid="{FA652EAE-E739-4D14-9ED1-D3D7BE79F868}"/>
    <cellStyle name="Comma 12 2 3 2" xfId="1627" xr:uid="{B666BCB4-ACFC-4CEF-8092-241F3D2899E9}"/>
    <cellStyle name="Comma 12 2 3 2 2" xfId="2686" xr:uid="{7D1C29D5-F2EF-4C1E-B985-32EC9090732A}"/>
    <cellStyle name="Comma 12 2 3 2 3" xfId="3337" xr:uid="{28889552-BCC8-4E5A-A74E-9F1493177A33}"/>
    <cellStyle name="Comma 12 2 3 2 4" xfId="3993" xr:uid="{8C061223-EB43-4FFE-97DE-4DCC8F525156}"/>
    <cellStyle name="Comma 12 2 3 2 5" xfId="4656" xr:uid="{264BA776-BBE2-47A2-B761-D7D045638AB2}"/>
    <cellStyle name="Comma 12 2 3 3" xfId="2359" xr:uid="{B3FE8CC3-4C06-42E0-9842-28975C05D842}"/>
    <cellStyle name="Comma 12 2 3 4" xfId="3010" xr:uid="{88FF712F-A6B0-4F41-9EF4-EE65150D46D6}"/>
    <cellStyle name="Comma 12 2 3 5" xfId="3666" xr:uid="{E73BF782-D798-4315-9325-2336776EA120}"/>
    <cellStyle name="Comma 12 2 3 6" xfId="4329" xr:uid="{13DA35F4-C46F-4962-9CEF-2BEE8CA6336D}"/>
    <cellStyle name="Comma 12 2 4" xfId="1411" xr:uid="{2F98625D-2BE0-4923-A0B9-78944925A352}"/>
    <cellStyle name="Comma 12 2 4 2" xfId="2470" xr:uid="{F600D2C2-6018-40FC-811E-0478E7CAB4A9}"/>
    <cellStyle name="Comma 12 2 4 3" xfId="3121" xr:uid="{E9737840-0441-4A31-A3BD-147EFFAA512E}"/>
    <cellStyle name="Comma 12 2 4 4" xfId="3777" xr:uid="{A3637328-A0B7-43E6-9835-AF0113C6ED73}"/>
    <cellStyle name="Comma 12 2 4 5" xfId="4440" xr:uid="{4D20A7F8-43A7-4BEF-AF37-52CAF985BC9E}"/>
    <cellStyle name="Comma 12 2 5" xfId="1878" xr:uid="{9A3194F6-92E2-4D38-8185-3180476888AC}"/>
    <cellStyle name="Comma 12 2 6" xfId="2143" xr:uid="{902B9339-3B71-4945-A281-98689DFCB5AF}"/>
    <cellStyle name="Comma 12 2 7" xfId="2794" xr:uid="{0E25E0B4-795F-4A6A-9FC8-6215FF179548}"/>
    <cellStyle name="Comma 12 2 8" xfId="3450" xr:uid="{0ADEA397-676E-44C3-8F88-19CF8BA9B36A}"/>
    <cellStyle name="Comma 12 2 9" xfId="4113" xr:uid="{6008035D-3FAB-4A1A-B55B-422C5D9484B6}"/>
    <cellStyle name="Comma 12 3" xfId="1128" xr:uid="{17309968-CDBB-4F79-8179-073E81DE4F8C}"/>
    <cellStyle name="Comma 12 3 2" xfId="1465" xr:uid="{02C667D0-A0E1-46D3-85ED-8AB799E5DB46}"/>
    <cellStyle name="Comma 12 3 2 2" xfId="2524" xr:uid="{5D4979F1-DEC4-4C54-8256-82431FCD1B1C}"/>
    <cellStyle name="Comma 12 3 2 3" xfId="3175" xr:uid="{D45A2543-B291-4C27-B271-CFD8A62124AB}"/>
    <cellStyle name="Comma 12 3 2 4" xfId="3831" xr:uid="{6022C64E-1240-4CCF-8499-BBD31E960164}"/>
    <cellStyle name="Comma 12 3 2 5" xfId="4494" xr:uid="{6814AD9A-487B-43E8-92DE-DC025B3BBA6D}"/>
    <cellStyle name="Comma 12 3 3" xfId="1978" xr:uid="{2747C88D-500F-458F-8D4C-38962191F6DC}"/>
    <cellStyle name="Comma 12 3 4" xfId="2197" xr:uid="{4BD5E33E-096D-480D-B761-1481CD8C51D7}"/>
    <cellStyle name="Comma 12 3 5" xfId="2848" xr:uid="{380F23E9-C967-45F7-ACE9-3C9FE27868FA}"/>
    <cellStyle name="Comma 12 3 6" xfId="3504" xr:uid="{D12CEDBA-A674-466D-A8E3-2A8BEF7A20A9}"/>
    <cellStyle name="Comma 12 3 7" xfId="4167" xr:uid="{F1EF39AB-E19A-4266-A6A7-9B016A1BFB67}"/>
    <cellStyle name="Comma 12 4" xfId="1242" xr:uid="{D50DFA7C-E057-4DEC-8D24-0888C0615B2F}"/>
    <cellStyle name="Comma 12 4 2" xfId="1573" xr:uid="{95A48FE8-5AEB-4F02-9A26-A2524E199833}"/>
    <cellStyle name="Comma 12 4 2 2" xfId="2632" xr:uid="{5D5AC97E-C6B3-4E59-BAA8-95A45AC14C45}"/>
    <cellStyle name="Comma 12 4 2 3" xfId="3283" xr:uid="{AC6EAF37-D97C-4BB2-95C3-9221391E2AFF}"/>
    <cellStyle name="Comma 12 4 2 4" xfId="3939" xr:uid="{041E0559-D372-4228-A29E-638F5DAC2FE4}"/>
    <cellStyle name="Comma 12 4 2 5" xfId="4602" xr:uid="{B1817DDE-8B89-4A66-B828-95448E2532B2}"/>
    <cellStyle name="Comma 12 4 3" xfId="2305" xr:uid="{2907DF35-1C73-4B7D-9B72-8A424AF083DF}"/>
    <cellStyle name="Comma 12 4 4" xfId="2956" xr:uid="{2367074F-F506-45B1-9ECD-5C33F3D00702}"/>
    <cellStyle name="Comma 12 4 5" xfId="3612" xr:uid="{46D1A17E-5EDC-4416-AC4B-0B48B88FBDCB}"/>
    <cellStyle name="Comma 12 4 6" xfId="4275" xr:uid="{C447CDC7-745E-4751-A36E-14E8ED61E4C2}"/>
    <cellStyle name="Comma 12 5" xfId="1357" xr:uid="{667ABE97-4AD1-4C9A-85A5-1704283C1C75}"/>
    <cellStyle name="Comma 12 5 2" xfId="2416" xr:uid="{41F6772C-5124-496B-872A-477A38288C32}"/>
    <cellStyle name="Comma 12 5 3" xfId="3067" xr:uid="{D8DF9AEF-68A1-4473-9731-74BFB9F835F2}"/>
    <cellStyle name="Comma 12 5 4" xfId="3723" xr:uid="{FE8A37D4-F2FA-4FCC-A927-B26A382FCCCE}"/>
    <cellStyle name="Comma 12 5 5" xfId="4386" xr:uid="{9BE66599-9325-4952-A1EF-C161493A8EAC}"/>
    <cellStyle name="Comma 12 6" xfId="1893" xr:uid="{F54E9969-5139-4EE9-8FE1-F60DED373AFF}"/>
    <cellStyle name="Comma 12 7" xfId="2089" xr:uid="{1A716998-075A-46F7-966C-C2C692EFE82C}"/>
    <cellStyle name="Comma 12 8" xfId="2740" xr:uid="{E8B85882-E339-47A4-9C41-1386A83A7FF9}"/>
    <cellStyle name="Comma 12 9" xfId="3396" xr:uid="{AC2821AC-BE6F-4476-A2D9-922082D7C814}"/>
    <cellStyle name="Comma 13" xfId="49" xr:uid="{0405DE44-7963-4EF4-8B05-05CA05F9AA91}"/>
    <cellStyle name="Comma 13 2" xfId="942" xr:uid="{CCC47DC8-9685-4437-B90D-8357D7F81DF1}"/>
    <cellStyle name="Comma 14" xfId="940" xr:uid="{BBC859DF-C9F2-483F-AA7E-2F8C10836F69}"/>
    <cellStyle name="Comma 14 2" xfId="1090" xr:uid="{0C71695A-343A-4568-820C-E8F0704E04C9}"/>
    <cellStyle name="Comma 14 2 2" xfId="1427" xr:uid="{8FCECAD3-56BE-440F-8694-DCB216309205}"/>
    <cellStyle name="Comma 14 2 2 2" xfId="2486" xr:uid="{EB376CE5-BA6B-48DC-A07C-F607A6909D01}"/>
    <cellStyle name="Comma 14 2 2 3" xfId="3137" xr:uid="{4AD9F528-37C5-45D2-A019-7FE68FA2E69E}"/>
    <cellStyle name="Comma 14 2 2 4" xfId="3793" xr:uid="{365BFFF3-97FE-4A50-9D30-79C45B97281C}"/>
    <cellStyle name="Comma 14 2 2 5" xfId="4456" xr:uid="{66C83A32-2B8E-4092-B715-44CDE9963095}"/>
    <cellStyle name="Comma 14 2 3" xfId="1859" xr:uid="{32853334-B4A8-4EDA-ABA7-86CFCCFA2470}"/>
    <cellStyle name="Comma 14 2 4" xfId="2159" xr:uid="{69AFDCE0-3ADC-4141-9B27-32AD4E9D615D}"/>
    <cellStyle name="Comma 14 2 5" xfId="2810" xr:uid="{CCA6C642-7819-4C4D-85A8-35B3CE97348E}"/>
    <cellStyle name="Comma 14 2 6" xfId="3466" xr:uid="{69A53496-C035-4CF8-8E3F-4D192364D6B4}"/>
    <cellStyle name="Comma 14 2 7" xfId="4129" xr:uid="{4EDDE329-B517-44AB-B3EA-D302579550FE}"/>
    <cellStyle name="Comma 14 3" xfId="1204" xr:uid="{50925A05-9B89-4A39-B9D9-A0A1ED5BB646}"/>
    <cellStyle name="Comma 14 3 2" xfId="1535" xr:uid="{8F5920C1-5CD7-4EA1-8E35-83F6F38495C0}"/>
    <cellStyle name="Comma 14 3 2 2" xfId="2594" xr:uid="{5BB36C91-9063-4298-8A5F-E3444388425C}"/>
    <cellStyle name="Comma 14 3 2 3" xfId="3245" xr:uid="{6E957A83-1FCB-419B-A189-C88F61E68022}"/>
    <cellStyle name="Comma 14 3 2 4" xfId="3901" xr:uid="{6D550BCD-609D-4E0E-9611-2ED452092206}"/>
    <cellStyle name="Comma 14 3 2 5" xfId="4564" xr:uid="{D73AE5C1-A4C8-40B9-9720-968F67455134}"/>
    <cellStyle name="Comma 14 3 3" xfId="2267" xr:uid="{CCAE9B0F-B72D-477F-996E-4BB63F741C39}"/>
    <cellStyle name="Comma 14 3 4" xfId="2918" xr:uid="{BA6B70C3-B9F1-4E50-8E7C-08160023321C}"/>
    <cellStyle name="Comma 14 3 5" xfId="3574" xr:uid="{E0F68BBF-E117-4AB6-80CA-62F6D5D4B893}"/>
    <cellStyle name="Comma 14 3 6" xfId="4237" xr:uid="{E21E2D99-FBBD-4D14-B473-F6D09DD27BC6}"/>
    <cellStyle name="Comma 14 4" xfId="1319" xr:uid="{F32EF968-5DD1-4FFE-8FF9-19524589CB6E}"/>
    <cellStyle name="Comma 14 4 2" xfId="2378" xr:uid="{C3B5970D-D162-4FD4-9136-CB5A84481389}"/>
    <cellStyle name="Comma 14 4 3" xfId="3029" xr:uid="{461E8F51-B967-4406-ACA4-96986A1F8B10}"/>
    <cellStyle name="Comma 14 4 4" xfId="3685" xr:uid="{6AAD0663-EE09-4442-AA5D-07A2BCA6FFF1}"/>
    <cellStyle name="Comma 14 4 5" xfId="4348" xr:uid="{A0644900-8DE9-42DF-B33F-E605DE75DC60}"/>
    <cellStyle name="Comma 14 5" xfId="1782" xr:uid="{B26D6389-4F40-4D0B-83E1-77970ACBE942}"/>
    <cellStyle name="Comma 14 6" xfId="2051" xr:uid="{1837504C-BB6D-48C3-AECE-A69C60A2C1A4}"/>
    <cellStyle name="Comma 14 7" xfId="2702" xr:uid="{322487F8-73DF-460B-8575-9D952A5F7063}"/>
    <cellStyle name="Comma 14 8" xfId="3356" xr:uid="{3E35FDD6-8404-4A93-92EA-23745E682907}"/>
    <cellStyle name="Comma 14 9" xfId="4021" xr:uid="{D08C1713-EBBA-42BC-BE1D-895651AB3C5D}"/>
    <cellStyle name="Comma 15" xfId="1025" xr:uid="{916EA07D-0D66-4DC3-A3F4-838026EBC5B5}"/>
    <cellStyle name="Comma 15 2" xfId="1132" xr:uid="{34195F7E-7A4F-40C7-BFA4-598F610BDEFA}"/>
    <cellStyle name="Comma 15 2 2" xfId="1469" xr:uid="{6B4F4697-CCA0-411B-890C-3522CE3D7C4C}"/>
    <cellStyle name="Comma 15 2 2 2" xfId="2528" xr:uid="{C528DFE7-D530-43B0-90BC-1DC1AE451AF4}"/>
    <cellStyle name="Comma 15 2 2 3" xfId="3179" xr:uid="{0E81FAC0-D81C-4F5B-B182-CF1287A2E754}"/>
    <cellStyle name="Comma 15 2 2 4" xfId="3835" xr:uid="{6765F5BE-F89A-401E-9EF6-6BDEDA4F7658}"/>
    <cellStyle name="Comma 15 2 2 5" xfId="4498" xr:uid="{BA8315A9-9580-483E-A6D9-9A02342A6D1B}"/>
    <cellStyle name="Comma 15 2 3" xfId="1997" xr:uid="{84940741-7535-452B-B53F-44FF931CD3D5}"/>
    <cellStyle name="Comma 15 2 4" xfId="2201" xr:uid="{9259B7B8-0EAA-4F51-9F88-BC17A3636B1B}"/>
    <cellStyle name="Comma 15 2 5" xfId="2852" xr:uid="{3853C496-AD2A-4973-B7B1-F76471270543}"/>
    <cellStyle name="Comma 15 2 6" xfId="3508" xr:uid="{D1BE85A7-8B9F-4B0A-B2C5-CC45D3295762}"/>
    <cellStyle name="Comma 15 2 7" xfId="4171" xr:uid="{D6E84BCB-4C84-4221-A107-D8E07277DA43}"/>
    <cellStyle name="Comma 15 3" xfId="1246" xr:uid="{6B7367EB-E7EF-4224-995C-E591116327EA}"/>
    <cellStyle name="Comma 15 3 2" xfId="1577" xr:uid="{EA4E5708-1487-4127-9FB3-7CDAF47DAFFC}"/>
    <cellStyle name="Comma 15 3 2 2" xfId="2636" xr:uid="{01EB5121-125A-40D6-9FC5-E1DCB300BA05}"/>
    <cellStyle name="Comma 15 3 2 3" xfId="3287" xr:uid="{D92ACACC-1A4E-4B90-925F-E997827204AA}"/>
    <cellStyle name="Comma 15 3 2 4" xfId="3943" xr:uid="{08A4EA5F-EA00-4333-BEF1-800069D54359}"/>
    <cellStyle name="Comma 15 3 2 5" xfId="4606" xr:uid="{DA5F07E8-C0AD-448D-8102-5F94899B2D39}"/>
    <cellStyle name="Comma 15 3 3" xfId="2309" xr:uid="{48615985-2076-42B3-B7C7-86A7D422F440}"/>
    <cellStyle name="Comma 15 3 4" xfId="2960" xr:uid="{F9A71485-3A68-42B9-8631-794C657713A8}"/>
    <cellStyle name="Comma 15 3 5" xfId="3616" xr:uid="{5236BCE1-B4AE-4A1F-8E32-89AD1082E9F8}"/>
    <cellStyle name="Comma 15 3 6" xfId="4279" xr:uid="{C26F567F-E21D-41D9-9471-CFFEAB479539}"/>
    <cellStyle name="Comma 15 4" xfId="1361" xr:uid="{74FDECC1-943F-44BF-A311-066BB4E1B8E6}"/>
    <cellStyle name="Comma 15 4 2" xfId="2420" xr:uid="{B7CF4A92-5B1A-4FFA-86EC-9D196A873CC0}"/>
    <cellStyle name="Comma 15 4 3" xfId="3071" xr:uid="{27CB324D-DDD0-48B8-A380-B62B84A00943}"/>
    <cellStyle name="Comma 15 4 4" xfId="3727" xr:uid="{76CCBB65-A475-447A-B51E-87A205E68530}"/>
    <cellStyle name="Comma 15 4 5" xfId="4390" xr:uid="{164CC926-0FFE-4423-8312-0F10F8D03EB4}"/>
    <cellStyle name="Comma 15 5" xfId="1864" xr:uid="{1F68BA7F-D180-4D79-8718-60D3BC345CA7}"/>
    <cellStyle name="Comma 15 6" xfId="2093" xr:uid="{6C0B8C26-86F2-4851-B751-DDD7DB41448A}"/>
    <cellStyle name="Comma 15 7" xfId="2744" xr:uid="{1A5E5947-E4C6-47B2-9CCA-4133EEF0F98E}"/>
    <cellStyle name="Comma 15 8" xfId="3400" xr:uid="{98A7E5C1-E102-4E9D-BCCD-1B4F52232182}"/>
    <cellStyle name="Comma 15 9" xfId="4063" xr:uid="{7D08A4BF-2596-4CC8-B9FB-BE0602035D60}"/>
    <cellStyle name="Comma 16" xfId="1190" xr:uid="{C09E2D4C-7C63-4FBA-986D-F047F6D44569}"/>
    <cellStyle name="Comma 17" xfId="1187" xr:uid="{BCDD950D-7BCC-46A8-A8C3-2432FE179CD3}"/>
    <cellStyle name="Comma 18" xfId="1189" xr:uid="{7795C459-DAEE-46B3-BE9F-26FA36149322}"/>
    <cellStyle name="Comma 19" xfId="1314" xr:uid="{DA3DCABA-D144-4268-BBC2-C121BA33F362}"/>
    <cellStyle name="Comma 2" xfId="53" xr:uid="{7743F8F7-A4F9-4711-BC6D-A40D35BD94DF}"/>
    <cellStyle name="Comma 2 2" xfId="147" xr:uid="{0DFB0751-2636-40FC-8FCF-9BD6AA882979}"/>
    <cellStyle name="Comma 2 2 2" xfId="762" xr:uid="{EBE06318-A694-4795-BCA3-856829065439}"/>
    <cellStyle name="Comma 2 2 3" xfId="394" xr:uid="{12AA3CBC-C4C1-497B-92FE-F43A15EBDBD9}"/>
    <cellStyle name="Comma 2 3" xfId="72" xr:uid="{EBDDB978-2DDA-4660-802A-969D943502AE}"/>
    <cellStyle name="Comma 2 3 2" xfId="1763" xr:uid="{F4F68EB0-B202-4C14-8086-594575EB9BF9}"/>
    <cellStyle name="Comma 2 3 3" xfId="763" xr:uid="{CBF9758E-AC91-40CB-BFFA-023F805DEF56}"/>
    <cellStyle name="Comma 2 4" xfId="1761" xr:uid="{A03DEDA0-DC5B-440A-ACEF-503FECA0D0C2}"/>
    <cellStyle name="Comma 2 5" xfId="1749" xr:uid="{872355F8-48C6-473E-AB81-211ECFABF8E0}"/>
    <cellStyle name="Comma 20" xfId="1316" xr:uid="{CAED2882-56F8-4A1D-9532-889B16C3D83E}"/>
    <cellStyle name="Comma 21" xfId="1317" xr:uid="{62BA118D-CF23-4369-99F7-9640D27E1CD4}"/>
    <cellStyle name="Comma 22" xfId="1631" xr:uid="{A8D608B5-A6A0-4556-A38F-0A07E078D976}"/>
    <cellStyle name="Comma 23" xfId="1637" xr:uid="{D51B7083-6F47-4495-B58B-BF711D069F05}"/>
    <cellStyle name="Comma 24" xfId="1634" xr:uid="{BBC97627-396D-47CF-8F9A-BA2F5C109201}"/>
    <cellStyle name="Comma 25" xfId="1632" xr:uid="{71BF87D3-7976-47BD-9940-4FE2F027D3AF}"/>
    <cellStyle name="Comma 26" xfId="1633" xr:uid="{C7B3445D-9077-4A35-A1E1-9CC702DE8BF0}"/>
    <cellStyle name="Comma 27" xfId="1635" xr:uid="{E1D09644-635D-4F64-94B8-150B2DAED859}"/>
    <cellStyle name="Comma 28" xfId="1636" xr:uid="{4902D418-7EF7-4EDE-93AB-E9C95EB456ED}"/>
    <cellStyle name="Comma 29" xfId="1630" xr:uid="{281C6A42-2EF4-446D-952C-F0D9049B8B83}"/>
    <cellStyle name="Comma 3" xfId="124" xr:uid="{A42D519F-D6BA-43E0-8DE2-F3B9D579430E}"/>
    <cellStyle name="Comma 3 2" xfId="139" xr:uid="{6D8267E6-D70D-40E3-9022-744868522F5C}"/>
    <cellStyle name="Comma 3 2 2" xfId="1793" xr:uid="{C02F24A5-4E44-4076-B819-995569FAC3AB}"/>
    <cellStyle name="Comma 3 2 3" xfId="1764" xr:uid="{22BA643D-5994-40B6-9304-A56E71FE751F}"/>
    <cellStyle name="Comma 3 2 4" xfId="199" xr:uid="{28E30122-7C59-4322-8C4C-BFE65ECAC1A6}"/>
    <cellStyle name="Comma 3 3" xfId="946" xr:uid="{04781105-CD99-4F0F-BACE-7132A74CFB8C}"/>
    <cellStyle name="Comma 3 3 2" xfId="947" xr:uid="{60558266-7AB9-46E0-9AE6-651631488B5A}"/>
    <cellStyle name="Comma 3 3 3" xfId="1794" xr:uid="{9AE83A7B-5B6E-4166-AEC4-6D60C8F344D9}"/>
    <cellStyle name="Comma 3 3 4" xfId="1744" xr:uid="{BC8857D2-0EB2-4691-A7E3-5757C1B3669B}"/>
    <cellStyle name="Comma 3 4" xfId="945" xr:uid="{FE3F87BD-1D42-433F-BD86-B61C5BC7DE80}"/>
    <cellStyle name="Comma 3 5" xfId="764" xr:uid="{58E7A542-8275-4D9F-9253-386A284C4C56}"/>
    <cellStyle name="Comma 3 6" xfId="198" xr:uid="{31D16CE8-5ECE-415A-B7BF-59BC15F7D2E1}"/>
    <cellStyle name="Comma 30" xfId="1299" xr:uid="{2E2DA360-C000-49FF-9F46-BA30BFA78310}"/>
    <cellStyle name="Comma 30 2" xfId="2363" xr:uid="{B8AA5914-94F7-42A0-8BD1-063427B4417A}"/>
    <cellStyle name="Comma 30 3" xfId="3014" xr:uid="{124425A8-A19E-4E41-A9E5-3EE224E0A76D}"/>
    <cellStyle name="Comma 30 4" xfId="3670" xr:uid="{76CD0470-FF4D-4D42-9BD8-835407018C25}"/>
    <cellStyle name="Comma 30 5" xfId="4333" xr:uid="{9605FC80-CAF0-4881-A631-E0D76C53854D}"/>
    <cellStyle name="Comma 31" xfId="937" xr:uid="{EAAEF5DD-C4E2-4663-BD16-86C4B9D7FE50}"/>
    <cellStyle name="Comma 32" xfId="1785" xr:uid="{614D901D-C95D-4992-91C8-DEE39EC9B041}"/>
    <cellStyle name="Comma 33" xfId="1789" xr:uid="{86BA2EF3-9BF0-4128-AEDD-5ED637D414CD}"/>
    <cellStyle name="Comma 34" xfId="1845" xr:uid="{22D61457-2B29-48F0-AF6D-FAC49C3ABCAE}"/>
    <cellStyle name="Comma 35" xfId="1861" xr:uid="{6C4594EA-AEC5-4568-BCF5-B6951A270A1B}"/>
    <cellStyle name="Comma 36" xfId="1882" xr:uid="{415B1584-EB8D-42B4-B0E3-5DF971A3F44C}"/>
    <cellStyle name="Comma 37" xfId="1849" xr:uid="{384BD128-3465-44C6-BB34-B2C52E90CE36}"/>
    <cellStyle name="Comma 38" xfId="3341" xr:uid="{B75B98FB-81B7-4D84-8B3A-6655FD4052CD}"/>
    <cellStyle name="Comma 39" xfId="3361" xr:uid="{D36EDB21-A78C-4B2E-A853-81B97B54778D}"/>
    <cellStyle name="Comma 4" xfId="132" xr:uid="{C77CA70F-C2B3-4725-B076-0624ED9F1395}"/>
    <cellStyle name="Comma 4 10" xfId="2703" xr:uid="{2F62952D-E72E-4B83-A91D-6B0415CECC10}"/>
    <cellStyle name="Comma 4 11" xfId="3357" xr:uid="{370B3255-F3AD-41B7-BF82-7ECC19EA06FD}"/>
    <cellStyle name="Comma 4 12" xfId="4022" xr:uid="{53552CD8-AC8F-46FE-8EEC-3852A1139BF7}"/>
    <cellStyle name="Comma 4 13" xfId="1795" xr:uid="{FB2F02AE-C2B5-45E8-AAA1-AEEB5EC50E83}"/>
    <cellStyle name="Comma 4 14" xfId="765" xr:uid="{7CB36FDE-43D8-4F12-841B-60E367D430C9}"/>
    <cellStyle name="Comma 4 15" xfId="200" xr:uid="{C7FEFD6F-27C3-4993-A1FA-51CC40C30388}"/>
    <cellStyle name="Comma 4 2" xfId="144" xr:uid="{063D2169-0205-4E0B-A3D9-F324AFCE352F}"/>
    <cellStyle name="Comma 4 2 10" xfId="4038" xr:uid="{A2C5C5D8-09BB-48DE-B4AA-B7FFDECE6EF9}"/>
    <cellStyle name="Comma 4 2 11" xfId="766" xr:uid="{14464026-0892-4DD8-8710-35D6F35DA88F}"/>
    <cellStyle name="Comma 4 2 12" xfId="262" xr:uid="{63919B78-F9BC-40B9-BEC5-EAFF12FF7E15}"/>
    <cellStyle name="Comma 4 2 2" xfId="359" xr:uid="{F60A9C23-AE20-412D-A0BB-96B5004A9D55}"/>
    <cellStyle name="Comma 4 2 2 10" xfId="1054" xr:uid="{D37D08C6-2A55-45E8-93A8-C6852A65D5F2}"/>
    <cellStyle name="Comma 4 2 2 2" xfId="475" xr:uid="{D1B9E3B3-2FBF-41B8-9695-D8D64BF90607}"/>
    <cellStyle name="Comma 4 2 2 2 2" xfId="694" xr:uid="{BB800EC6-6BB2-4EC2-BBA7-8A20A0AA4FA5}"/>
    <cellStyle name="Comma 4 2 2 2 2 2" xfId="2557" xr:uid="{5D253204-1763-4C1C-A968-DB6F7ED000C2}"/>
    <cellStyle name="Comma 4 2 2 2 2 3" xfId="3208" xr:uid="{926BB270-C7A8-4302-889E-307BCE3AEDA0}"/>
    <cellStyle name="Comma 4 2 2 2 2 4" xfId="3864" xr:uid="{C2BC0D42-E2A9-46A1-9067-CA0A2716DE71}"/>
    <cellStyle name="Comma 4 2 2 2 2 5" xfId="4527" xr:uid="{4AC7D352-63FF-4AD2-B01B-AA028DBA2110}"/>
    <cellStyle name="Comma 4 2 2 2 2 6" xfId="1498" xr:uid="{6FC613C6-5F25-44C5-A636-09B6A9A09F28}"/>
    <cellStyle name="Comma 4 2 2 2 3" xfId="1837" xr:uid="{B204CB57-9E24-404A-8CB2-8C1764DA3DE0}"/>
    <cellStyle name="Comma 4 2 2 2 4" xfId="2230" xr:uid="{52D8F5C1-6D4E-4ACA-8D3D-980E771B08C5}"/>
    <cellStyle name="Comma 4 2 2 2 5" xfId="2881" xr:uid="{201D4E97-2E25-4B80-91C8-6D6F2A2D913B}"/>
    <cellStyle name="Comma 4 2 2 2 6" xfId="3537" xr:uid="{76662FEE-910C-4E86-A76E-EBE9F7275FFA}"/>
    <cellStyle name="Comma 4 2 2 2 7" xfId="4200" xr:uid="{674D0249-D2E5-40B5-A405-46336B13819B}"/>
    <cellStyle name="Comma 4 2 2 2 8" xfId="1161" xr:uid="{78687763-98FB-44D9-9902-9CFCAB9CF985}"/>
    <cellStyle name="Comma 4 2 2 3" xfId="584" xr:uid="{DD079F2B-44B7-4B16-A91E-BEFFAB711715}"/>
    <cellStyle name="Comma 4 2 2 3 2" xfId="1606" xr:uid="{10C75A1C-2229-4B52-B102-10EEB920FE7A}"/>
    <cellStyle name="Comma 4 2 2 3 2 2" xfId="2665" xr:uid="{03A35B86-CD90-4F8E-8068-2BDFD067F0A2}"/>
    <cellStyle name="Comma 4 2 2 3 2 3" xfId="3316" xr:uid="{3D237D3B-ACA8-4F4E-8997-1A15674FF59D}"/>
    <cellStyle name="Comma 4 2 2 3 2 4" xfId="3972" xr:uid="{AE0A648D-3F83-4056-8159-8860A150C02C}"/>
    <cellStyle name="Comma 4 2 2 3 2 5" xfId="4635" xr:uid="{5B0E7740-66E3-4ED0-8EA2-F952CAAD808C}"/>
    <cellStyle name="Comma 4 2 2 3 3" xfId="2338" xr:uid="{62A5C4EB-E148-4886-B944-FBD627AF0C07}"/>
    <cellStyle name="Comma 4 2 2 3 4" xfId="2989" xr:uid="{D4BAEE56-1D61-4ECB-BB2E-1348B6D1534B}"/>
    <cellStyle name="Comma 4 2 2 3 5" xfId="3645" xr:uid="{8EA996C9-258E-4A5D-9C0F-4882F7CD2CC4}"/>
    <cellStyle name="Comma 4 2 2 3 6" xfId="4308" xr:uid="{886A5AD7-4154-4314-A98A-65FB5C933F44}"/>
    <cellStyle name="Comma 4 2 2 3 7" xfId="1275" xr:uid="{1FB455F1-6056-41A2-BE7D-A77CBCAF3DF8}"/>
    <cellStyle name="Comma 4 2 2 4" xfId="1390" xr:uid="{B2B1A94C-43D1-467F-ABA1-8CFA13C30BD1}"/>
    <cellStyle name="Comma 4 2 2 4 2" xfId="2449" xr:uid="{E923C12C-6244-46FF-A53C-31CC2B505A0F}"/>
    <cellStyle name="Comma 4 2 2 4 3" xfId="3100" xr:uid="{B45A40AB-9D43-4C00-BC22-5E616733258F}"/>
    <cellStyle name="Comma 4 2 2 4 4" xfId="3756" xr:uid="{F2D999CB-2D52-4C52-9B85-93A81CF609FD}"/>
    <cellStyle name="Comma 4 2 2 4 5" xfId="4419" xr:uid="{636912C8-A0DB-496E-AD4F-D549E5E7BB09}"/>
    <cellStyle name="Comma 4 2 2 5" xfId="1976" xr:uid="{FD340F04-A157-417B-A2EB-34D8914B4232}"/>
    <cellStyle name="Comma 4 2 2 6" xfId="2122" xr:uid="{2E7700A9-CC93-4CF9-B3FF-63944C656C16}"/>
    <cellStyle name="Comma 4 2 2 7" xfId="2773" xr:uid="{AE9D22D2-3D66-46F0-BA22-9314AF3F58FE}"/>
    <cellStyle name="Comma 4 2 2 8" xfId="3429" xr:uid="{40EA894B-4AE7-49BE-98B6-2E635ADB84DE}"/>
    <cellStyle name="Comma 4 2 2 9" xfId="4092" xr:uid="{EED9B798-999E-4022-8D9A-E88F59929E3A}"/>
    <cellStyle name="Comma 4 2 3" xfId="431" xr:uid="{988FB55B-5D3F-45AB-B0E9-B21944E1B957}"/>
    <cellStyle name="Comma 4 2 3 2" xfId="650" xr:uid="{51AB8238-30AF-497A-8D11-C18A4FEF0515}"/>
    <cellStyle name="Comma 4 2 3 2 2" xfId="2503" xr:uid="{760D6EE4-BD68-462D-BDDC-B10874661036}"/>
    <cellStyle name="Comma 4 2 3 2 3" xfId="3154" xr:uid="{E21F23B5-40F9-4908-BCE7-980E78C6BE9A}"/>
    <cellStyle name="Comma 4 2 3 2 4" xfId="3810" xr:uid="{3BD6F7C9-DC62-4632-A46A-184DDE403700}"/>
    <cellStyle name="Comma 4 2 3 2 5" xfId="4473" xr:uid="{5E83E634-EDC2-46A5-919F-8E87895AE9A0}"/>
    <cellStyle name="Comma 4 2 3 2 6" xfId="1444" xr:uid="{F0F12EB7-A61D-4741-A979-168AEFBB904E}"/>
    <cellStyle name="Comma 4 2 3 3" xfId="2009" xr:uid="{6C69319E-6E39-4F87-9991-4774022A4425}"/>
    <cellStyle name="Comma 4 2 3 4" xfId="2176" xr:uid="{33592282-798A-4B97-AF4E-66D67ED251F9}"/>
    <cellStyle name="Comma 4 2 3 5" xfId="2827" xr:uid="{AC28506B-85F8-4451-B52E-1DDC524598E0}"/>
    <cellStyle name="Comma 4 2 3 6" xfId="3483" xr:uid="{1DEAD88F-377D-4D3B-A968-49756B26A8A2}"/>
    <cellStyle name="Comma 4 2 3 7" xfId="4146" xr:uid="{76DA6A38-1DE6-4EE0-A730-3C09D06B46A3}"/>
    <cellStyle name="Comma 4 2 3 8" xfId="1107" xr:uid="{13FDC7FC-D463-4116-8F42-4A9CAC5E2788}"/>
    <cellStyle name="Comma 4 2 4" xfId="540" xr:uid="{9901DF58-72CD-476F-8B70-EFFA0D59ABD8}"/>
    <cellStyle name="Comma 4 2 4 2" xfId="1552" xr:uid="{3C6CD337-0700-4B55-AA69-40161D4A2234}"/>
    <cellStyle name="Comma 4 2 4 2 2" xfId="2611" xr:uid="{BE2EA1C5-1407-49E5-A9D7-51E89D900588}"/>
    <cellStyle name="Comma 4 2 4 2 3" xfId="3262" xr:uid="{B34AEF81-C261-486C-A749-E0A3D6679F3C}"/>
    <cellStyle name="Comma 4 2 4 2 4" xfId="3918" xr:uid="{7858C7EE-2573-4505-9146-73B02E6DB845}"/>
    <cellStyle name="Comma 4 2 4 2 5" xfId="4581" xr:uid="{CF6F70C2-0CF3-490C-BAEE-859B0DBD57D9}"/>
    <cellStyle name="Comma 4 2 4 3" xfId="2284" xr:uid="{90E4A27C-AE06-447A-834D-C41A58FEEA25}"/>
    <cellStyle name="Comma 4 2 4 4" xfId="2935" xr:uid="{A0B422AF-F1AC-4A43-9D74-D7EF14C818E8}"/>
    <cellStyle name="Comma 4 2 4 5" xfId="3591" xr:uid="{AE065BBA-F840-4A9C-9512-B9E5D735BD33}"/>
    <cellStyle name="Comma 4 2 4 6" xfId="4254" xr:uid="{3B53FBA4-4822-4852-BB23-F67FA1F97A16}"/>
    <cellStyle name="Comma 4 2 4 7" xfId="1221" xr:uid="{A0557219-5523-4BBC-9B45-3081B80FF150}"/>
    <cellStyle name="Comma 4 2 5" xfId="310" xr:uid="{6D635EF7-3CEA-42A0-8B51-01ADF32B0962}"/>
    <cellStyle name="Comma 4 2 5 2" xfId="2395" xr:uid="{9685F8AA-8BB4-495F-ACBD-CD765F779B4C}"/>
    <cellStyle name="Comma 4 2 5 3" xfId="3046" xr:uid="{BD3A7E44-0851-40EE-B2A0-D7580023E48C}"/>
    <cellStyle name="Comma 4 2 5 4" xfId="3702" xr:uid="{4AE869DE-8B5E-455C-87D1-73C9ED4B2744}"/>
    <cellStyle name="Comma 4 2 5 5" xfId="4365" xr:uid="{0148657C-2EA9-4461-AA77-50CED9E64C16}"/>
    <cellStyle name="Comma 4 2 5 6" xfId="1336" xr:uid="{7C42D564-0188-42E2-95A0-2BB58EB27740}"/>
    <cellStyle name="Comma 4 2 6" xfId="987" xr:uid="{28A9F809-7288-416B-9C98-360695EEF10D}"/>
    <cellStyle name="Comma 4 2 7" xfId="2068" xr:uid="{24DB4F77-02A4-4449-A4CD-5D91E83F5C67}"/>
    <cellStyle name="Comma 4 2 8" xfId="2719" xr:uid="{7E272A22-B3B0-4383-A9FB-A88F477B4671}"/>
    <cellStyle name="Comma 4 2 9" xfId="3374" xr:uid="{0A77B31D-5B76-4C6C-A139-04B0805A8F4F}"/>
    <cellStyle name="Comma 4 3" xfId="380" xr:uid="{41089E78-480A-4C19-8115-6ECB0C02E1D7}"/>
    <cellStyle name="Comma 4 3 10" xfId="4055" xr:uid="{E993F3A8-3BF9-4CA3-B43D-92C5E9F6B1D7}"/>
    <cellStyle name="Comma 4 3 11" xfId="1009" xr:uid="{CDFAAA61-3F58-4FD5-9B82-DB59439205A0}"/>
    <cellStyle name="Comma 4 3 2" xfId="494" xr:uid="{62E8D11E-B9FA-43A8-8118-141D2600C18C}"/>
    <cellStyle name="Comma 4 3 2 10" xfId="1071" xr:uid="{45590BAA-1592-4325-B576-87BEC2073AEE}"/>
    <cellStyle name="Comma 4 3 2 2" xfId="713" xr:uid="{601C8D9D-3AA1-47D9-8318-948E00EC8F3C}"/>
    <cellStyle name="Comma 4 3 2 2 2" xfId="1515" xr:uid="{A5C09E1D-6158-4155-8717-5C6B20937287}"/>
    <cellStyle name="Comma 4 3 2 2 2 2" xfId="2574" xr:uid="{E6119D3E-F436-49A5-8415-85461D488091}"/>
    <cellStyle name="Comma 4 3 2 2 2 3" xfId="3225" xr:uid="{86F22677-7731-4577-BBAC-49FE58C309C7}"/>
    <cellStyle name="Comma 4 3 2 2 2 4" xfId="3881" xr:uid="{BD5FBE1E-20BE-4306-8C30-1B80F293671D}"/>
    <cellStyle name="Comma 4 3 2 2 2 5" xfId="4544" xr:uid="{9764D83D-46CD-4776-9A1C-F9026731EA63}"/>
    <cellStyle name="Comma 4 3 2 2 3" xfId="1900" xr:uid="{B24C23D8-B89D-4459-A55A-7A69ADE52289}"/>
    <cellStyle name="Comma 4 3 2 2 4" xfId="2247" xr:uid="{2B69FE09-3F45-45F0-8303-6404F82E2901}"/>
    <cellStyle name="Comma 4 3 2 2 5" xfId="2898" xr:uid="{4FFE8D4F-E9C2-4A41-892C-9794CF69500E}"/>
    <cellStyle name="Comma 4 3 2 2 6" xfId="3554" xr:uid="{7AB359CB-1D89-41FF-A939-812EC4613688}"/>
    <cellStyle name="Comma 4 3 2 2 7" xfId="4217" xr:uid="{9EE96A32-5159-438A-88D4-13BAD5A1CC6F}"/>
    <cellStyle name="Comma 4 3 2 2 8" xfId="1178" xr:uid="{8C508E9B-AE59-4E11-ABC2-591AE51A4C86}"/>
    <cellStyle name="Comma 4 3 2 3" xfId="1292" xr:uid="{5F8AC4F8-06BF-4540-ABEF-F53F9AF2DEB1}"/>
    <cellStyle name="Comma 4 3 2 3 2" xfId="1623" xr:uid="{95A201DB-BB70-43EB-BC33-A2433A202AB4}"/>
    <cellStyle name="Comma 4 3 2 3 2 2" xfId="2682" xr:uid="{7B822394-2551-41CB-9C6B-8AB131FCCFD3}"/>
    <cellStyle name="Comma 4 3 2 3 2 3" xfId="3333" xr:uid="{C16DAD4B-6FE2-4337-B533-9BADCFCC4917}"/>
    <cellStyle name="Comma 4 3 2 3 2 4" xfId="3989" xr:uid="{1F8C740A-A478-4183-B80B-5E294EE53EDF}"/>
    <cellStyle name="Comma 4 3 2 3 2 5" xfId="4652" xr:uid="{49EE67E9-D425-44AA-B6A2-1FCAA0AF5D5C}"/>
    <cellStyle name="Comma 4 3 2 3 3" xfId="2355" xr:uid="{6CE89075-C026-44EE-8644-BCAA0B3F8A13}"/>
    <cellStyle name="Comma 4 3 2 3 4" xfId="3006" xr:uid="{D395D2C0-3001-4DFE-A128-31EE1E5CBEEA}"/>
    <cellStyle name="Comma 4 3 2 3 5" xfId="3662" xr:uid="{7ABA0A2C-EED4-4F36-94BB-8896AEA7E3C5}"/>
    <cellStyle name="Comma 4 3 2 3 6" xfId="4325" xr:uid="{04785A9D-D942-4A58-9B6A-DA8BE52C9A24}"/>
    <cellStyle name="Comma 4 3 2 4" xfId="1407" xr:uid="{35B2D7EA-3D88-42BE-9DBE-38AC7FBC8006}"/>
    <cellStyle name="Comma 4 3 2 4 2" xfId="2466" xr:uid="{B7537A7F-DA5D-4C49-8F4D-1DF20FEA7DA8}"/>
    <cellStyle name="Comma 4 3 2 4 3" xfId="3117" xr:uid="{65B02AB6-7935-4B54-AB3D-8BCD21EE5B0A}"/>
    <cellStyle name="Comma 4 3 2 4 4" xfId="3773" xr:uid="{869AFDEC-E764-4E41-899A-F88E7280B005}"/>
    <cellStyle name="Comma 4 3 2 4 5" xfId="4436" xr:uid="{106EE315-CB3B-40EF-8882-4DEB3397A20C}"/>
    <cellStyle name="Comma 4 3 2 5" xfId="1838" xr:uid="{2792084E-0BC3-43DE-9BD1-0B70DBE0355B}"/>
    <cellStyle name="Comma 4 3 2 6" xfId="2139" xr:uid="{0CD47A59-FF09-4C7D-94D3-770A23EF9DB8}"/>
    <cellStyle name="Comma 4 3 2 7" xfId="2790" xr:uid="{7A1341F6-BB7E-44A2-8BC0-FD6E96E062B7}"/>
    <cellStyle name="Comma 4 3 2 8" xfId="3446" xr:uid="{913023AD-B500-4735-BEC5-FE18323EB50F}"/>
    <cellStyle name="Comma 4 3 2 9" xfId="4109" xr:uid="{01CBB998-3ACA-4E29-A04C-E133325C2897}"/>
    <cellStyle name="Comma 4 3 3" xfId="603" xr:uid="{4AB29878-250E-4863-8A29-9367813E788D}"/>
    <cellStyle name="Comma 4 3 3 2" xfId="1461" xr:uid="{9780D789-EF0F-404E-9A26-A164CD69EE31}"/>
    <cellStyle name="Comma 4 3 3 2 2" xfId="2520" xr:uid="{BBF3C013-9DC7-4603-99AF-1D1224CE3772}"/>
    <cellStyle name="Comma 4 3 3 2 3" xfId="3171" xr:uid="{CAC6C41E-134D-49B6-8910-8BA3F4712909}"/>
    <cellStyle name="Comma 4 3 3 2 4" xfId="3827" xr:uid="{4C55B1A6-8CA9-454F-B6A9-62AF13028B35}"/>
    <cellStyle name="Comma 4 3 3 2 5" xfId="4490" xr:uid="{5FBE1DEF-352C-4841-A5FD-1ED7069C2F2B}"/>
    <cellStyle name="Comma 4 3 3 3" xfId="1895" xr:uid="{E43D3CF7-7086-4989-B334-E51E74012ED4}"/>
    <cellStyle name="Comma 4 3 3 4" xfId="2193" xr:uid="{06C97A8C-9521-4E1D-AF1C-F38EA10BC4E0}"/>
    <cellStyle name="Comma 4 3 3 5" xfId="2844" xr:uid="{1C5B0361-3977-42D1-B3E5-753BB193ADD7}"/>
    <cellStyle name="Comma 4 3 3 6" xfId="3500" xr:uid="{39D49003-7C42-45BC-96FE-C7E5F02B96CE}"/>
    <cellStyle name="Comma 4 3 3 7" xfId="4163" xr:uid="{9A89BDF0-6DDF-417A-8391-8768A1DF2024}"/>
    <cellStyle name="Comma 4 3 3 8" xfId="1124" xr:uid="{8775995C-C814-4005-A11B-F884B264D5C0}"/>
    <cellStyle name="Comma 4 3 4" xfId="1238" xr:uid="{904A8AC7-DD47-49B6-9F7F-FAAA7677595D}"/>
    <cellStyle name="Comma 4 3 4 2" xfId="1569" xr:uid="{FBEA9463-336F-4F54-9037-65E77FF15034}"/>
    <cellStyle name="Comma 4 3 4 2 2" xfId="2628" xr:uid="{8036BE6B-D3B4-4CA6-B786-F8DD0F459645}"/>
    <cellStyle name="Comma 4 3 4 2 3" xfId="3279" xr:uid="{F43F3A68-D4D8-4D8E-A1DF-A3E4D7190067}"/>
    <cellStyle name="Comma 4 3 4 2 4" xfId="3935" xr:uid="{3030F71C-8564-48C2-B7D3-AF04D7CE17AB}"/>
    <cellStyle name="Comma 4 3 4 2 5" xfId="4598" xr:uid="{74AED2DB-02FE-4D5D-A306-2F5E35ABD8FB}"/>
    <cellStyle name="Comma 4 3 4 3" xfId="2301" xr:uid="{4AB94065-62B7-4FCB-B2E4-AE8EE1CA13C2}"/>
    <cellStyle name="Comma 4 3 4 4" xfId="2952" xr:uid="{54DD7E97-7E08-4F2A-9B23-1412C5C44F4A}"/>
    <cellStyle name="Comma 4 3 4 5" xfId="3608" xr:uid="{3F14B3F9-E4DF-4482-B116-8A5B1141C831}"/>
    <cellStyle name="Comma 4 3 4 6" xfId="4271" xr:uid="{9C1A1881-6D39-4BD5-AB82-42A223C55A4D}"/>
    <cellStyle name="Comma 4 3 5" xfId="1353" xr:uid="{259A9EA2-0334-4788-A879-CB1E47E98B45}"/>
    <cellStyle name="Comma 4 3 5 2" xfId="2412" xr:uid="{F3D714C1-52F4-4EB5-8E1F-B90D922C8E97}"/>
    <cellStyle name="Comma 4 3 5 3" xfId="3063" xr:uid="{E4BDDD3B-5FFE-4B98-BAEC-2CA1724ED8E8}"/>
    <cellStyle name="Comma 4 3 5 4" xfId="3719" xr:uid="{4781C472-E245-455A-93CF-FDAE672998DF}"/>
    <cellStyle name="Comma 4 3 5 5" xfId="4382" xr:uid="{4DD405C8-04CF-4923-A20F-C0CDA8AC1DD5}"/>
    <cellStyle name="Comma 4 3 6" xfId="1791" xr:uid="{92DB70A4-4389-4618-AD8C-161D70FB6325}"/>
    <cellStyle name="Comma 4 3 7" xfId="2085" xr:uid="{8CB64370-1166-4779-AD94-E91AFFEC7011}"/>
    <cellStyle name="Comma 4 3 8" xfId="2736" xr:uid="{C9677B1D-FFB4-44B9-A5DC-76993D00AF0E}"/>
    <cellStyle name="Comma 4 3 9" xfId="3391" xr:uid="{5F3504DF-25A8-419C-AADF-C86A66C88912}"/>
    <cellStyle name="Comma 4 4" xfId="337" xr:uid="{A55D7741-DBD4-4054-9793-AD2560997A91}"/>
    <cellStyle name="Comma 4 4 10" xfId="1038" xr:uid="{8432C3FC-D6FC-4316-B3B3-6150A576BF11}"/>
    <cellStyle name="Comma 4 4 2" xfId="456" xr:uid="{5EDD59E0-D2D1-4777-BE8D-20D04D1CF447}"/>
    <cellStyle name="Comma 4 4 2 2" xfId="675" xr:uid="{285D267C-7F27-496F-9736-0DD8B9A1278D}"/>
    <cellStyle name="Comma 4 4 2 2 2" xfId="2541" xr:uid="{60468B86-A304-41C7-8777-2C2D176E5D3C}"/>
    <cellStyle name="Comma 4 4 2 2 3" xfId="3192" xr:uid="{4D2B82D6-6824-4C78-AB95-D6EF8DB90208}"/>
    <cellStyle name="Comma 4 4 2 2 4" xfId="3848" xr:uid="{DF983551-B76F-4785-923E-88B28772B0E8}"/>
    <cellStyle name="Comma 4 4 2 2 5" xfId="4511" xr:uid="{B5AC200F-EB1C-4765-8DE8-4ED5503814EC}"/>
    <cellStyle name="Comma 4 4 2 2 6" xfId="1482" xr:uid="{BA7AA7E4-F0D3-4FEB-B2A1-27360459FAE2}"/>
    <cellStyle name="Comma 4 4 2 3" xfId="1923" xr:uid="{60912215-F7E6-4C4E-9DC3-074863B54986}"/>
    <cellStyle name="Comma 4 4 2 4" xfId="2214" xr:uid="{119F0B55-76D4-4E53-A107-DC50A139EF8D}"/>
    <cellStyle name="Comma 4 4 2 5" xfId="2865" xr:uid="{47B41F18-D323-402A-AD51-98B4D7BF7157}"/>
    <cellStyle name="Comma 4 4 2 6" xfId="3521" xr:uid="{C5885838-19CE-4F3E-93E1-F1A44CD745A8}"/>
    <cellStyle name="Comma 4 4 2 7" xfId="4184" xr:uid="{A7FEDBBB-DFF4-4224-9142-F019627FFE23}"/>
    <cellStyle name="Comma 4 4 2 8" xfId="1145" xr:uid="{92FA555C-EECD-45D2-82AE-7FDA696D93B0}"/>
    <cellStyle name="Comma 4 4 3" xfId="565" xr:uid="{F8EF12D4-9EC3-4A81-A2B1-F902EBCDC6B2}"/>
    <cellStyle name="Comma 4 4 3 2" xfId="1590" xr:uid="{9984FC5E-9509-4252-AE9A-5956E423B644}"/>
    <cellStyle name="Comma 4 4 3 2 2" xfId="2649" xr:uid="{F4201E15-10FC-4BB9-91A3-28ECA036E2EF}"/>
    <cellStyle name="Comma 4 4 3 2 3" xfId="3300" xr:uid="{320B6656-DE8A-4051-9291-6AA4EC253062}"/>
    <cellStyle name="Comma 4 4 3 2 4" xfId="3956" xr:uid="{7B6BEB96-6722-4B8D-8DEA-297D8DFC1579}"/>
    <cellStyle name="Comma 4 4 3 2 5" xfId="4619" xr:uid="{6E50A738-1190-4068-887C-BC2F7E11E2FB}"/>
    <cellStyle name="Comma 4 4 3 3" xfId="2322" xr:uid="{EF9A92C4-7062-4061-B664-E8BA0C6A1866}"/>
    <cellStyle name="Comma 4 4 3 4" xfId="2973" xr:uid="{E7139A15-939C-4DB4-9B44-0706E4DCEDB6}"/>
    <cellStyle name="Comma 4 4 3 5" xfId="3629" xr:uid="{A259EA61-19AA-4DFF-8DB1-F5423E02E9A6}"/>
    <cellStyle name="Comma 4 4 3 6" xfId="4292" xr:uid="{3E32CA45-3C01-4678-BA6D-9B870FA7C751}"/>
    <cellStyle name="Comma 4 4 3 7" xfId="1259" xr:uid="{8624E635-6885-4AB9-9662-32D53609E770}"/>
    <cellStyle name="Comma 4 4 4" xfId="1374" xr:uid="{9B729120-1777-41D7-900B-78C0DE0C8587}"/>
    <cellStyle name="Comma 4 4 4 2" xfId="2433" xr:uid="{C03D9B7D-1B9A-4562-809F-D72AA70B35C5}"/>
    <cellStyle name="Comma 4 4 4 3" xfId="3084" xr:uid="{CDDD739A-2AA7-48E6-8ED9-1AAFFCC0C4F0}"/>
    <cellStyle name="Comma 4 4 4 4" xfId="3740" xr:uid="{B04730C5-D7E1-4F9C-BD4C-BF44EBA9251C}"/>
    <cellStyle name="Comma 4 4 4 5" xfId="4403" xr:uid="{1963AAD8-A207-408E-AB60-03EB494EC302}"/>
    <cellStyle name="Comma 4 4 5" xfId="1926" xr:uid="{FF1A6563-957C-4E4E-B7F1-1F203E2392A0}"/>
    <cellStyle name="Comma 4 4 6" xfId="2106" xr:uid="{7A241D9D-84BF-4FC3-892C-067717CBA6F2}"/>
    <cellStyle name="Comma 4 4 7" xfId="2757" xr:uid="{CB6C4CD9-32F2-442F-919A-0F1EF845C1CE}"/>
    <cellStyle name="Comma 4 4 8" xfId="3413" xr:uid="{0C726270-697A-4B0E-B18F-950586B56730}"/>
    <cellStyle name="Comma 4 4 9" xfId="4076" xr:uid="{6C882532-8D8E-447C-95C9-D3B4B554DC23}"/>
    <cellStyle name="Comma 4 5" xfId="318" xr:uid="{454064CC-2872-4D1E-813E-639CBC7E79F0}"/>
    <cellStyle name="Comma 4 5 2" xfId="439" xr:uid="{206F00F5-3FCD-47C7-9930-E21ECBEC51FA}"/>
    <cellStyle name="Comma 4 5 2 2" xfId="658" xr:uid="{FE2D9D77-7F69-4911-900D-E98C01AAF060}"/>
    <cellStyle name="Comma 4 5 2 2 2" xfId="2487" xr:uid="{39A8A604-B8C7-4A87-A642-F6F27B9E23FA}"/>
    <cellStyle name="Comma 4 5 2 3" xfId="3138" xr:uid="{E70AE83E-4BAA-4046-B888-4A68212AD223}"/>
    <cellStyle name="Comma 4 5 2 4" xfId="3794" xr:uid="{BE057F52-C9F9-4D98-B0B3-383B35557118}"/>
    <cellStyle name="Comma 4 5 2 5" xfId="4457" xr:uid="{BBBA3F8D-848C-42B8-ACE8-EEEFCF38DE00}"/>
    <cellStyle name="Comma 4 5 2 6" xfId="1428" xr:uid="{2D19AAA4-06D1-4E00-B645-46DB3959CA86}"/>
    <cellStyle name="Comma 4 5 3" xfId="548" xr:uid="{B3617776-7C9B-455A-9770-A7114A83D521}"/>
    <cellStyle name="Comma 4 5 3 2" xfId="1974" xr:uid="{CFAB521F-0F06-44F2-8F9E-5983AE34B1E5}"/>
    <cellStyle name="Comma 4 5 4" xfId="2160" xr:uid="{DDA3144D-8D40-4112-8A30-8C96908A0070}"/>
    <cellStyle name="Comma 4 5 5" xfId="2811" xr:uid="{9544E875-A7D5-4BA5-83B6-0A1CCF9B2D71}"/>
    <cellStyle name="Comma 4 5 6" xfId="3467" xr:uid="{B4DB33CD-1550-4C77-A99A-FBE029E6A6FE}"/>
    <cellStyle name="Comma 4 5 7" xfId="4130" xr:uid="{88C38517-CA7F-48A1-A23A-8E308BE466A3}"/>
    <cellStyle name="Comma 4 5 8" xfId="1091" xr:uid="{235EEE9C-5A95-4CA0-BCAE-945EEF8CEFE6}"/>
    <cellStyle name="Comma 4 6" xfId="410" xr:uid="{EDDC14A3-D7F1-422F-A9CB-AB0702D8EDAF}"/>
    <cellStyle name="Comma 4 6 2" xfId="629" xr:uid="{F36C50D2-FD3F-4CE9-BF18-F366B7D2FA24}"/>
    <cellStyle name="Comma 4 6 2 2" xfId="2595" xr:uid="{93DEFF9B-9664-4598-870E-4FF76C38F89A}"/>
    <cellStyle name="Comma 4 6 2 3" xfId="3246" xr:uid="{8DF8E882-10F5-4802-A515-F8E9980FE07F}"/>
    <cellStyle name="Comma 4 6 2 4" xfId="3902" xr:uid="{7F227053-400E-4D2F-A17F-EBAE5D0AD049}"/>
    <cellStyle name="Comma 4 6 2 5" xfId="4565" xr:uid="{E8C0C68D-DB4A-43CF-B4F3-5256D43C3CC7}"/>
    <cellStyle name="Comma 4 6 2 6" xfId="1536" xr:uid="{13FE4EA5-1ADC-4208-9707-B2926C2D6119}"/>
    <cellStyle name="Comma 4 6 3" xfId="2268" xr:uid="{251B9655-2985-412F-8697-BF7CD15C8308}"/>
    <cellStyle name="Comma 4 6 4" xfId="2919" xr:uid="{49A7AFFA-2881-430F-8CA3-1196F5565BE0}"/>
    <cellStyle name="Comma 4 6 5" xfId="3575" xr:uid="{A85342CF-5265-42F6-8882-52B7CF2A2662}"/>
    <cellStyle name="Comma 4 6 6" xfId="4238" xr:uid="{3047EDB8-E1AF-4C24-8E51-3F7D33FBAAC5}"/>
    <cellStyle name="Comma 4 6 7" xfId="1205" xr:uid="{7DEC313F-5854-4013-98F0-1A8AFC19C6B9}"/>
    <cellStyle name="Comma 4 7" xfId="519" xr:uid="{8766DF53-DD9A-455A-BD8B-613C3060D7EA}"/>
    <cellStyle name="Comma 4 7 2" xfId="2379" xr:uid="{45CF7C88-5B9F-47B4-8137-6C45416ED04B}"/>
    <cellStyle name="Comma 4 7 3" xfId="3030" xr:uid="{13C2F14C-5ECF-49D0-ADEF-2CFA954E89AE}"/>
    <cellStyle name="Comma 4 7 4" xfId="3686" xr:uid="{7F5C7F39-208B-4DB6-BCC0-33D6328B4127}"/>
    <cellStyle name="Comma 4 7 5" xfId="4349" xr:uid="{0C943973-8126-478A-A6B7-31D3218EC397}"/>
    <cellStyle name="Comma 4 7 6" xfId="1320" xr:uid="{DD452EE0-0075-4672-8AD4-6EEE69D27858}"/>
    <cellStyle name="Comma 4 8" xfId="289" xr:uid="{B4C61D6E-2597-4270-9C52-C8A680E3A23B}"/>
    <cellStyle name="Comma 4 8 2" xfId="948" xr:uid="{E62C74F0-5210-4FE7-B6D2-049D9F1CA843}"/>
    <cellStyle name="Comma 4 9" xfId="2052" xr:uid="{3D1481C6-1ADE-470B-98C1-12E80025E054}"/>
    <cellStyle name="Comma 40" xfId="3996" xr:uid="{9E7C7DCF-AD3D-4274-A63E-510722C314E6}"/>
    <cellStyle name="Comma 41" xfId="3392" xr:uid="{2E8D0E49-DB86-469D-9B7C-4AC3A57B68F9}"/>
    <cellStyle name="Comma 42" xfId="4000" xr:uid="{314F9A36-B8F4-475E-A7CC-4E01BF26D73F}"/>
    <cellStyle name="Comma 43" xfId="4004" xr:uid="{7918D1DD-B5B0-4900-8CBD-CE5DDC8DA324}"/>
    <cellStyle name="Comma 44" xfId="3999" xr:uid="{A150ADDA-C7CF-4ABD-BEE8-FFDD393A3B87}"/>
    <cellStyle name="Comma 45" xfId="3342" xr:uid="{291E0FD0-D79B-41B6-83AE-92EB6B61B794}"/>
    <cellStyle name="Comma 46" xfId="4003" xr:uid="{7F4834A9-F0F8-4D5F-BF54-25C9AC8920CB}"/>
    <cellStyle name="Comma 47" xfId="4001" xr:uid="{927B8096-DCE6-49B1-9F09-93074DDCEF00}"/>
    <cellStyle name="Comma 48" xfId="3997" xr:uid="{7F8ADEF4-47BD-43FB-ACB9-C70BA5D09825}"/>
    <cellStyle name="Comma 49" xfId="4002" xr:uid="{C43948D8-8885-412D-A9BE-D0B3B2DFCBF2}"/>
    <cellStyle name="Comma 5" xfId="128" xr:uid="{811654E0-3A47-48B7-91FE-1C21C8B1E0CD}"/>
    <cellStyle name="Comma 5 2" xfId="267" xr:uid="{41DDD406-E152-4B7A-8ED8-26C4216F5007}"/>
    <cellStyle name="Comma 5 2 2" xfId="364" xr:uid="{E696D06B-98D5-4580-BCB4-E226071E39D8}"/>
    <cellStyle name="Comma 5 2 2 2" xfId="480" xr:uid="{4D8FFC6C-1FA8-4BC3-91AC-81C54A08414B}"/>
    <cellStyle name="Comma 5 2 2 2 2" xfId="699" xr:uid="{60F78C98-B071-4F6F-B702-67C8E3D53C07}"/>
    <cellStyle name="Comma 5 2 2 3" xfId="589" xr:uid="{BB5D288A-28A6-40CD-895D-BAC0C4B9F887}"/>
    <cellStyle name="Comma 5 2 2 4" xfId="1760" xr:uid="{7B2C5D56-D846-46FF-BAB6-673B981A6397}"/>
    <cellStyle name="Comma 5 2 3" xfId="436" xr:uid="{5FF03304-8AAB-41A1-847D-C28E5B1FBFE1}"/>
    <cellStyle name="Comma 5 2 3 2" xfId="655" xr:uid="{A9F3A1D0-32A7-4D6D-96DF-03E08A359CDF}"/>
    <cellStyle name="Comma 5 2 4" xfId="545" xr:uid="{5FCC53D5-8CE7-4A5F-9501-5F222BEF266E}"/>
    <cellStyle name="Comma 5 2 5" xfId="315" xr:uid="{F18246F4-49F8-4E02-9EB7-F1CD2E7D9F21}"/>
    <cellStyle name="Comma 5 2 6" xfId="949" xr:uid="{AB3EF6A2-1364-46C2-8D18-E113779B170E}"/>
    <cellStyle name="Comma 5 3" xfId="385" xr:uid="{F985F301-1342-49FD-9C60-793B2598D2CA}"/>
    <cellStyle name="Comma 5 3 2" xfId="499" xr:uid="{472A0B5E-6280-4AF9-8CA2-9EFED810F0A4}"/>
    <cellStyle name="Comma 5 3 2 2" xfId="718" xr:uid="{555DDB9F-B642-4AF3-BDA3-C0A949884EA8}"/>
    <cellStyle name="Comma 5 3 3" xfId="608" xr:uid="{54C3E9CE-E1FE-4268-B2AF-D25EB2B41525}"/>
    <cellStyle name="Comma 5 3 4" xfId="1796" xr:uid="{90DB01FE-67ED-492E-95B4-D87D3BA90AB3}"/>
    <cellStyle name="Comma 5 4" xfId="345" xr:uid="{4922906F-94BF-46FC-AF25-5DE8F9B94136}"/>
    <cellStyle name="Comma 5 4 2" xfId="461" xr:uid="{EEA6EDDB-67F8-46F8-8610-A8A78C61D8C2}"/>
    <cellStyle name="Comma 5 4 2 2" xfId="680" xr:uid="{04A63233-7B9F-4B97-93D4-DAB3505B6115}"/>
    <cellStyle name="Comma 5 4 3" xfId="570" xr:uid="{2D82B5B3-C22C-4F87-9859-4A3EC242E1F1}"/>
    <cellStyle name="Comma 5 5" xfId="415" xr:uid="{19642FA6-CE5F-4FFA-948A-88F24B38C7FA}"/>
    <cellStyle name="Comma 5 5 2" xfId="634" xr:uid="{FE60CF0D-6D9D-4C43-965A-6E8913C28BAD}"/>
    <cellStyle name="Comma 5 6" xfId="524" xr:uid="{AA596476-553B-4F02-A0C3-2B6CE0CF6923}"/>
    <cellStyle name="Comma 5 7" xfId="294" xr:uid="{63349AA7-AEE1-4FC3-89D5-4B8AED64DE10}"/>
    <cellStyle name="Comma 5 8" xfId="924" xr:uid="{D7248BA1-F307-4DCF-BB3D-BC56AA132427}"/>
    <cellStyle name="Comma 5 9" xfId="246" xr:uid="{12F50452-057B-41EF-8D1C-A8DE6EA2566B}"/>
    <cellStyle name="Comma 50" xfId="3998" xr:uid="{635201C4-1E86-49E9-B666-73AC26C7E75C}"/>
    <cellStyle name="Comma 51" xfId="4006" xr:uid="{3A3903FC-7842-40AC-90DB-457DDAB8E2E5}"/>
    <cellStyle name="Comma 52" xfId="4005" xr:uid="{966ABE1B-2C51-4B1A-95EF-7803EF20F6F6}"/>
    <cellStyle name="Comma 53" xfId="4007" xr:uid="{70D067CC-CCCF-4B69-827C-EADE178CBC45}"/>
    <cellStyle name="Comma 54" xfId="1779" xr:uid="{2213361C-5EDD-4879-87B6-6B7C8C9F202C}"/>
    <cellStyle name="Comma 54 2" xfId="4661" xr:uid="{CC5007A8-F6A0-4166-9716-F2085CDCC80F}"/>
    <cellStyle name="Comma 55" xfId="726" xr:uid="{4A157245-E8F3-45C8-BE98-C5781F101CDE}"/>
    <cellStyle name="Comma 56" xfId="149" xr:uid="{0D96163A-E113-4385-95B4-B25E7D86AB09}"/>
    <cellStyle name="Comma 57" xfId="154" xr:uid="{C3598CDE-083C-4A0F-BFE5-0CAC19004120}"/>
    <cellStyle name="Comma 58" xfId="4695" xr:uid="{E38077BB-1400-4BAA-862A-B4D7E517EFEC}"/>
    <cellStyle name="Comma 59" xfId="4713" xr:uid="{481FA751-A118-4D56-A628-DDF509D7C5CD}"/>
    <cellStyle name="Comma 6" xfId="134" xr:uid="{C220A1D1-8F0D-4021-AA9F-D526DD8B74FB}"/>
    <cellStyle name="Comma 6 2" xfId="387" xr:uid="{99E2640D-A45F-4DA0-86EC-022FFB452179}"/>
    <cellStyle name="Comma 6 2 2" xfId="501" xr:uid="{B8E7C205-C934-4491-8BAF-DC39E89A2ED4}"/>
    <cellStyle name="Comma 6 2 2 2" xfId="720" xr:uid="{5FFFB827-F426-4101-9AC0-C262ECF429EC}"/>
    <cellStyle name="Comma 6 2 3" xfId="610" xr:uid="{70595F74-9646-46CC-8119-F8B3F76A2312}"/>
    <cellStyle name="Comma 6 2 4" xfId="951" xr:uid="{6254214D-16CC-4338-8365-ED80068D4C25}"/>
    <cellStyle name="Comma 6 3" xfId="417" xr:uid="{92FE8868-9248-4B7E-9425-28AC611D7AC0}"/>
    <cellStyle name="Comma 6 3 2" xfId="636" xr:uid="{6973E756-E494-4631-B2BC-726D5A81E64D}"/>
    <cellStyle name="Comma 6 3 3" xfId="950" xr:uid="{24FB5F6E-7A46-4887-8E78-F05812ACB57E}"/>
    <cellStyle name="Comma 6 4" xfId="526" xr:uid="{216DBDEB-EC72-4645-8B67-06F2115565D9}"/>
    <cellStyle name="Comma 6 5" xfId="296" xr:uid="{1113D1D3-0A0E-4AFD-944E-72F950A0E2D5}"/>
    <cellStyle name="Comma 6 6" xfId="929" xr:uid="{DC8E79B8-3CD0-46AF-8081-7056B8D89CBD}"/>
    <cellStyle name="Comma 6 7" xfId="248" xr:uid="{DC9B3A01-7004-4655-99C7-67E425D99961}"/>
    <cellStyle name="Comma 60" xfId="4728" xr:uid="{2446F6C8-1558-4F90-8A5D-2523B8A5B91E}"/>
    <cellStyle name="Comma 61" xfId="4729" xr:uid="{50A58160-F51C-48D0-BCA4-730CB706CC82}"/>
    <cellStyle name="Comma 62" xfId="4667" xr:uid="{FFD62232-36EA-4737-8940-0BA7742B4160}"/>
    <cellStyle name="Comma 63" xfId="4718" xr:uid="{26C4D4A7-B4D5-4524-9EE6-D76CA7D28C75}"/>
    <cellStyle name="Comma 64" xfId="4738" xr:uid="{AD954CD8-300F-4543-AD78-451B279D47AF}"/>
    <cellStyle name="Comma 65" xfId="4747" xr:uid="{7364F7E4-EBF1-41C8-84CF-987D5210A1EB}"/>
    <cellStyle name="Comma 66" xfId="4720" xr:uid="{84EB096D-FEDA-48D5-ADFB-4B774DF0DF6B}"/>
    <cellStyle name="Comma 67" xfId="4712" xr:uid="{200C8D50-E308-447C-A155-F3FCA8DC4FB7}"/>
    <cellStyle name="Comma 68" xfId="4708" xr:uid="{1AD39527-657A-4C38-9C26-28E5071D798B}"/>
    <cellStyle name="Comma 69" xfId="4700" xr:uid="{A2CFE6A3-B569-465C-AF74-820276F0FE8F}"/>
    <cellStyle name="Comma 7" xfId="127" xr:uid="{B0EAE56B-ADAB-4473-A080-9354D1EB1340}"/>
    <cellStyle name="Comma 7 2" xfId="953" xr:uid="{14F22535-6D08-48A7-BFBA-FF4094BA4CCF}"/>
    <cellStyle name="Comma 7 3" xfId="952" xr:uid="{D032D4E7-D9BE-4F02-8329-2928D492603A}"/>
    <cellStyle name="Comma 7 4" xfId="287" xr:uid="{7C103062-A453-4344-980F-BB472DA73BE7}"/>
    <cellStyle name="Comma 70" xfId="4706" xr:uid="{051183FE-4795-4A85-87E7-AC33BA2B495B}"/>
    <cellStyle name="Comma 71" xfId="4688" xr:uid="{F42CF6D9-AA1E-4067-97DF-B3297F081B16}"/>
    <cellStyle name="Comma 72" xfId="4665" xr:uid="{B9945A04-9A82-4112-9953-DEB17CEB878A}"/>
    <cellStyle name="Comma 73" xfId="4724" xr:uid="{B3A131B2-826C-4454-85B4-F1F37CFFF4E8}"/>
    <cellStyle name="Comma 74" xfId="4739" xr:uid="{D1890326-3E9C-4297-9C31-2A6EEC04CD69}"/>
    <cellStyle name="Comma 75" xfId="4759" xr:uid="{A051C060-CE78-4D95-87DF-D4EC1ADFF83D}"/>
    <cellStyle name="Comma 76" xfId="4719" xr:uid="{238467A1-0FE4-4F14-A423-310C3C56FDE1}"/>
    <cellStyle name="Comma 77" xfId="4741" xr:uid="{BC8797E4-3100-4B56-A098-19EB45DF9C33}"/>
    <cellStyle name="Comma 78" xfId="4734" xr:uid="{10FB8A70-2C88-4F12-8C99-64C966BB8804}"/>
    <cellStyle name="Comma 79" xfId="4696" xr:uid="{080C7A42-95BA-4D99-B8B4-363CF11A5DBF}"/>
    <cellStyle name="Comma 8" xfId="55" xr:uid="{71404F38-5A45-4FA3-B53F-5CBBC125CD41}"/>
    <cellStyle name="Comma 8 2" xfId="954" xr:uid="{E5CB0CFE-B57A-4816-B071-BF5C5DFD9E28}"/>
    <cellStyle name="Comma 80" xfId="4740" xr:uid="{D15F7586-E59C-4F10-9DC7-05B8BA53A7B4}"/>
    <cellStyle name="Comma 81" xfId="4743" xr:uid="{5BA5CB4D-B09C-4013-926D-AB5D4D17B02F}"/>
    <cellStyle name="Comma 82" xfId="4760" xr:uid="{C697B170-5FFE-4C8A-BB9D-682DEE938A5E}"/>
    <cellStyle name="Comma 83" xfId="4697" xr:uid="{7D6E0A0F-4E80-4A54-8FFA-F2D942B2C938}"/>
    <cellStyle name="Comma 84" xfId="4752" xr:uid="{7D498740-DEA5-467E-8C94-D9CF4A8036BF}"/>
    <cellStyle name="Comma 85" xfId="4742" xr:uid="{6F925FC4-B5A5-4F8D-A16E-24251090FAEF}"/>
    <cellStyle name="Comma 86" xfId="4716" xr:uid="{2BF0FDA4-0799-4B7C-A564-0AAA068BEE61}"/>
    <cellStyle name="Comma 87" xfId="4714" xr:uid="{9A458614-0F55-4EE1-A7B4-7458C594EBF4}"/>
    <cellStyle name="Comma 88" xfId="4683" xr:uid="{96E03C2A-E610-4CBD-9002-18F15A27988A}"/>
    <cellStyle name="Comma 89" xfId="4692" xr:uid="{B631247B-DCB1-47D4-8DA1-739A4EDCE3CF}"/>
    <cellStyle name="Comma 9" xfId="60" xr:uid="{2367A8A8-B6C1-49C0-9875-DDF69D265D9C}"/>
    <cellStyle name="Comma 9 2" xfId="1008" xr:uid="{7A01AAD0-4B7F-4781-A64F-017223D15DDD}"/>
    <cellStyle name="Comma 9 2 2" xfId="1022" xr:uid="{EAD6290B-9CE4-473D-801D-8C3BCA26C7A3}"/>
    <cellStyle name="Comma 9 3" xfId="955" xr:uid="{6A752E4E-86FF-420B-B1F3-1E6F756F1D94}"/>
    <cellStyle name="Comma 90" xfId="4723" xr:uid="{7DE4F133-6504-4C8A-88B0-70749C40E941}"/>
    <cellStyle name="Comma 91" xfId="4677" xr:uid="{1ED6BAFB-F6DA-4155-9A7E-2FA56B882B85}"/>
    <cellStyle name="Comma 92" xfId="45" xr:uid="{EA9C1A90-CB28-4917-9737-D6EC97FCEA1C}"/>
    <cellStyle name="Comma0" xfId="201" xr:uid="{B1EA8CFC-6BDB-413E-91A5-4567E6D33F18}"/>
    <cellStyle name="Comma0 2" xfId="202" xr:uid="{85140BD5-BCC9-4C7B-A079-E53CA080BAD5}"/>
    <cellStyle name="Comma0 2 2" xfId="203" xr:uid="{042A1670-CF35-4B07-8A64-6F9A8359B359}"/>
    <cellStyle name="Curren - Style1" xfId="74" xr:uid="{F02A093C-5EF3-4200-9564-395639EAA77D}"/>
    <cellStyle name="Currency [0] 2" xfId="123" xr:uid="{EAE63A57-9C61-48F6-9EF8-C86E113C1325}"/>
    <cellStyle name="Currency [0] 3" xfId="131" xr:uid="{ED8B0C1F-6744-4836-B986-D5DD84D1A0DD}"/>
    <cellStyle name="Currency [0] 4" xfId="118" xr:uid="{4EEF3E72-7284-47B2-B1D2-D32DC55FF7B0}"/>
    <cellStyle name="Currency 10" xfId="140" xr:uid="{B990E41B-8794-4D6D-B898-EEF291E19C30}"/>
    <cellStyle name="Currency 11" xfId="136" xr:uid="{C1F9D1ED-4B54-481C-BBCD-F08700FA5D66}"/>
    <cellStyle name="Currency 12" xfId="50" xr:uid="{42323F73-5129-4B5A-80B0-39CBC7789B96}"/>
    <cellStyle name="Currency 2" xfId="73" xr:uid="{EBF4250E-1E41-4D12-9A1D-E82E6CA664C1}"/>
    <cellStyle name="Currency 2 2" xfId="141" xr:uid="{321D103C-CA5E-4782-954A-3FCF5DA2F181}"/>
    <cellStyle name="Currency 2 2 2" xfId="1023" xr:uid="{7A5BD89F-F70F-44FE-ABF8-D399C79937ED}"/>
    <cellStyle name="Currency 2 2 2 2" xfId="1817" xr:uid="{05FDFEDD-60D2-4CB0-A24C-7A93323487A2}"/>
    <cellStyle name="Currency 2 2 2 3" xfId="1769" xr:uid="{EF3C306D-CCEB-4D92-8A95-F46553ADF3AA}"/>
    <cellStyle name="Currency 2 2 3" xfId="1010" xr:uid="{CE4DFB97-94BC-452E-816C-5717E37098B1}"/>
    <cellStyle name="Currency 2 2 4" xfId="769" xr:uid="{5598D5F4-177F-411E-9A7D-B1B320E72041}"/>
    <cellStyle name="Currency 2 3" xfId="956" xr:uid="{97BF8D72-4DC3-4D2D-8FC8-AAAF532CEF9A}"/>
    <cellStyle name="Currency 2 4" xfId="768" xr:uid="{A57CE83B-9A66-4167-A24C-38BE4B60829F}"/>
    <cellStyle name="Currency 2 5" xfId="244" xr:uid="{667F8881-0A89-492D-A71C-73E7A0E94C0C}"/>
    <cellStyle name="Currency 3" xfId="76" xr:uid="{B13535B8-E1CC-41C8-B0F0-AC50ECA840CE}"/>
    <cellStyle name="Currency 3 2" xfId="145" xr:uid="{15D88ECC-5236-451E-8891-727CE9BD254E}"/>
    <cellStyle name="Currency 3 2 2" xfId="1017" xr:uid="{775C44E0-DA38-488D-8B62-0138476678B4}"/>
    <cellStyle name="Currency 3 3" xfId="988" xr:uid="{B2D42CFE-A41E-4F27-838D-5A7F7BCBE78C}"/>
    <cellStyle name="Currency 4" xfId="70" xr:uid="{28ED907E-143E-4752-BE0A-06247BAD75A6}"/>
    <cellStyle name="Currency 4 10" xfId="4060" xr:uid="{CE29DBBA-DDCC-4204-8F4F-A39ADE5F5ADA}"/>
    <cellStyle name="Currency 4 11" xfId="930" xr:uid="{A40CDB81-0FEB-404B-B771-A1CF675B811C}"/>
    <cellStyle name="Currency 4 2" xfId="1076" xr:uid="{AC150CAF-6DE6-43BC-9CB0-D09861FF4E81}"/>
    <cellStyle name="Currency 4 2 2" xfId="1183" xr:uid="{C3697449-5DC6-4376-9A2C-AD681A268565}"/>
    <cellStyle name="Currency 4 2 2 2" xfId="1520" xr:uid="{2019DBA4-D1DF-4485-B9F1-C2855ADC0EC8}"/>
    <cellStyle name="Currency 4 2 2 2 2" xfId="2579" xr:uid="{2697DED8-190F-45D1-92BA-116BA45B7612}"/>
    <cellStyle name="Currency 4 2 2 2 3" xfId="3230" xr:uid="{7F0835C9-4BBD-407D-9BD5-D90D535B582F}"/>
    <cellStyle name="Currency 4 2 2 2 4" xfId="3886" xr:uid="{C4B2941D-E3CB-4F7C-BBAD-BD760119F6AE}"/>
    <cellStyle name="Currency 4 2 2 2 5" xfId="4549" xr:uid="{F09AF032-92B7-4F54-9EB4-7769C2C3EA12}"/>
    <cellStyle name="Currency 4 2 2 3" xfId="1836" xr:uid="{A9D69E40-7C23-4EB9-95FD-A0BEC5F5F8D2}"/>
    <cellStyle name="Currency 4 2 2 4" xfId="2252" xr:uid="{65067DB7-84CD-4D8C-A8D8-06C085CADF6D}"/>
    <cellStyle name="Currency 4 2 2 5" xfId="2903" xr:uid="{3A48D6ED-DD84-49F8-9037-661AF0D04851}"/>
    <cellStyle name="Currency 4 2 2 6" xfId="3559" xr:uid="{E1048F2E-B7E3-4700-BD6C-2A1D7E0F14BD}"/>
    <cellStyle name="Currency 4 2 2 7" xfId="4222" xr:uid="{63F78AE6-4532-4B79-B440-5EE6238DF9C2}"/>
    <cellStyle name="Currency 4 2 3" xfId="1297" xr:uid="{17DB4271-292D-4322-BEE0-F43F0C483E5B}"/>
    <cellStyle name="Currency 4 2 3 2" xfId="1628" xr:uid="{452DD79D-D6B0-4BE6-8F9B-9BC995643BDD}"/>
    <cellStyle name="Currency 4 2 3 2 2" xfId="2687" xr:uid="{F757AE4B-8451-4A20-9E07-4FE2C55A143C}"/>
    <cellStyle name="Currency 4 2 3 2 3" xfId="3338" xr:uid="{B186E957-39F4-48E6-9D66-233EFA899F03}"/>
    <cellStyle name="Currency 4 2 3 2 4" xfId="3994" xr:uid="{087C56F0-5F8E-431F-AFBF-12C7052F82DA}"/>
    <cellStyle name="Currency 4 2 3 2 5" xfId="4657" xr:uid="{755C1BD6-AF00-4A2D-A90E-E9A860E82ED2}"/>
    <cellStyle name="Currency 4 2 3 3" xfId="2360" xr:uid="{BD50B75F-1CDC-4545-8D8E-212AACC44937}"/>
    <cellStyle name="Currency 4 2 3 4" xfId="3011" xr:uid="{222B6102-3793-4FCE-B13A-E90C7396AA01}"/>
    <cellStyle name="Currency 4 2 3 5" xfId="3667" xr:uid="{72FDB74C-7212-4B89-9DC1-025B0AC4A8D1}"/>
    <cellStyle name="Currency 4 2 3 6" xfId="4330" xr:uid="{65015A38-E4AB-4CC7-9F00-0150A4294AAC}"/>
    <cellStyle name="Currency 4 2 4" xfId="1412" xr:uid="{45A0164B-06C4-4A11-A8B6-E899AA86FD42}"/>
    <cellStyle name="Currency 4 2 4 2" xfId="2471" xr:uid="{77527B18-18A3-4BBE-9719-07B1FF574FDF}"/>
    <cellStyle name="Currency 4 2 4 3" xfId="3122" xr:uid="{4CCFA2C3-F9AA-4A89-9AFC-E65BB33158A7}"/>
    <cellStyle name="Currency 4 2 4 4" xfId="3778" xr:uid="{8C1561B7-1B43-4CE3-BA25-1E43EF2279E4}"/>
    <cellStyle name="Currency 4 2 4 5" xfId="4441" xr:uid="{D454286E-6CA0-470A-A67F-FF304CEA5C54}"/>
    <cellStyle name="Currency 4 2 5" xfId="1874" xr:uid="{C5E9A471-6B4B-4E3D-B76B-53A4E2A2F6A1}"/>
    <cellStyle name="Currency 4 2 6" xfId="2144" xr:uid="{6513CE8B-36D1-45FA-9272-06C0FE87932F}"/>
    <cellStyle name="Currency 4 2 7" xfId="2795" xr:uid="{D1F56D75-1A85-4683-B02A-5A6069681B6C}"/>
    <cellStyle name="Currency 4 2 8" xfId="3451" xr:uid="{988E372C-1C80-471D-B630-FDB39F2E5BD0}"/>
    <cellStyle name="Currency 4 2 9" xfId="4114" xr:uid="{1A74B17C-990B-4ECB-B44E-3E1AA6F32BD0}"/>
    <cellStyle name="Currency 4 3" xfId="1129" xr:uid="{848E52D6-24E2-4E83-9384-F7F2100661D5}"/>
    <cellStyle name="Currency 4 3 2" xfId="1466" xr:uid="{EA88EAA0-6F4E-4635-8C11-AED4C95463FC}"/>
    <cellStyle name="Currency 4 3 2 2" xfId="2525" xr:uid="{BBF28232-3BE1-43DF-B8DC-332DC0CC5676}"/>
    <cellStyle name="Currency 4 3 2 3" xfId="3176" xr:uid="{23662496-7DBB-4C5C-A9C8-811C3FA5EACC}"/>
    <cellStyle name="Currency 4 3 2 4" xfId="3832" xr:uid="{7427A8C4-78A9-45E5-B9AE-78F88A88503E}"/>
    <cellStyle name="Currency 4 3 2 5" xfId="4495" xr:uid="{2613FF9C-693B-40D9-81B8-FA093D4E21B7}"/>
    <cellStyle name="Currency 4 3 3" xfId="1843" xr:uid="{70760ED6-0206-4ADD-BA91-9465795A8232}"/>
    <cellStyle name="Currency 4 3 4" xfId="2198" xr:uid="{56C927C9-9313-4460-B336-500958FF4827}"/>
    <cellStyle name="Currency 4 3 5" xfId="2849" xr:uid="{2871F9AB-1327-46DE-90EB-56B8B824DF5B}"/>
    <cellStyle name="Currency 4 3 6" xfId="3505" xr:uid="{F099A01A-A05E-4447-A136-202C72D16FBF}"/>
    <cellStyle name="Currency 4 3 7" xfId="4168" xr:uid="{85EE4911-D7CF-4608-A9D2-C789C04C2114}"/>
    <cellStyle name="Currency 4 4" xfId="1243" xr:uid="{5611ED65-55EF-48ED-8B6C-B1691D63B806}"/>
    <cellStyle name="Currency 4 4 2" xfId="1574" xr:uid="{99C88230-6443-4D18-AA7A-77B6FFFD962C}"/>
    <cellStyle name="Currency 4 4 2 2" xfId="2633" xr:uid="{D8B906F5-A073-4CEA-907D-19ADB1833F63}"/>
    <cellStyle name="Currency 4 4 2 3" xfId="3284" xr:uid="{F2177C6B-90C7-4B67-9DE2-8C55B8748284}"/>
    <cellStyle name="Currency 4 4 2 4" xfId="3940" xr:uid="{81143BFC-4906-4C01-A5D4-E1A2C15AE555}"/>
    <cellStyle name="Currency 4 4 2 5" xfId="4603" xr:uid="{A4D8B6BD-CED7-448A-82D5-14D5C648B76A}"/>
    <cellStyle name="Currency 4 4 3" xfId="2306" xr:uid="{6BF60DA5-F04B-4021-93C0-FC340EA62E09}"/>
    <cellStyle name="Currency 4 4 4" xfId="2957" xr:uid="{964314D4-39A3-4A6F-A39B-ACFBB220EBAD}"/>
    <cellStyle name="Currency 4 4 5" xfId="3613" xr:uid="{697E4399-A1C4-4A59-9028-A698E6052F72}"/>
    <cellStyle name="Currency 4 4 6" xfId="4276" xr:uid="{D38B1BF0-3C66-4B30-B7B8-06E8522F0C39}"/>
    <cellStyle name="Currency 4 5" xfId="1358" xr:uid="{DF415C4D-2EE0-499D-BF87-94E7C6D25D34}"/>
    <cellStyle name="Currency 4 5 2" xfId="2417" xr:uid="{010EABA9-3C17-4522-B9DD-0870C014ADE0}"/>
    <cellStyle name="Currency 4 5 3" xfId="3068" xr:uid="{48FFB94D-173F-4635-BCFF-6330163ED9AE}"/>
    <cellStyle name="Currency 4 5 4" xfId="3724" xr:uid="{7C3E0F88-032C-4C3A-8D11-3979BB8983A9}"/>
    <cellStyle name="Currency 4 5 5" xfId="4387" xr:uid="{534F517B-CD2F-4BFE-A8EC-3DCE16A79D01}"/>
    <cellStyle name="Currency 4 6" xfId="1844" xr:uid="{273AD8EC-A682-4756-AC7B-280375385FC2}"/>
    <cellStyle name="Currency 4 7" xfId="2090" xr:uid="{1098F615-687E-4E86-AF86-D414332413E6}"/>
    <cellStyle name="Currency 4 8" xfId="2741" xr:uid="{A1A7197B-BDDC-4BAF-9A64-0604BFA2212C}"/>
    <cellStyle name="Currency 4 9" xfId="3397" xr:uid="{BA612305-A025-4C5C-91FF-233987094250}"/>
    <cellStyle name="Currency 5" xfId="103" xr:uid="{06891382-A149-48D8-AC70-0267F0BAE259}"/>
    <cellStyle name="Currency 5 2" xfId="1188" xr:uid="{86EF03B4-76FE-4324-AB68-348644CCEEAD}"/>
    <cellStyle name="Currency 5 3" xfId="767" xr:uid="{0711C6B7-8C1A-45C3-8B50-A53FA266069C}"/>
    <cellStyle name="Currency 6" xfId="122" xr:uid="{0998BFF8-B6C4-4A85-B652-95584EE7C5FF}"/>
    <cellStyle name="Currency 7" xfId="56" xr:uid="{D940B465-CEA7-47FF-A579-08B26438BD58}"/>
    <cellStyle name="Currency 8" xfId="59" xr:uid="{083CB140-9385-42B9-95F4-61C11BF1D2B9}"/>
    <cellStyle name="Currency 9" xfId="62" xr:uid="{D4C095E2-A656-4273-BAF4-68687F01382F}"/>
    <cellStyle name="Currency 9 2" xfId="2364" xr:uid="{6F63B0F1-A78C-464D-8A72-13E73A2A1975}"/>
    <cellStyle name="Currency 9 3" xfId="3015" xr:uid="{A0BCA1F3-4C8D-4EC7-876A-6667BA682B61}"/>
    <cellStyle name="Currency 9 4" xfId="3671" xr:uid="{41E00812-A7C5-4987-802B-685A0FAFD201}"/>
    <cellStyle name="Currency 9 5" xfId="4334" xr:uid="{8A6968BA-29FD-4E4C-A7E0-FB0F860A353C}"/>
    <cellStyle name="Currency 9 6" xfId="1300" xr:uid="{77E65361-6147-41A0-A267-7A64A5963ECC}"/>
    <cellStyle name="Currency0" xfId="204" xr:uid="{5ECCEC93-3875-4510-9B0E-6624F6F13496}"/>
    <cellStyle name="Currency0 2" xfId="205" xr:uid="{B582D894-6D86-4A7A-A30C-591FF37521E9}"/>
    <cellStyle name="Currency0 2 2" xfId="206" xr:uid="{E08BE180-E0FF-4241-B888-C6548C055512}"/>
    <cellStyle name="Date" xfId="207" xr:uid="{6725B6DD-1E3A-4554-A1F9-C1993C5C1F49}"/>
    <cellStyle name="Date 2" xfId="208" xr:uid="{141DB3BE-066E-4644-9FFE-74A1FE0FCBAA}"/>
    <cellStyle name="Date 2 2" xfId="209" xr:uid="{065149CD-8EEA-45C2-8ED1-3E81BAB6F1BF}"/>
    <cellStyle name="Excel Built-in Comma" xfId="1686" xr:uid="{797386E2-A281-4D72-BB1D-1B5F8B3E08EE}"/>
    <cellStyle name="Explanatory Text" xfId="19" builtinId="53" customBuiltin="1"/>
    <cellStyle name="Explanatory Text 2" xfId="210" xr:uid="{54DAA61E-D7D0-47BE-99E8-0C01F18CA5B7}"/>
    <cellStyle name="Explanatory Text 2 2" xfId="1699" xr:uid="{ADB091DE-FC3A-46E8-B345-0FB304F99763}"/>
    <cellStyle name="Explanatory Text 3" xfId="1733" xr:uid="{4498F322-2C24-4B9C-8BD7-D76ED8681F1D}"/>
    <cellStyle name="Explanatory Text 4" xfId="1660" xr:uid="{2BEED0AA-25D7-4C75-A562-38DAB2F9FB92}"/>
    <cellStyle name="Fixed" xfId="211" xr:uid="{0A710C3E-B5F6-477E-9052-F16F969337D0}"/>
    <cellStyle name="Fixed 2" xfId="212" xr:uid="{CC3FECC7-1C96-4CAD-93D6-493477692A9E}"/>
    <cellStyle name="Fixed 2 2" xfId="213" xr:uid="{8010F80B-1EA8-4F63-80CD-293BB662CE56}"/>
    <cellStyle name="Formula - size 10" xfId="770" xr:uid="{E682A528-432A-4EB7-B96A-69945B480932}"/>
    <cellStyle name="Formula - size 11" xfId="771" xr:uid="{ADB3159B-340A-4AB9-9945-EEA3CC7951CC}"/>
    <cellStyle name="Formula - size 8" xfId="772" xr:uid="{80A49DC6-BF26-4A75-B923-09C7BFFEFC43}"/>
    <cellStyle name="Formula - size 9" xfId="773" xr:uid="{DA3AA0BB-1DB0-4AE7-8249-DA1E9F5E63A7}"/>
    <cellStyle name="Good" xfId="10" builtinId="26" customBuiltin="1"/>
    <cellStyle name="Good 2" xfId="104" xr:uid="{C58358FB-7A97-45FB-B911-9D7951879803}"/>
    <cellStyle name="Good 2 2" xfId="1691" xr:uid="{3A972F36-9AB3-4683-A5CD-5CD5CF2DC069}"/>
    <cellStyle name="Good 2 3" xfId="214" xr:uid="{2087990F-3143-4DAC-8DC5-ABD005D55002}"/>
    <cellStyle name="Good 3" xfId="1713" xr:uid="{14DF9524-5883-4C3C-8F00-8923061430C6}"/>
    <cellStyle name="Good 4" xfId="1650" xr:uid="{8AF4E438-C854-46B5-9837-A20D292D9FE8}"/>
    <cellStyle name="Heading 1" xfId="6" builtinId="16" customBuiltin="1"/>
    <cellStyle name="Heading 1 2" xfId="105" xr:uid="{27F854B8-B770-4265-ABD3-488AEAB0C9D1}"/>
    <cellStyle name="Heading 1 2 2" xfId="216" xr:uid="{72B28DB8-12FD-477B-9964-663BAD12AC3E}"/>
    <cellStyle name="Heading 1 2 3" xfId="269" xr:uid="{4B91205C-BAF7-4CF4-9BEA-FFDC0912BBE5}"/>
    <cellStyle name="Heading 1 2 4" xfId="215" xr:uid="{41522AFC-6292-42B2-866C-5A473421FD66}"/>
    <cellStyle name="Heading 1 3" xfId="217" xr:uid="{65AB5712-7EE7-493B-96AB-3C2324262449}"/>
    <cellStyle name="Heading 1 3 2" xfId="218" xr:uid="{EDCCBFE2-C1B6-462C-8E90-2DBB4651A9EE}"/>
    <cellStyle name="Heading 2" xfId="7" builtinId="17" customBuiltin="1"/>
    <cellStyle name="Heading 2 2" xfId="106" xr:uid="{B089BAD3-E94C-435F-B853-7CE0A39BC946}"/>
    <cellStyle name="Heading 2 2 2" xfId="220" xr:uid="{54108C55-36AC-40E3-8E41-80733019BFE1}"/>
    <cellStyle name="Heading 2 2 3" xfId="270" xr:uid="{7FEE8BEE-BFA8-40EB-B9AD-69CD937C0C68}"/>
    <cellStyle name="Heading 2 2 4" xfId="219" xr:uid="{D8DEE64D-C4FA-4D26-8B67-2A5C6BC3ABC6}"/>
    <cellStyle name="Heading 2 3" xfId="221" xr:uid="{5517DAFB-AA11-4AC9-B430-D747A3DA01C8}"/>
    <cellStyle name="Heading 2 3 2" xfId="222" xr:uid="{47852470-9E5D-421C-AC1E-76043EFF04D0}"/>
    <cellStyle name="Heading 3" xfId="8" builtinId="18" customBuiltin="1"/>
    <cellStyle name="Heading 3 2" xfId="107" xr:uid="{5B8214F6-CF26-4EC2-8262-17C1A7F41F3E}"/>
    <cellStyle name="Heading 3 2 2" xfId="223" xr:uid="{1CAC4651-55DC-4856-8713-2D5621EE17D1}"/>
    <cellStyle name="Heading 4" xfId="9" builtinId="19" customBuiltin="1"/>
    <cellStyle name="Heading 4 2" xfId="108" xr:uid="{CDB9A661-6E6C-4CF6-8153-5A8AC4514000}"/>
    <cellStyle name="Heading 4 2 2" xfId="224" xr:uid="{67FC476D-F37A-454D-8C4D-D7C8F2EAB387}"/>
    <cellStyle name="Hyperlink" xfId="2" builtinId="8"/>
    <cellStyle name="Hyperlink 2" xfId="126" xr:uid="{5BF1D311-E920-42C7-A88D-8474A52AE53E}"/>
    <cellStyle name="Hyperlink 2 2" xfId="774" xr:uid="{D9620BF0-43FB-45BA-AD9C-153DDB3B8361}"/>
    <cellStyle name="Hyperlink 3" xfId="120" xr:uid="{83D1611F-5F38-4951-9A3D-4F3A7D1170F9}"/>
    <cellStyle name="Hyperlink 4" xfId="46" xr:uid="{43350928-997F-4B5F-84FF-BC385CBBAE53}"/>
    <cellStyle name="Input" xfId="13" builtinId="20" customBuiltin="1"/>
    <cellStyle name="Input 2" xfId="109" xr:uid="{074EFBCA-47F3-4728-ADC0-4BDFB2D7677E}"/>
    <cellStyle name="Input 2 2" xfId="1693" xr:uid="{2A0650DD-90A1-4AAE-A6A7-E21DE6A2F8C1}"/>
    <cellStyle name="Input 2 3" xfId="225" xr:uid="{ABBA48BE-03C5-498D-9B46-9F8C8E825331}"/>
    <cellStyle name="Input 3" xfId="1734" xr:uid="{4861BC0B-CB2B-4F8E-93F7-6D8D7AB56225}"/>
    <cellStyle name="Input 4" xfId="1653" xr:uid="{AA6F5128-14BF-4FF8-A2EC-AD657B2B4EAB}"/>
    <cellStyle name="Linked Cell" xfId="16" builtinId="24" customBuiltin="1"/>
    <cellStyle name="Linked Cell 2" xfId="110" xr:uid="{0B6E34C1-90F1-4208-A5B2-070F554062B5}"/>
    <cellStyle name="Linked Cell 2 2" xfId="1696" xr:uid="{49027C3F-C3B8-4C89-B5F5-0E3176A546B0}"/>
    <cellStyle name="Linked Cell 2 3" xfId="226" xr:uid="{38DB8184-D797-49C4-9632-E653497FFB9F}"/>
    <cellStyle name="Linked Cell 3" xfId="1722" xr:uid="{C27FC948-F900-427F-A86D-F7D46A65DE55}"/>
    <cellStyle name="Linked Cell 4" xfId="1656" xr:uid="{FD20B5CA-3497-47CE-8E4A-13B67041B6F9}"/>
    <cellStyle name="Neutral" xfId="12" builtinId="28" customBuiltin="1"/>
    <cellStyle name="Neutral 2" xfId="111" xr:uid="{EEA358F7-B0A0-45CA-97D8-E601A6E5C180}"/>
    <cellStyle name="Neutral 2 2" xfId="775" xr:uid="{CC9308E1-7DBA-4ACE-9A3D-21B72585F183}"/>
    <cellStyle name="Neutral 2 3" xfId="227" xr:uid="{3E00EAA3-34E8-41BA-8532-D1D3DEF70468}"/>
    <cellStyle name="Neutral 3" xfId="58" xr:uid="{269F13A0-B64E-42D7-AEF0-53DE36EA6935}"/>
    <cellStyle name="Neutral 3 2" xfId="1711" xr:uid="{E0E6286F-B9EE-4D7C-A79A-938661E27AB0}"/>
    <cellStyle name="Neutral 4" xfId="1652" xr:uid="{B13BB07F-377D-4122-AAAD-DF1F51CB4AF5}"/>
    <cellStyle name="Neutral 5" xfId="1640" xr:uid="{AE8103EA-C177-464B-8C23-3B38BB195EF8}"/>
    <cellStyle name="Normal" xfId="0" builtinId="0"/>
    <cellStyle name="Normal - size 10" xfId="776" xr:uid="{F6CCA857-28B8-4CC2-8152-3E8A1C7D7801}"/>
    <cellStyle name="Normal - size 11" xfId="777" xr:uid="{6FD82CBD-2ADC-4914-917F-0EF427040C35}"/>
    <cellStyle name="Normal - size 11 2" xfId="778" xr:uid="{E1BBF55B-C4CE-4C3B-A4E4-FAAC55329892}"/>
    <cellStyle name="Normal - size 8" xfId="779" xr:uid="{398C2008-5823-491E-9B06-B77AFD7E43F5}"/>
    <cellStyle name="Normal - size 9" xfId="780" xr:uid="{B4AE603A-9C49-42C4-AAEF-0E7F7C1C355E}"/>
    <cellStyle name="Normal 10" xfId="781" xr:uid="{CE792079-0FDB-4534-90AA-0A5C54AAAFF5}"/>
    <cellStyle name="Normal 10 2" xfId="1007" xr:uid="{43AE5703-2639-41DE-BE67-105159404242}"/>
    <cellStyle name="Normal 10 2 2" xfId="1021" xr:uid="{4E98162D-E911-4310-8CBF-0467189ED568}"/>
    <cellStyle name="Normal 10 3" xfId="957" xr:uid="{B225C63F-B974-4C16-B05C-E0EED2013017}"/>
    <cellStyle name="Normal 10 4" xfId="1774" xr:uid="{DF0DE66B-1E53-47DB-A16D-0A308DF23715}"/>
    <cellStyle name="Normal 100" xfId="4670" xr:uid="{0AE49F51-5B07-4836-BCF8-718EAB734EE4}"/>
    <cellStyle name="Normal 101" xfId="4725" xr:uid="{3A06B814-822C-48D3-B749-CAA8E3D1B510}"/>
    <cellStyle name="Normal 102" xfId="4702" xr:uid="{E52BB2D2-707C-4498-B500-DCDCD9E3C10C}"/>
    <cellStyle name="Normal 103" xfId="4749" xr:uid="{C75EC45B-9179-4A64-A206-D82A10E93529}"/>
    <cellStyle name="Normal 104" xfId="4703" xr:uid="{157B58AF-7D7D-422F-916C-80B7A863C849}"/>
    <cellStyle name="Normal 105" xfId="4669" xr:uid="{1545BDBB-74A0-4DB7-9569-EFB597D5371B}"/>
    <cellStyle name="Normal 106" xfId="4668" xr:uid="{E6DDD694-4517-481E-90ED-8FB628E6D872}"/>
    <cellStyle name="Normal 107" xfId="4686" xr:uid="{C23582ED-B65D-4716-97CA-A5C313B490E6}"/>
    <cellStyle name="Normal 108" xfId="4687" xr:uid="{7B12699F-AE5E-4339-B880-ECE101A2A9C2}"/>
    <cellStyle name="Normal 109" xfId="4671" xr:uid="{13CCBAB5-422F-444E-B5B7-D2D4E0490F56}"/>
    <cellStyle name="Normal 11" xfId="782" xr:uid="{75421B9E-B7A1-4665-B0E5-B6932A265B78}"/>
    <cellStyle name="Normal 11 10" xfId="4042" xr:uid="{5CC0C1D0-447D-48C4-9D42-A098D7F71831}"/>
    <cellStyle name="Normal 11 2" xfId="1058" xr:uid="{F083ADC9-3DB6-43BB-8933-A4C0D8526F83}"/>
    <cellStyle name="Normal 11 2 2" xfId="1165" xr:uid="{16E3EEFF-CC83-43CB-A17E-85FA635526BF}"/>
    <cellStyle name="Normal 11 2 2 2" xfId="1502" xr:uid="{9D6658F8-7F67-497F-A4FF-5E8A959ADA9C}"/>
    <cellStyle name="Normal 11 2 2 2 2" xfId="2561" xr:uid="{84B3198C-1D85-4840-A6CE-4C9A87B4FBA6}"/>
    <cellStyle name="Normal 11 2 2 2 3" xfId="3212" xr:uid="{8BD31815-EB6D-4417-A70D-8F0F1EDC9F2E}"/>
    <cellStyle name="Normal 11 2 2 2 4" xfId="3868" xr:uid="{BA102CA2-122A-4C7A-A1DC-A8E3E403726A}"/>
    <cellStyle name="Normal 11 2 2 2 5" xfId="4531" xr:uid="{5F67A2BA-B45A-4C0E-B0C3-A0843F632F61}"/>
    <cellStyle name="Normal 11 2 2 3" xfId="1998" xr:uid="{0DD1CBB8-4D65-4DE3-999E-0CF62D04FD74}"/>
    <cellStyle name="Normal 11 2 2 4" xfId="2234" xr:uid="{38CF1622-9EFB-4AE9-8CD2-79744863C779}"/>
    <cellStyle name="Normal 11 2 2 5" xfId="2885" xr:uid="{785E7C36-79F3-42E3-BDE0-76850EC1C15B}"/>
    <cellStyle name="Normal 11 2 2 6" xfId="3541" xr:uid="{A0AD26C6-35C7-4520-B4F0-4FC45C80EFF3}"/>
    <cellStyle name="Normal 11 2 2 7" xfId="4204" xr:uid="{FC8E5A81-16C7-4732-9A55-B0EBF5CACF23}"/>
    <cellStyle name="Normal 11 2 3" xfId="1279" xr:uid="{11AAC002-419A-4892-8A00-FB331E33197E}"/>
    <cellStyle name="Normal 11 2 3 2" xfId="1610" xr:uid="{CC1BF621-4814-413C-8B6C-4DCA0A256207}"/>
    <cellStyle name="Normal 11 2 3 2 2" xfId="2669" xr:uid="{F50A3441-105A-4987-BB10-ABC8FC07A28F}"/>
    <cellStyle name="Normal 11 2 3 2 3" xfId="3320" xr:uid="{98E3AAF7-F678-49C1-8222-7E12C695C2C6}"/>
    <cellStyle name="Normal 11 2 3 2 4" xfId="3976" xr:uid="{52CEE286-B37D-439E-A27B-6C29F4AC8FCD}"/>
    <cellStyle name="Normal 11 2 3 2 5" xfId="4639" xr:uid="{FFCA5544-AB12-4185-8626-66430A38E4BF}"/>
    <cellStyle name="Normal 11 2 3 3" xfId="2342" xr:uid="{FDD2988A-2EE2-4A2E-B3B7-BF1068B55196}"/>
    <cellStyle name="Normal 11 2 3 4" xfId="2993" xr:uid="{C2F99C4F-2B8E-475C-ACE1-F8B14DB273C6}"/>
    <cellStyle name="Normal 11 2 3 5" xfId="3649" xr:uid="{0F5BBA98-4346-46A8-9D5C-6DD5E78F7CD0}"/>
    <cellStyle name="Normal 11 2 3 6" xfId="4312" xr:uid="{231945DE-2473-4816-BCA3-323380D49100}"/>
    <cellStyle name="Normal 11 2 4" xfId="1394" xr:uid="{203ED4BD-9781-4513-B804-CE71416876E7}"/>
    <cellStyle name="Normal 11 2 4 2" xfId="2453" xr:uid="{320AE70F-2CA9-4124-B54C-1C932D7DAAE3}"/>
    <cellStyle name="Normal 11 2 4 3" xfId="3104" xr:uid="{56271237-DCC3-4202-9F46-1DB4AF52D590}"/>
    <cellStyle name="Normal 11 2 4 4" xfId="3760" xr:uid="{3DF497CA-9C5C-4E4F-ABA8-35E2850ADF27}"/>
    <cellStyle name="Normal 11 2 4 5" xfId="4423" xr:uid="{F2E470E0-E6E1-42D3-B121-33624AAAF05A}"/>
    <cellStyle name="Normal 11 2 5" xfId="1996" xr:uid="{FF524851-D481-45EE-A00F-33E3DD652492}"/>
    <cellStyle name="Normal 11 2 6" xfId="2126" xr:uid="{A1F84AC9-FC98-41CC-97E1-A42780C5DFC1}"/>
    <cellStyle name="Normal 11 2 7" xfId="2777" xr:uid="{D3DD3AF7-9BBE-4E27-BEE4-07A34B7A4DF5}"/>
    <cellStyle name="Normal 11 2 8" xfId="3433" xr:uid="{88BA51E7-B732-4A29-B92A-AD805D2F6E19}"/>
    <cellStyle name="Normal 11 2 9" xfId="4096" xr:uid="{D9979B48-4ED8-4B19-A049-3D0BAD9E51C3}"/>
    <cellStyle name="Normal 11 3" xfId="1111" xr:uid="{7E0B114D-43EA-4F3F-A6C3-7E5059B8FBE1}"/>
    <cellStyle name="Normal 11 3 2" xfId="1448" xr:uid="{EAA86490-4B72-423B-877F-DC8AAC239C5C}"/>
    <cellStyle name="Normal 11 3 2 2" xfId="2507" xr:uid="{7064320C-025E-43BE-884D-116B97FDCED8}"/>
    <cellStyle name="Normal 11 3 2 3" xfId="3158" xr:uid="{7B0945FE-9A76-4CCC-B2D4-F541916AE907}"/>
    <cellStyle name="Normal 11 3 2 4" xfId="3814" xr:uid="{8074D02B-F4F0-4F41-8CD3-1E9ECBFE3C78}"/>
    <cellStyle name="Normal 11 3 2 5" xfId="4477" xr:uid="{E9131C8C-8859-42D5-911F-1C2F5F01ACB1}"/>
    <cellStyle name="Normal 11 3 3" xfId="1924" xr:uid="{B129930E-93A9-4E3D-83AE-145360F77D05}"/>
    <cellStyle name="Normal 11 3 4" xfId="2180" xr:uid="{CA1C3A69-4C7F-4110-A202-53D8E3D8EDFA}"/>
    <cellStyle name="Normal 11 3 5" xfId="2831" xr:uid="{8086E07C-9C3E-4B2A-8A08-2F757047B354}"/>
    <cellStyle name="Normal 11 3 6" xfId="3487" xr:uid="{FF58D78A-A929-4C92-BD1E-6C989BD76D19}"/>
    <cellStyle name="Normal 11 3 7" xfId="4150" xr:uid="{E813367D-CA55-43E6-97A1-EAA078511A6D}"/>
    <cellStyle name="Normal 11 4" xfId="1225" xr:uid="{CA95DAFD-0B40-46A7-9FE9-E9BBCAAD43C8}"/>
    <cellStyle name="Normal 11 4 2" xfId="1556" xr:uid="{C83E8AA6-7F4E-4ACB-9E0D-9F17D1428788}"/>
    <cellStyle name="Normal 11 4 2 2" xfId="2615" xr:uid="{0696FA9B-8C47-4164-8B41-5AFF9C9D05EF}"/>
    <cellStyle name="Normal 11 4 2 3" xfId="3266" xr:uid="{DCC5653B-612D-4CE1-BDB9-3B75A5046856}"/>
    <cellStyle name="Normal 11 4 2 4" xfId="3922" xr:uid="{71A154AF-7261-4D33-A704-77BAF308720B}"/>
    <cellStyle name="Normal 11 4 2 5" xfId="4585" xr:uid="{4FDA3766-B2F6-4DCD-9927-E02BC7EF47FA}"/>
    <cellStyle name="Normal 11 4 3" xfId="2288" xr:uid="{A0BFD674-E602-4806-A3B9-9C17FD42310D}"/>
    <cellStyle name="Normal 11 4 4" xfId="2939" xr:uid="{91D1B871-8703-4514-8F65-98C370F5E281}"/>
    <cellStyle name="Normal 11 4 5" xfId="3595" xr:uid="{59FA3E97-2EAB-4933-885B-4EDF86BBF70B}"/>
    <cellStyle name="Normal 11 4 6" xfId="4258" xr:uid="{2E5C8119-E1B4-4050-A5C2-8802E4F45FEE}"/>
    <cellStyle name="Normal 11 5" xfId="1340" xr:uid="{5D9845B1-1053-43FA-82B5-4BEF0975C348}"/>
    <cellStyle name="Normal 11 5 2" xfId="2399" xr:uid="{343CC109-42BD-41B4-923A-0F71AB3A41A4}"/>
    <cellStyle name="Normal 11 5 3" xfId="3050" xr:uid="{4B3BAB87-F318-4614-82F2-D154AC3C54BC}"/>
    <cellStyle name="Normal 11 5 4" xfId="3706" xr:uid="{66E117FE-244E-4A2F-A884-86A109B21DCB}"/>
    <cellStyle name="Normal 11 5 5" xfId="4369" xr:uid="{5BE9A048-3649-44BF-8EAB-FA808CD3C5F2}"/>
    <cellStyle name="Normal 11 6" xfId="2001" xr:uid="{BE2185B2-0B5B-4401-A8E0-BB4EA88C9BD5}"/>
    <cellStyle name="Normal 11 7" xfId="2072" xr:uid="{E5AE8ABF-782E-4573-884E-4770CD4D8E62}"/>
    <cellStyle name="Normal 11 8" xfId="2723" xr:uid="{8849BF49-7DF8-4EE0-AE1E-B74D9008286E}"/>
    <cellStyle name="Normal 11 9" xfId="3378" xr:uid="{D75C4B05-DBE6-4DA0-BA3E-38A487F3F04B}"/>
    <cellStyle name="Normal 110" xfId="4746" xr:uid="{59BF3CAA-E032-4E35-AA68-3C1828FFED4E}"/>
    <cellStyle name="Normal 111" xfId="4731" xr:uid="{93DB6D47-2B7D-4F44-A0A7-AA7753F450FC}"/>
    <cellStyle name="Normal 112" xfId="4698" xr:uid="{74EF42BA-2E38-4488-9CE1-CEC65A8D3373}"/>
    <cellStyle name="Normal 113" xfId="4693" xr:uid="{D94C08FA-6C8C-4BF3-BF78-87067250C6D2}"/>
    <cellStyle name="Normal 114" xfId="4684" xr:uid="{DD7E954A-C7DB-4C58-832F-505AD47F223B}"/>
    <cellStyle name="Normal 115" xfId="4674" xr:uid="{6A3188B0-086E-49D8-BC7C-F7A78292137F}"/>
    <cellStyle name="Normal 116" xfId="4690" xr:uid="{70FD6043-ACEC-4215-A15C-3D573E2A2E77}"/>
    <cellStyle name="Normal 117" xfId="4736" xr:uid="{53D4795A-5DF8-4FFF-BD56-9CDFAD1B47A7}"/>
    <cellStyle name="Normal 118" xfId="4753" xr:uid="{BE4AEAC6-8A49-485A-A74E-57D88C46A00A}"/>
    <cellStyle name="Normal 12" xfId="783" xr:uid="{33293B1B-2CE5-4B47-95B9-B47C3A8E7DA2}"/>
    <cellStyle name="Normal 12 2" xfId="941" xr:uid="{46826BD8-CC83-4BB1-AA04-5AF65AF83537}"/>
    <cellStyle name="Normal 13" xfId="784" xr:uid="{11EDB710-4C20-4676-8C00-DC9A50EC56AA}"/>
    <cellStyle name="Normal 13 2" xfId="1089" xr:uid="{E0ED9922-B486-4E95-BFFF-907DCC481D58}"/>
    <cellStyle name="Normal 13 2 2" xfId="1426" xr:uid="{5333B30F-6644-4CB2-A087-947BA64C004E}"/>
    <cellStyle name="Normal 13 2 2 2" xfId="2485" xr:uid="{67C4E64C-2825-43F3-B2C0-F9A68FF8F36D}"/>
    <cellStyle name="Normal 13 2 2 3" xfId="3136" xr:uid="{CC72A5E8-1BE3-4A5A-9FEE-767B458CFF3A}"/>
    <cellStyle name="Normal 13 2 2 4" xfId="3792" xr:uid="{F3478097-DFDE-476F-B288-52694C3922FC}"/>
    <cellStyle name="Normal 13 2 2 5" xfId="4455" xr:uid="{30217CFC-7B1C-4B49-B3E3-28D16EEFAE9B}"/>
    <cellStyle name="Normal 13 2 3" xfId="1850" xr:uid="{540391D2-251A-4EE4-B02B-A70DB154A37B}"/>
    <cellStyle name="Normal 13 2 4" xfId="2158" xr:uid="{4AD74DF6-121E-404B-A05E-5C218AA84E9C}"/>
    <cellStyle name="Normal 13 2 5" xfId="2809" xr:uid="{794258EC-BE99-4A8A-90DD-96E172720DFB}"/>
    <cellStyle name="Normal 13 2 6" xfId="3465" xr:uid="{54DADDBE-7951-4155-BC9F-36622CE18591}"/>
    <cellStyle name="Normal 13 2 7" xfId="4128" xr:uid="{36C02A9A-A67E-48A2-87A1-B720F4A2D9D1}"/>
    <cellStyle name="Normal 13 3" xfId="1203" xr:uid="{E33F4A15-CBCD-4F59-AC9F-755F070AA687}"/>
    <cellStyle name="Normal 13 3 2" xfId="1534" xr:uid="{31A18E48-C946-4182-8B8F-29E8CFCCC844}"/>
    <cellStyle name="Normal 13 3 2 2" xfId="2593" xr:uid="{8BBE038F-F8DE-4D2B-9040-E8613A64677F}"/>
    <cellStyle name="Normal 13 3 2 3" xfId="3244" xr:uid="{41C9F7C4-38FB-4D72-B9F5-7AAE7CA190E9}"/>
    <cellStyle name="Normal 13 3 2 4" xfId="3900" xr:uid="{1B8079B5-8097-40F2-8C6C-5350339E5AF1}"/>
    <cellStyle name="Normal 13 3 2 5" xfId="4563" xr:uid="{5977A118-D7AA-4298-8F30-798E4BCE85CB}"/>
    <cellStyle name="Normal 13 3 3" xfId="2266" xr:uid="{5646DB7D-A050-4DFC-85E3-47A1BAC4830F}"/>
    <cellStyle name="Normal 13 3 4" xfId="2917" xr:uid="{6163E211-EADB-486F-83CC-D8B5D6D0A55E}"/>
    <cellStyle name="Normal 13 3 5" xfId="3573" xr:uid="{C162500B-FD53-4AEE-8FC7-40CD7C7CB4B3}"/>
    <cellStyle name="Normal 13 3 6" xfId="4236" xr:uid="{1C200925-59FC-4720-AB1C-BC16FFF9F39A}"/>
    <cellStyle name="Normal 13 4" xfId="1318" xr:uid="{3EB8B476-4EAA-4B42-9A2D-1D3B6201F411}"/>
    <cellStyle name="Normal 13 4 2" xfId="2377" xr:uid="{684086D5-631C-4D96-A920-2A7C21D6659C}"/>
    <cellStyle name="Normal 13 4 3" xfId="3028" xr:uid="{292DC805-1B8D-4C91-9BA1-3504E9CD4DED}"/>
    <cellStyle name="Normal 13 4 4" xfId="3684" xr:uid="{6DFCA4C9-7284-4868-B8C0-5FC91FF8B791}"/>
    <cellStyle name="Normal 13 4 5" xfId="4347" xr:uid="{B07C5EDB-2802-480D-96F0-0CFD64E1F2F4}"/>
    <cellStyle name="Normal 13 5" xfId="2007" xr:uid="{6CEAF3B6-10E1-4331-B569-2957A1FA6BEB}"/>
    <cellStyle name="Normal 13 6" xfId="2050" xr:uid="{C84C1809-70C9-4689-82BE-9DBF66CF5DE4}"/>
    <cellStyle name="Normal 13 7" xfId="2701" xr:uid="{141B98F0-DDD8-4858-8D71-C73771E1F7DD}"/>
    <cellStyle name="Normal 13 8" xfId="3355" xr:uid="{10EBCF85-D119-4B85-BBB6-EF377C9C5F10}"/>
    <cellStyle name="Normal 13 9" xfId="4020" xr:uid="{A6A0CA1D-CC96-4124-BD2C-22DBF6047AFE}"/>
    <cellStyle name="Normal 14" xfId="785" xr:uid="{9561CA18-692C-4BE8-8086-361F8554F8D4}"/>
    <cellStyle name="Normal 14 2" xfId="1131" xr:uid="{4BC3744E-05CD-4679-AC36-A294A0CDB735}"/>
    <cellStyle name="Normal 14 2 2" xfId="1468" xr:uid="{EA5E1D57-13DF-4753-AB45-24CB2A95E8E7}"/>
    <cellStyle name="Normal 14 2 2 2" xfId="2527" xr:uid="{0EAE9DF2-2BFF-4FC0-9C9B-D5E0424224FB}"/>
    <cellStyle name="Normal 14 2 2 3" xfId="3178" xr:uid="{158A90BD-90AA-4969-B562-5B996B8B4483}"/>
    <cellStyle name="Normal 14 2 2 4" xfId="3834" xr:uid="{820B5572-F7C7-40D1-94FC-18AA79BF8355}"/>
    <cellStyle name="Normal 14 2 2 5" xfId="4497" xr:uid="{BBC201CD-EE02-499B-B955-7AF4DFF1F86A}"/>
    <cellStyle name="Normal 14 2 3" xfId="1961" xr:uid="{E957969A-69AA-48EF-BCCB-EAC696F08E53}"/>
    <cellStyle name="Normal 14 2 4" xfId="2200" xr:uid="{76CA4A80-8A9E-46ED-974B-B596F19AB0AC}"/>
    <cellStyle name="Normal 14 2 5" xfId="2851" xr:uid="{3B976E9C-5F7C-479B-9A0F-F945551E83C8}"/>
    <cellStyle name="Normal 14 2 6" xfId="3507" xr:uid="{CB2A0FF0-72E1-48F2-BC20-F862D31C8860}"/>
    <cellStyle name="Normal 14 2 7" xfId="4170" xr:uid="{DB8DE001-2F7B-4440-9626-41F21B0CC3A9}"/>
    <cellStyle name="Normal 14 3" xfId="1245" xr:uid="{0AB262C7-3435-4045-87DB-6ED1F12A5457}"/>
    <cellStyle name="Normal 14 3 2" xfId="1576" xr:uid="{525F7521-B3C0-43B4-9480-DF6A1E0CCE81}"/>
    <cellStyle name="Normal 14 3 2 2" xfId="2635" xr:uid="{DC9431D9-062D-4507-A2E1-67F5E56B927F}"/>
    <cellStyle name="Normal 14 3 2 3" xfId="3286" xr:uid="{3D68AB19-44BF-4531-9034-B1A9B332A3BD}"/>
    <cellStyle name="Normal 14 3 2 4" xfId="3942" xr:uid="{B0E3AD45-3A35-45A2-94E9-5A7018BD56A6}"/>
    <cellStyle name="Normal 14 3 2 5" xfId="4605" xr:uid="{295C0738-6485-4C52-A12B-FEC0FE70916C}"/>
    <cellStyle name="Normal 14 3 3" xfId="2308" xr:uid="{302FA1DC-A8FE-42CA-A44B-41DCE27AE24E}"/>
    <cellStyle name="Normal 14 3 4" xfId="2959" xr:uid="{38B5996B-4A73-4411-89A5-E5C3A774E7FD}"/>
    <cellStyle name="Normal 14 3 5" xfId="3615" xr:uid="{937A44B0-B441-49B1-B453-5107DE1FED43}"/>
    <cellStyle name="Normal 14 3 6" xfId="4278" xr:uid="{76B9BD9D-82A0-4033-8775-1F45992956E0}"/>
    <cellStyle name="Normal 14 4" xfId="1360" xr:uid="{A23CE0AD-215D-4AF3-9699-880E70960902}"/>
    <cellStyle name="Normal 14 4 2" xfId="2419" xr:uid="{4D080D41-B628-4706-8BC0-BF8CE7C87486}"/>
    <cellStyle name="Normal 14 4 3" xfId="3070" xr:uid="{80B1D273-A40C-4608-BFD2-DD058A388C4F}"/>
    <cellStyle name="Normal 14 4 4" xfId="3726" xr:uid="{D0F5F58A-8D3F-4EEF-87A2-37E4420F40F6}"/>
    <cellStyle name="Normal 14 4 5" xfId="4389" xr:uid="{51F7833B-5967-4F9C-A489-F027C62C0932}"/>
    <cellStyle name="Normal 14 5" xfId="1839" xr:uid="{5037CB14-ACBB-43DD-B84F-6D0FFD43CCDA}"/>
    <cellStyle name="Normal 14 6" xfId="2092" xr:uid="{99C9C5B5-3CA0-4E47-9C1A-4EA11C0DC5A2}"/>
    <cellStyle name="Normal 14 7" xfId="2743" xr:uid="{EEDFBD74-2C8B-4408-AC64-93ACCEC67B57}"/>
    <cellStyle name="Normal 14 8" xfId="3399" xr:uid="{77417F0B-9A8F-422F-9395-9153D91CD775}"/>
    <cellStyle name="Normal 14 9" xfId="4062" xr:uid="{58ED5F54-5870-41BD-BA3B-0C9C0B2F9708}"/>
    <cellStyle name="Normal 15" xfId="786" xr:uid="{0435AF1E-348C-4355-836F-24EC2AA185E5}"/>
    <cellStyle name="Normal 15 2" xfId="939" xr:uid="{6EC15B9A-FCEA-435D-A7D0-54748C7E027C}"/>
    <cellStyle name="Normal 16" xfId="787" xr:uid="{5C9E4AB7-AA0F-4CE9-9790-E171220C891B}"/>
    <cellStyle name="Normal 16 2" xfId="1185" xr:uid="{C18D3CCC-D1D4-4F0F-B4E9-035D9C93108E}"/>
    <cellStyle name="Normal 17" xfId="788" xr:uid="{D79D1338-2D71-4408-BC9C-693A24EC6D53}"/>
    <cellStyle name="Normal 17 2" xfId="1313" xr:uid="{C1FF0F22-F6E2-4381-9DDF-143B33B4DBB2}"/>
    <cellStyle name="Normal 18" xfId="789" xr:uid="{F530134B-A5E8-48B7-AA50-17808CBF10CD}"/>
    <cellStyle name="Normal 18 2" xfId="2362" xr:uid="{D7F17D20-F8B2-436E-B287-1D16C8B759F2}"/>
    <cellStyle name="Normal 18 3" xfId="3013" xr:uid="{4FC32FC0-D8F0-4F80-BE9C-4A2B38B95A27}"/>
    <cellStyle name="Normal 18 4" xfId="3669" xr:uid="{57EC614B-D913-4C16-93A9-C298C0B3E293}"/>
    <cellStyle name="Normal 18 5" xfId="4332" xr:uid="{3F93C1A2-F189-45C8-B84E-F260EA1A40C6}"/>
    <cellStyle name="Normal 19" xfId="790" xr:uid="{D1A78143-2675-4DC7-B579-640D186A990B}"/>
    <cellStyle name="Normal 19 2" xfId="936" xr:uid="{D8C2F1CF-7194-4CD0-989D-07145F292E02}"/>
    <cellStyle name="Normal 19 3" xfId="1778" xr:uid="{DAEF327A-399F-4974-9171-EE0D54300667}"/>
    <cellStyle name="Normal 2" xfId="3" xr:uid="{B190D761-ADDB-4CFB-8149-54EEFCE0B1C0}"/>
    <cellStyle name="Normal 2 2" xfId="146" xr:uid="{0B1A2387-9CC6-4B29-ADA8-643F67F81921}"/>
    <cellStyle name="Normal 2 2 2" xfId="1708" xr:uid="{E503310D-A97C-4358-8CB0-CF86CC1BFE7A}"/>
    <cellStyle name="Normal 2 2 3" xfId="1743" xr:uid="{C145116C-4EBB-4B1F-973D-9FB6CEF5B4CE}"/>
    <cellStyle name="Normal 2 2 3 2" xfId="1767" xr:uid="{96912C11-9755-4BA8-AC18-D70670A91C37}"/>
    <cellStyle name="Normal 2 2 3 3" xfId="1771" xr:uid="{42FEBE42-960D-4C8D-921C-A22934743DC2}"/>
    <cellStyle name="Normal 2 2 3 3 2" xfId="1773" xr:uid="{BDE796F8-215B-4870-B943-4E93C030C767}"/>
    <cellStyle name="Normal 2 2 3 3 2 2" xfId="4660" xr:uid="{CD81FA29-A4CF-44A7-85EF-79D8689DDD9F}"/>
    <cellStyle name="Normal 2 2 3 3 2 3" xfId="1777" xr:uid="{9F0E7710-E361-4A1F-A791-1194A1F6B8CE}"/>
    <cellStyle name="Normal 2 2 4" xfId="1768" xr:uid="{8A7796BC-54F8-4659-A155-C597BCD5B350}"/>
    <cellStyle name="Normal 2 2 5" xfId="168" xr:uid="{9A034681-8E0A-4263-A7C8-5A4A1723FC6C}"/>
    <cellStyle name="Normal 2 3" xfId="68" xr:uid="{6B905365-FEAB-4DE0-B063-C285D4EE32C2}"/>
    <cellStyle name="Normal 2 3 2" xfId="1765" xr:uid="{D3316232-AAA8-4E79-8250-215F29919B95}"/>
    <cellStyle name="Normal 2 3 3" xfId="1742" xr:uid="{B5E9A1ED-9887-4AFE-B185-F0F6F41862DB}"/>
    <cellStyle name="Normal 2 3 4" xfId="1797" xr:uid="{9E93ED21-09F5-40A1-8E1B-22BBAD40C154}"/>
    <cellStyle name="Normal 2 3 5" xfId="1688" xr:uid="{5492CC6A-C00E-4768-8B29-DEB482C1E95E}"/>
    <cellStyle name="Normal 2 3 6" xfId="791" xr:uid="{3A8C5AF2-DA99-46F0-8643-D80FC8E8CA1C}"/>
    <cellStyle name="Normal 2 3 7" xfId="379" xr:uid="{5020C116-8D6B-4092-94D2-393837F2CB28}"/>
    <cellStyle name="Normal 2 4" xfId="334" xr:uid="{87DE0B2E-1831-4BB4-88E0-C43028372007}"/>
    <cellStyle name="Normal 2 4 2" xfId="959" xr:uid="{E047D6A2-3E3C-482D-B2C4-BF0253024504}"/>
    <cellStyle name="Normal 2 4 2 2" xfId="960" xr:uid="{6F586585-8934-4240-82EA-C133236C5B20}"/>
    <cellStyle name="Normal 2 4 3" xfId="958" xr:uid="{B82502FF-9AD8-478E-8EBE-F0CAD083BFE6}"/>
    <cellStyle name="Normal 2 4 3 2" xfId="1739" xr:uid="{36DA1184-2B5D-41E9-A77D-E2E5738F252D}"/>
    <cellStyle name="Normal 2 4 4" xfId="1770" xr:uid="{64BC1815-D7D9-4A72-9030-17E0D562DFD9}"/>
    <cellStyle name="Normal 2 4 4 2" xfId="1772" xr:uid="{E09EF22D-7265-4507-9F76-2850A4D1D6AC}"/>
    <cellStyle name="Normal 2 4 4 2 2" xfId="4659" xr:uid="{64C81413-1673-449B-BC6C-57939D6E5D7F}"/>
    <cellStyle name="Normal 2 4 4 2 3" xfId="1776" xr:uid="{E9614480-C2EB-4A12-8A8F-2F15E541708F}"/>
    <cellStyle name="Normal 2 4 5" xfId="792" xr:uid="{071F662B-FFDD-42D5-A841-75E8C463AC72}"/>
    <cellStyle name="Normal 2 5" xfId="393" xr:uid="{1F56124B-A923-47F5-BB26-6A8E14294787}"/>
    <cellStyle name="Normal 2 5 2" xfId="1798" xr:uid="{163BB41F-70C0-4EC5-9922-D2EB25F22144}"/>
    <cellStyle name="Normal 2 5 3" xfId="1709" xr:uid="{206B6F59-81FF-4811-AD2F-BC48957E16F7}"/>
    <cellStyle name="Normal 2 5 4" xfId="961" xr:uid="{C7CD3763-7F4B-4CD1-84B0-12A72722E99C}"/>
    <cellStyle name="Normal 2 6" xfId="167" xr:uid="{91A89017-CB01-40DE-976C-B25752370876}"/>
    <cellStyle name="Normal 2 7" xfId="52" xr:uid="{2588BA41-853F-42B2-80D3-C3AC0718F30E}"/>
    <cellStyle name="Normal 20" xfId="793" xr:uid="{EC54EE3D-FBF1-4260-B31C-C7F7439FA72D}"/>
    <cellStyle name="Normal 21" xfId="794" xr:uid="{9D5A8DF2-D576-4D3B-8132-E30A52C908A2}"/>
    <cellStyle name="Normal 22" xfId="795" xr:uid="{92C95007-DA16-4860-8988-2366FA36D40F}"/>
    <cellStyle name="Normal 23" xfId="796" xr:uid="{6A16C7C4-ABCE-420C-8C45-4D20EAE296D5}"/>
    <cellStyle name="Normal 24" xfId="797" xr:uid="{15F51E9E-74EB-4253-B14B-A711B32D1C57}"/>
    <cellStyle name="Normal 25" xfId="798" xr:uid="{F4FDFAC5-0F23-4155-AD35-6C3034F5E3A5}"/>
    <cellStyle name="Normal 26" xfId="799" xr:uid="{F0D86860-ECE3-4645-9044-4BD0E120CF12}"/>
    <cellStyle name="Normal 27" xfId="800" xr:uid="{80D7A053-914E-41C9-A10C-74A1E9F2787A}"/>
    <cellStyle name="Normal 28" xfId="801" xr:uid="{707C2561-6ED4-476B-92CE-0AB7E75BBFF3}"/>
    <cellStyle name="Normal 29" xfId="802" xr:uid="{E6EB5558-E74A-4200-ABFA-009A5B199DBB}"/>
    <cellStyle name="Normal 3" xfId="75" xr:uid="{52582172-89D7-42EF-8FFA-2441C27183EC}"/>
    <cellStyle name="Normal 3 10" xfId="288" xr:uid="{AE280E4B-9C07-4917-A600-34DF59E943ED}"/>
    <cellStyle name="Normal 3 11" xfId="803" xr:uid="{95BA49A0-7AC1-4F36-A932-AF4FA24B99B3}"/>
    <cellStyle name="Normal 3 12" xfId="169" xr:uid="{DEC643E3-626A-4592-BEAC-89C7C483DB0A}"/>
    <cellStyle name="Normal 3 2" xfId="129" xr:uid="{A6E93895-D272-4D6E-92E9-09F91E955EB6}"/>
    <cellStyle name="Normal 3 2 2" xfId="963" xr:uid="{435944CE-5C74-46CB-A832-B0A1475D63DB}"/>
    <cellStyle name="Normal 3 2 3" xfId="1747" xr:uid="{1F196FFB-C6CC-4DBB-8993-93D9B5132BDC}"/>
    <cellStyle name="Normal 3 2 4" xfId="804" xr:uid="{F7993C92-1A65-4EC4-A8BA-8AC77EDE6603}"/>
    <cellStyle name="Normal 3 2 5" xfId="170" xr:uid="{BCD865C2-F8E9-4FBB-91F6-5B2731FA66F3}"/>
    <cellStyle name="Normal 3 3" xfId="142" xr:uid="{2E22C894-6D6D-445E-8E07-747E0061FC35}"/>
    <cellStyle name="Normal 3 3 2" xfId="268" xr:uid="{F80647EC-231F-4293-9249-867E67523A5E}"/>
    <cellStyle name="Normal 3 3 2 2" xfId="343" xr:uid="{69B683E9-9A05-441F-AE4F-FED0DBDE846D}"/>
    <cellStyle name="Normal 3 3 2 2 2" xfId="391" xr:uid="{3FC0AC90-905C-4C20-81DD-469B6080B34D}"/>
    <cellStyle name="Normal 3 3 2 2 2 2" xfId="505" xr:uid="{D9DB5F9F-6096-4916-B9AA-D425454B4049}"/>
    <cellStyle name="Normal 3 3 2 2 2 2 2" xfId="724" xr:uid="{554F16C1-4661-4464-9B0D-36336EEACC23}"/>
    <cellStyle name="Normal 3 3 2 2 2 3" xfId="614" xr:uid="{253FEF25-D6B7-45BA-B005-4DAC0A51285B}"/>
    <cellStyle name="Normal 3 3 2 3" xfId="437" xr:uid="{D2BAEEAC-8EAC-43EE-B50F-5DE502D9827B}"/>
    <cellStyle name="Normal 3 3 2 3 2" xfId="656" xr:uid="{2C67422E-C267-4FE6-97E8-3526C4135E13}"/>
    <cellStyle name="Normal 3 3 2 4" xfId="546" xr:uid="{1769D93D-0A50-4D5F-9712-39B0688FA124}"/>
    <cellStyle name="Normal 3 3 2 5" xfId="316" xr:uid="{942BD10A-3DAB-43FD-AB27-BBACAA455EFE}"/>
    <cellStyle name="Normal 3 3 3" xfId="336" xr:uid="{2EAFA6CF-DEF9-42A3-858D-167451B4F174}"/>
    <cellStyle name="Normal 3 3 3 2" xfId="455" xr:uid="{363B8C77-64C7-44EC-A1B0-5F8AADD5A86F}"/>
    <cellStyle name="Normal 3 3 3 2 2" xfId="674" xr:uid="{E52B4CC0-622E-413C-871E-B947EF3B0002}"/>
    <cellStyle name="Normal 3 3 3 3" xfId="564" xr:uid="{68037910-0AB2-4E14-BDEF-B672E888BD1C}"/>
    <cellStyle name="Normal 3 3 3 4" xfId="1799" xr:uid="{75AA9647-ACAD-4182-B32E-E684D5DFEAC6}"/>
    <cellStyle name="Normal 3 3 4" xfId="1741" xr:uid="{9F8E9B13-59D2-429F-B8FE-2F9FB8B32F7A}"/>
    <cellStyle name="Normal 3 3 5" xfId="242" xr:uid="{C3C80DBA-4264-4AB1-9194-61994B4F441E}"/>
    <cellStyle name="Normal 3 4" xfId="358" xr:uid="{8C2997E7-D004-410C-846A-AE2838B90DAE}"/>
    <cellStyle name="Normal 3 4 2" xfId="474" xr:uid="{9827FE13-E40D-4516-A4D5-B1A66C0D241B}"/>
    <cellStyle name="Normal 3 4 2 2" xfId="693" xr:uid="{04F64CF9-6095-4F8A-B0E4-2695430849E0}"/>
    <cellStyle name="Normal 3 4 3" xfId="583" xr:uid="{C179A9E2-02B1-4AF6-9B18-071EFDD504D8}"/>
    <cellStyle name="Normal 3 4 4" xfId="962" xr:uid="{DC88617E-F8D9-40B0-A4CA-C6EA54D1FCDC}"/>
    <cellStyle name="Normal 3 5" xfId="378" xr:uid="{FAE14696-7580-448A-80E9-F6040EC41646}"/>
    <cellStyle name="Normal 3 5 2" xfId="493" xr:uid="{4416D96F-084B-4837-826A-A12952D2463A}"/>
    <cellStyle name="Normal 3 5 2 2" xfId="712" xr:uid="{47A851EB-6660-4617-82C6-0E4D2DC1A4DB}"/>
    <cellStyle name="Normal 3 5 3" xfId="602" xr:uid="{9754519F-A21A-4E53-9F78-75CB26B7226E}"/>
    <cellStyle name="Normal 3 6" xfId="371" xr:uid="{20DBC20D-5850-406D-AA70-8364F0DC9A5D}"/>
    <cellStyle name="Normal 3 7" xfId="317" xr:uid="{7DA816DF-5050-4838-AA03-80A01BBA3373}"/>
    <cellStyle name="Normal 3 7 2" xfId="438" xr:uid="{A334685F-0AC2-41DE-BEE6-B83CDD79B881}"/>
    <cellStyle name="Normal 3 7 2 2" xfId="657" xr:uid="{719FE672-7C54-4018-9763-D36CDF43317E}"/>
    <cellStyle name="Normal 3 7 3" xfId="547" xr:uid="{7B364938-8BEC-428C-83C6-8B6DF66F2A2E}"/>
    <cellStyle name="Normal 3 8" xfId="409" xr:uid="{A4868DE0-0C8A-45F5-AEA5-D11515204126}"/>
    <cellStyle name="Normal 3 8 2" xfId="628" xr:uid="{DC0F2564-A353-4122-93AA-EADE9FE613C8}"/>
    <cellStyle name="Normal 3 9" xfId="518" xr:uid="{6844331F-F0D3-4FFA-B57D-33240B3D2A69}"/>
    <cellStyle name="Normal 30" xfId="805" xr:uid="{2E5FEFA4-B888-48F4-95F8-D8C5C05145DB}"/>
    <cellStyle name="Normal 31" xfId="806" xr:uid="{4E53C179-C79B-454C-8E68-98B762DDF266}"/>
    <cellStyle name="Normal 32" xfId="807" xr:uid="{7B4616B5-339D-4226-BB5C-395D9AA6CBBA}"/>
    <cellStyle name="Normal 33" xfId="808" xr:uid="{378A4EFE-427D-45BC-9DDA-5B7FE95A8EA1}"/>
    <cellStyle name="Normal 34" xfId="809" xr:uid="{7424AD5F-290C-48E7-BD0A-67183B43D4CB}"/>
    <cellStyle name="Normal 35" xfId="810" xr:uid="{57CC4ABE-08F8-4681-9ED1-D04E57D997F3}"/>
    <cellStyle name="Normal 36" xfId="811" xr:uid="{E01B4B68-B8A7-4DB3-A2F0-8CB511ABB39F}"/>
    <cellStyle name="Normal 37" xfId="812" xr:uid="{DCA2133A-18F0-4096-BB44-E398C93E465C}"/>
    <cellStyle name="Normal 38" xfId="813" xr:uid="{CA7C9B24-9D98-45D1-A929-11D20ECFB075}"/>
    <cellStyle name="Normal 39" xfId="814" xr:uid="{55DF00F8-1009-4D8C-A4C7-747AC0F1A5D9}"/>
    <cellStyle name="Normal 4" xfId="69" xr:uid="{C8E5045A-6C59-4086-9D6D-9DBE91729E48}"/>
    <cellStyle name="Normal 4 10" xfId="2704" xr:uid="{5BD7F246-A47E-4D38-858C-D9BAF7F9D756}"/>
    <cellStyle name="Normal 4 11" xfId="3358" xr:uid="{5C1BDC4B-AB7E-4CEB-BEB4-CB5D8BC64935}"/>
    <cellStyle name="Normal 4 12" xfId="4023" xr:uid="{89BE8971-B62F-452C-8ACD-31A90ED03EE0}"/>
    <cellStyle name="Normal 4 13" xfId="1687" xr:uid="{0FBF6A44-ECF8-41BF-A430-50EAB135AD9E}"/>
    <cellStyle name="Normal 4 14" xfId="815" xr:uid="{D59989F6-8F7D-47CA-836C-DF65B409CA8B}"/>
    <cellStyle name="Normal 4 15" xfId="228" xr:uid="{74B80E89-ADC0-489C-8810-CCD58F8AA669}"/>
    <cellStyle name="Normal 4 2" xfId="263" xr:uid="{450AFABE-4F1C-4467-831C-B8933FAE536C}"/>
    <cellStyle name="Normal 4 2 10" xfId="4039" xr:uid="{E794BAF5-AAFA-4541-ABE0-1B403D503A0F}"/>
    <cellStyle name="Normal 4 2 11" xfId="989" xr:uid="{D4579FE4-EEDF-4385-A90A-76A8CBA618B9}"/>
    <cellStyle name="Normal 4 2 2" xfId="360" xr:uid="{59777679-826F-4A5A-9636-E11CF259DDFA}"/>
    <cellStyle name="Normal 4 2 2 10" xfId="1055" xr:uid="{70C8593C-D074-411F-80D8-2FAA6D94AAD7}"/>
    <cellStyle name="Normal 4 2 2 2" xfId="476" xr:uid="{7CD26338-622C-40D1-B97B-EC9EA11FDB9D}"/>
    <cellStyle name="Normal 4 2 2 2 2" xfId="695" xr:uid="{BCC99D05-C714-4F36-991A-3529ABC98F73}"/>
    <cellStyle name="Normal 4 2 2 2 2 2" xfId="2558" xr:uid="{84482C0B-49AB-46B0-9530-DB358E8FFA39}"/>
    <cellStyle name="Normal 4 2 2 2 2 3" xfId="3209" xr:uid="{71EA1768-6721-4268-82E6-354821AE2404}"/>
    <cellStyle name="Normal 4 2 2 2 2 4" xfId="3865" xr:uid="{54228BA0-23FF-4989-93A7-D95B690EE339}"/>
    <cellStyle name="Normal 4 2 2 2 2 5" xfId="4528" xr:uid="{DB2DADC8-E9B2-4D22-9006-30CECC092DCB}"/>
    <cellStyle name="Normal 4 2 2 2 2 6" xfId="1499" xr:uid="{C1A30B0B-EDA1-4BFA-8BB4-7F6F7C67AA1B}"/>
    <cellStyle name="Normal 4 2 2 2 3" xfId="1912" xr:uid="{328248CD-C5D9-4CE4-A6AD-9195F690825D}"/>
    <cellStyle name="Normal 4 2 2 2 4" xfId="2231" xr:uid="{C987B065-A9BE-4486-A30A-50D8B287FE4B}"/>
    <cellStyle name="Normal 4 2 2 2 5" xfId="2882" xr:uid="{E92CF9F5-16FE-41FE-9661-CB0496D336D9}"/>
    <cellStyle name="Normal 4 2 2 2 6" xfId="3538" xr:uid="{852F0EE4-4DEF-43BE-852E-9B4DFD35B2BC}"/>
    <cellStyle name="Normal 4 2 2 2 7" xfId="4201" xr:uid="{6966CF3C-9333-45BF-A4A0-CE7CBF1DAD91}"/>
    <cellStyle name="Normal 4 2 2 2 8" xfId="1162" xr:uid="{099ABB62-8BD3-40F2-9943-2B1E93A3FFDA}"/>
    <cellStyle name="Normal 4 2 2 3" xfId="585" xr:uid="{974D3C39-DE7B-494E-85BF-3303B03F8B6A}"/>
    <cellStyle name="Normal 4 2 2 3 2" xfId="1607" xr:uid="{A4F387A3-B161-4E3F-A2C3-A5186A21C9BB}"/>
    <cellStyle name="Normal 4 2 2 3 2 2" xfId="2666" xr:uid="{9798D59C-BC70-443A-8276-AA08DE041F34}"/>
    <cellStyle name="Normal 4 2 2 3 2 3" xfId="3317" xr:uid="{EE05DA96-F5A0-45A7-9877-3222E4DCE9EE}"/>
    <cellStyle name="Normal 4 2 2 3 2 4" xfId="3973" xr:uid="{45831A6C-0E68-44DB-8A49-01FD5CF36B18}"/>
    <cellStyle name="Normal 4 2 2 3 2 5" xfId="4636" xr:uid="{3F285ED1-31B5-478F-989E-AB0AD2303E2F}"/>
    <cellStyle name="Normal 4 2 2 3 3" xfId="2339" xr:uid="{A74D09F9-1D6A-4310-8B41-9774EA441231}"/>
    <cellStyle name="Normal 4 2 2 3 4" xfId="2990" xr:uid="{37FD3C54-3EA9-45A1-BCE3-9804FF2E8A2E}"/>
    <cellStyle name="Normal 4 2 2 3 5" xfId="3646" xr:uid="{49DEA21A-A5C1-41C4-9731-B0C8D683DD1E}"/>
    <cellStyle name="Normal 4 2 2 3 6" xfId="4309" xr:uid="{FAC6D577-71CA-4644-9C24-93ED0D99161E}"/>
    <cellStyle name="Normal 4 2 2 3 7" xfId="1276" xr:uid="{E7710FDC-461F-446A-9322-C1AB8616C8E9}"/>
    <cellStyle name="Normal 4 2 2 4" xfId="1391" xr:uid="{39DF1377-7B67-4D93-BFE3-27181CF8589E}"/>
    <cellStyle name="Normal 4 2 2 4 2" xfId="2450" xr:uid="{F52DE855-E830-40CF-BEED-EC3628D113A3}"/>
    <cellStyle name="Normal 4 2 2 4 3" xfId="3101" xr:uid="{9282242E-766B-4187-BAD7-EDF3AB53462A}"/>
    <cellStyle name="Normal 4 2 2 4 4" xfId="3757" xr:uid="{528397AD-5104-42A1-AC01-AE70DC2464F1}"/>
    <cellStyle name="Normal 4 2 2 4 5" xfId="4420" xr:uid="{D1D20538-2C68-4D3B-A270-BC6E106A232C}"/>
    <cellStyle name="Normal 4 2 2 5" xfId="1917" xr:uid="{E3ACA2D1-4837-4314-B543-2874DE68B5EB}"/>
    <cellStyle name="Normal 4 2 2 6" xfId="2123" xr:uid="{4EC10BA8-C8CB-4417-8E37-2F3E40457BC6}"/>
    <cellStyle name="Normal 4 2 2 7" xfId="2774" xr:uid="{0CAF7C0B-7C76-419E-A2D3-ABB47DF04DED}"/>
    <cellStyle name="Normal 4 2 2 8" xfId="3430" xr:uid="{72115CEE-3FD1-4420-BAFC-16766E304096}"/>
    <cellStyle name="Normal 4 2 2 9" xfId="4093" xr:uid="{5C3AE23F-CA07-40BC-9ADD-BE31D71F1979}"/>
    <cellStyle name="Normal 4 2 3" xfId="432" xr:uid="{D5076601-D382-4D34-AC3C-8F0F475E0FC2}"/>
    <cellStyle name="Normal 4 2 3 2" xfId="651" xr:uid="{213931ED-D168-4F61-97EF-2A9842F78858}"/>
    <cellStyle name="Normal 4 2 3 2 2" xfId="2504" xr:uid="{DED24A02-1821-459C-BDDB-3BC073B4D3AD}"/>
    <cellStyle name="Normal 4 2 3 2 3" xfId="3155" xr:uid="{5739F1B8-F678-4AD0-98C6-8B08A18A9C3D}"/>
    <cellStyle name="Normal 4 2 3 2 4" xfId="3811" xr:uid="{ECE8FB1F-304B-459E-A7DA-2824F4A010E5}"/>
    <cellStyle name="Normal 4 2 3 2 5" xfId="4474" xr:uid="{FBACC022-6894-4358-B620-97B1C7B6F85E}"/>
    <cellStyle name="Normal 4 2 3 2 6" xfId="1445" xr:uid="{DF7553DF-8CCE-4855-80EC-A57AF1640455}"/>
    <cellStyle name="Normal 4 2 3 3" xfId="1876" xr:uid="{2F8A915B-1D46-42EC-81E5-27608EB51A5C}"/>
    <cellStyle name="Normal 4 2 3 4" xfId="2177" xr:uid="{E76A138B-A482-433E-9122-D37F9A4591D6}"/>
    <cellStyle name="Normal 4 2 3 5" xfId="2828" xr:uid="{664FC452-62DA-43BF-B49D-E3D472644A47}"/>
    <cellStyle name="Normal 4 2 3 6" xfId="3484" xr:uid="{B6DE5A2F-4BE3-4ABF-A20F-3E3EFF9CCA5F}"/>
    <cellStyle name="Normal 4 2 3 7" xfId="4147" xr:uid="{3E322CE5-3ED1-41A1-BF20-1EF2CBA6AA11}"/>
    <cellStyle name="Normal 4 2 3 8" xfId="1108" xr:uid="{00864CEE-B1B4-41AA-BE0F-4BED826D3B95}"/>
    <cellStyle name="Normal 4 2 4" xfId="541" xr:uid="{CB537D8B-2805-499B-B9D8-1F97B8866675}"/>
    <cellStyle name="Normal 4 2 4 2" xfId="1553" xr:uid="{9253E879-DA4C-46E2-8AAC-73EC36BFD69E}"/>
    <cellStyle name="Normal 4 2 4 2 2" xfId="2612" xr:uid="{ECEA38F5-00B3-4EE5-89E2-03B34EEF4065}"/>
    <cellStyle name="Normal 4 2 4 2 3" xfId="3263" xr:uid="{D39FE8BD-29C1-413B-A0AE-064F8F5C3CA4}"/>
    <cellStyle name="Normal 4 2 4 2 4" xfId="3919" xr:uid="{B6884A26-6AFD-4D98-9711-C016B2290012}"/>
    <cellStyle name="Normal 4 2 4 2 5" xfId="4582" xr:uid="{14B5A9CB-65F6-4609-BDDA-C15CC0AC44E2}"/>
    <cellStyle name="Normal 4 2 4 3" xfId="2285" xr:uid="{F2531221-2111-416F-8513-2A439C272AA8}"/>
    <cellStyle name="Normal 4 2 4 4" xfId="2936" xr:uid="{34112B03-8C3E-4494-A30C-9FC2EC4A8F8C}"/>
    <cellStyle name="Normal 4 2 4 5" xfId="3592" xr:uid="{AF099854-4BAC-46B2-8E25-93C274B164CB}"/>
    <cellStyle name="Normal 4 2 4 6" xfId="4255" xr:uid="{05A0B73C-CE92-4AED-9C63-558110E75B11}"/>
    <cellStyle name="Normal 4 2 4 7" xfId="1222" xr:uid="{DCE8D8AB-B711-4C62-91AF-36FC560EC93E}"/>
    <cellStyle name="Normal 4 2 5" xfId="311" xr:uid="{8826E27F-EC18-490D-98E7-474B9CAA9C7B}"/>
    <cellStyle name="Normal 4 2 5 2" xfId="2396" xr:uid="{3620E67E-206C-43B5-8F0F-13B51079D9F7}"/>
    <cellStyle name="Normal 4 2 5 3" xfId="3047" xr:uid="{D738B284-8C25-4FBF-8BF2-905A1F3E763D}"/>
    <cellStyle name="Normal 4 2 5 4" xfId="3703" xr:uid="{08934F08-95E7-47CF-BE08-FE91DD922E9C}"/>
    <cellStyle name="Normal 4 2 5 5" xfId="4366" xr:uid="{2B72F093-D7C1-45BD-B520-6178DFBB193E}"/>
    <cellStyle name="Normal 4 2 5 6" xfId="1337" xr:uid="{CDF7AE49-E7E4-4411-8DF5-A958CC35E831}"/>
    <cellStyle name="Normal 4 2 6" xfId="2020" xr:uid="{B038DA4A-D23F-4DC4-BDD2-683BE362A657}"/>
    <cellStyle name="Normal 4 2 7" xfId="2069" xr:uid="{3734A831-5284-45A1-A59D-5B6CCA12967B}"/>
    <cellStyle name="Normal 4 2 8" xfId="2720" xr:uid="{BC13021C-3C8D-4210-92A7-98DE642C0070}"/>
    <cellStyle name="Normal 4 2 9" xfId="3375" xr:uid="{F74D769B-CDCD-4AF4-8AB8-2E9BA310419A}"/>
    <cellStyle name="Normal 4 3" xfId="381" xr:uid="{D60BE986-AD21-4B58-B040-D9455B8A52FE}"/>
    <cellStyle name="Normal 4 3 10" xfId="4056" xr:uid="{9F7AA450-B319-422C-BC89-374E45AD3B43}"/>
    <cellStyle name="Normal 4 3 11" xfId="1816" xr:uid="{43B8693A-2336-48F5-BC5F-94A80613453F}"/>
    <cellStyle name="Normal 4 3 12" xfId="1707" xr:uid="{691594B8-99DC-4693-B511-11FAB5DD52ED}"/>
    <cellStyle name="Normal 4 3 13" xfId="1011" xr:uid="{91CDA7C3-4610-463B-AB9F-C456E2E3D376}"/>
    <cellStyle name="Normal 4 3 2" xfId="495" xr:uid="{6CE275B7-9B1B-4F19-9A74-EF07732EFD78}"/>
    <cellStyle name="Normal 4 3 2 10" xfId="1072" xr:uid="{BC74F3C4-A839-4CD7-9DE8-4E3C720AAE5B}"/>
    <cellStyle name="Normal 4 3 2 2" xfId="714" xr:uid="{CDBC8AEF-F320-40B7-B3EF-AAC30626C08B}"/>
    <cellStyle name="Normal 4 3 2 2 2" xfId="1516" xr:uid="{750655A2-7328-43D6-9E98-8781117BCD2B}"/>
    <cellStyle name="Normal 4 3 2 2 2 2" xfId="2575" xr:uid="{DA090E44-5523-425B-B340-5ADA94F8D569}"/>
    <cellStyle name="Normal 4 3 2 2 2 3" xfId="3226" xr:uid="{CC6CA85A-3E8B-4F33-BF49-FC886FB79502}"/>
    <cellStyle name="Normal 4 3 2 2 2 4" xfId="3882" xr:uid="{EA427B60-0C26-4075-9349-EA2FD4FFFE44}"/>
    <cellStyle name="Normal 4 3 2 2 2 5" xfId="4545" xr:uid="{C0E30410-9C4E-4553-82CA-48A4719315BB}"/>
    <cellStyle name="Normal 4 3 2 2 3" xfId="1979" xr:uid="{91EDB1E3-6CB2-44FA-BFB2-23280FA7C4E7}"/>
    <cellStyle name="Normal 4 3 2 2 4" xfId="2248" xr:uid="{BFD7926F-A74F-4C7F-A55C-9EB255B82EDB}"/>
    <cellStyle name="Normal 4 3 2 2 5" xfId="2899" xr:uid="{5AE282B9-4188-4CE3-9097-68EC200B2E8D}"/>
    <cellStyle name="Normal 4 3 2 2 6" xfId="3555" xr:uid="{BB48C413-5BF5-41F7-8D21-61FBF98F10F6}"/>
    <cellStyle name="Normal 4 3 2 2 7" xfId="4218" xr:uid="{9CB19BA9-CD28-4292-B611-D53923D2295D}"/>
    <cellStyle name="Normal 4 3 2 2 8" xfId="1179" xr:uid="{FA71E238-3D6C-4677-AC35-D7B6EC8BE59B}"/>
    <cellStyle name="Normal 4 3 2 3" xfId="1293" xr:uid="{77F2A3C3-0BA6-4912-B446-93D67C8F34CD}"/>
    <cellStyle name="Normal 4 3 2 3 2" xfId="1624" xr:uid="{D4832720-5D71-4845-9626-1C4AE68751EA}"/>
    <cellStyle name="Normal 4 3 2 3 2 2" xfId="2683" xr:uid="{4F61D3C2-82CE-4441-B23B-7D0834BF73B3}"/>
    <cellStyle name="Normal 4 3 2 3 2 3" xfId="3334" xr:uid="{9CC399E7-0226-43B2-A0A9-03A57490DCEC}"/>
    <cellStyle name="Normal 4 3 2 3 2 4" xfId="3990" xr:uid="{AF772B0A-470C-49CA-A760-7643467F96BD}"/>
    <cellStyle name="Normal 4 3 2 3 2 5" xfId="4653" xr:uid="{EA96873B-3137-4F6D-A5D2-0D129D7F392C}"/>
    <cellStyle name="Normal 4 3 2 3 3" xfId="2356" xr:uid="{53DD56A9-93E5-4854-B651-F062F69E7208}"/>
    <cellStyle name="Normal 4 3 2 3 4" xfId="3007" xr:uid="{0C3BCAEE-B8E5-4DB9-B561-C8EC2039949A}"/>
    <cellStyle name="Normal 4 3 2 3 5" xfId="3663" xr:uid="{7BC7D2EA-D602-433C-80EE-C0108BBD8514}"/>
    <cellStyle name="Normal 4 3 2 3 6" xfId="4326" xr:uid="{AF4792A4-140C-4408-8537-F4621F68B91E}"/>
    <cellStyle name="Normal 4 3 2 4" xfId="1408" xr:uid="{D7BA2AD6-72D5-49B9-A4C1-D67314C46D61}"/>
    <cellStyle name="Normal 4 3 2 4 2" xfId="2467" xr:uid="{E3014674-82A7-4BE5-BA20-46D8780DF42A}"/>
    <cellStyle name="Normal 4 3 2 4 3" xfId="3118" xr:uid="{EC2A456F-9C7E-4079-A097-ACE2F2628558}"/>
    <cellStyle name="Normal 4 3 2 4 4" xfId="3774" xr:uid="{00CE50A5-DFDA-4BB7-B205-68099873526E}"/>
    <cellStyle name="Normal 4 3 2 4 5" xfId="4437" xr:uid="{6989E689-11C3-4D60-A636-7C6F4E93D853}"/>
    <cellStyle name="Normal 4 3 2 5" xfId="1840" xr:uid="{257B43DA-3BE7-411B-9FCF-ECBF1F1FEA1E}"/>
    <cellStyle name="Normal 4 3 2 6" xfId="2140" xr:uid="{DECAB79D-884C-4084-A999-39DD61963086}"/>
    <cellStyle name="Normal 4 3 2 7" xfId="2791" xr:uid="{377B7C00-19AB-4AB8-A4F7-1DD930FA8956}"/>
    <cellStyle name="Normal 4 3 2 8" xfId="3447" xr:uid="{95AE70CC-D22F-460C-8C52-486ECF85FBD9}"/>
    <cellStyle name="Normal 4 3 2 9" xfId="4110" xr:uid="{44AD8540-0A2B-4797-A0AF-96E724BAA370}"/>
    <cellStyle name="Normal 4 3 3" xfId="604" xr:uid="{861EC7C0-8C1C-4E6A-B9D2-3FA79387D72A}"/>
    <cellStyle name="Normal 4 3 3 2" xfId="1462" xr:uid="{62E6C46D-F66A-4B77-8DC7-834D3BEC5207}"/>
    <cellStyle name="Normal 4 3 3 2 2" xfId="2521" xr:uid="{CC94B8BE-E3D1-4D37-8E9D-73DFE8144111}"/>
    <cellStyle name="Normal 4 3 3 2 3" xfId="3172" xr:uid="{E1137895-7C34-4C8E-8EFB-BEEAA53C0AE1}"/>
    <cellStyle name="Normal 4 3 3 2 4" xfId="3828" xr:uid="{8F079A23-035B-4FF0-A026-7916C084CD05}"/>
    <cellStyle name="Normal 4 3 3 2 5" xfId="4491" xr:uid="{9C06EFC8-9664-4BDF-A5A4-A82EFBA6811B}"/>
    <cellStyle name="Normal 4 3 3 3" xfId="1898" xr:uid="{EF8CBB47-A643-4A68-B159-89AA6E0B6961}"/>
    <cellStyle name="Normal 4 3 3 4" xfId="2194" xr:uid="{F6A69AD5-9C69-466F-99F3-BE32AFE0D13F}"/>
    <cellStyle name="Normal 4 3 3 5" xfId="2845" xr:uid="{110480B1-3F5F-4902-83E9-EA98A2AC68A0}"/>
    <cellStyle name="Normal 4 3 3 6" xfId="3501" xr:uid="{0419102C-C8ED-4F02-9FE8-9460DC725883}"/>
    <cellStyle name="Normal 4 3 3 7" xfId="4164" xr:uid="{57F04B14-CB77-4C44-B910-3ABBC91FE5A3}"/>
    <cellStyle name="Normal 4 3 3 8" xfId="1125" xr:uid="{C3E318B6-5C0A-4E7A-A355-088039053F22}"/>
    <cellStyle name="Normal 4 3 4" xfId="1239" xr:uid="{62AC80F0-DAFF-4F22-B227-B29AFC0E8A15}"/>
    <cellStyle name="Normal 4 3 4 2" xfId="1570" xr:uid="{271F217C-B7A2-4A94-B3CF-1DC41D8FE004}"/>
    <cellStyle name="Normal 4 3 4 2 2" xfId="2629" xr:uid="{2A044CE6-742C-4C4A-9A5B-2BEA84860DD2}"/>
    <cellStyle name="Normal 4 3 4 2 3" xfId="3280" xr:uid="{7838704E-D08D-4185-BBF2-939388714B48}"/>
    <cellStyle name="Normal 4 3 4 2 4" xfId="3936" xr:uid="{CA695DD7-AE6C-4EE3-8260-A40A1D274B01}"/>
    <cellStyle name="Normal 4 3 4 2 5" xfId="4599" xr:uid="{BDEE9054-BC54-4AED-A484-79B9BFF8CCD4}"/>
    <cellStyle name="Normal 4 3 4 3" xfId="2302" xr:uid="{1C6F2D0C-DC74-4B0A-B7E7-E01F1AA849BD}"/>
    <cellStyle name="Normal 4 3 4 4" xfId="2953" xr:uid="{120E398F-3B76-4BCE-AC33-B6C2815D0BE1}"/>
    <cellStyle name="Normal 4 3 4 5" xfId="3609" xr:uid="{761174C8-3C9F-4725-AF38-EDD3ED2588B9}"/>
    <cellStyle name="Normal 4 3 4 6" xfId="4272" xr:uid="{99F08B57-606E-4A3B-8D90-56E23E423752}"/>
    <cellStyle name="Normal 4 3 5" xfId="1354" xr:uid="{F54383C4-8EE6-4E69-988D-4A73F2184A27}"/>
    <cellStyle name="Normal 4 3 5 2" xfId="2413" xr:uid="{B636BBD0-5B09-4534-920D-2A4570D803BF}"/>
    <cellStyle name="Normal 4 3 5 3" xfId="3064" xr:uid="{36EFD0B3-4DAF-49E5-AC14-7BDE24A7DE2C}"/>
    <cellStyle name="Normal 4 3 5 4" xfId="3720" xr:uid="{AF980C6E-1DAA-43BC-8631-F99A1DBC3F7F}"/>
    <cellStyle name="Normal 4 3 5 5" xfId="4383" xr:uid="{19F0E4EA-AB00-4A2E-A953-4F1307C3D616}"/>
    <cellStyle name="Normal 4 3 6" xfId="1880" xr:uid="{2CCACB02-807C-4E0B-899D-A3CFCD49365A}"/>
    <cellStyle name="Normal 4 3 7" xfId="2086" xr:uid="{7DA79EA7-BB5E-4DC1-A628-B91AAA516965}"/>
    <cellStyle name="Normal 4 3 8" xfId="2737" xr:uid="{B263E8E8-68AF-4FEB-9FA8-3AA0E41EC3D5}"/>
    <cellStyle name="Normal 4 3 9" xfId="3393" xr:uid="{1DF4C71B-660C-4D6C-BB5A-1115B53D6DF7}"/>
    <cellStyle name="Normal 4 4" xfId="338" xr:uid="{861024BA-35BB-4C32-86C4-4F629628BD9A}"/>
    <cellStyle name="Normal 4 4 10" xfId="1818" xr:uid="{F86DD554-FFB5-47FC-ADE7-EC1B13C13214}"/>
    <cellStyle name="Normal 4 4 11" xfId="1762" xr:uid="{7BBA3CB4-BE9E-43B9-8CE1-078519641647}"/>
    <cellStyle name="Normal 4 4 12" xfId="1039" xr:uid="{D0A88111-3FAA-4D8E-98CE-4CE5A4B7D627}"/>
    <cellStyle name="Normal 4 4 2" xfId="457" xr:uid="{B08667D9-68D0-461D-B19B-C25E5CB0632B}"/>
    <cellStyle name="Normal 4 4 2 2" xfId="676" xr:uid="{91684EF5-E41A-41AF-B678-D8DF0DCC6138}"/>
    <cellStyle name="Normal 4 4 2 2 2" xfId="2542" xr:uid="{DCE5DB03-F5A1-4327-A7CA-FA8EF65255E6}"/>
    <cellStyle name="Normal 4 4 2 2 3" xfId="3193" xr:uid="{0F1A659A-1BD7-40A6-9093-A4DDFC73DA54}"/>
    <cellStyle name="Normal 4 4 2 2 4" xfId="3849" xr:uid="{296AC52A-57ED-4570-8BF5-B6515F78312B}"/>
    <cellStyle name="Normal 4 4 2 2 5" xfId="4512" xr:uid="{09262346-9E57-43EE-B3EF-2DB4CF8E8548}"/>
    <cellStyle name="Normal 4 4 2 2 6" xfId="1483" xr:uid="{4F6E7015-8EE1-4710-AC0B-8F59A12AD7DA}"/>
    <cellStyle name="Normal 4 4 2 3" xfId="1948" xr:uid="{2A62BB59-F8C8-4CF6-ABEB-E38CC16AF688}"/>
    <cellStyle name="Normal 4 4 2 4" xfId="2215" xr:uid="{851073EE-574C-472B-BC80-CC313D65D995}"/>
    <cellStyle name="Normal 4 4 2 5" xfId="2866" xr:uid="{CE44300A-0B3F-4CEC-A51A-A1C22C85A3E9}"/>
    <cellStyle name="Normal 4 4 2 6" xfId="3522" xr:uid="{1CC7E45C-4A0E-4612-9DE3-610305F536BA}"/>
    <cellStyle name="Normal 4 4 2 7" xfId="4185" xr:uid="{C9EA832C-DB2A-4E88-92ED-1E56CE6A178E}"/>
    <cellStyle name="Normal 4 4 2 8" xfId="1146" xr:uid="{7470EF0E-BAEC-4F91-AE61-F579B9DA7F51}"/>
    <cellStyle name="Normal 4 4 3" xfId="566" xr:uid="{C122F6BB-9FA5-4FEF-96DF-E0D6EA276F4C}"/>
    <cellStyle name="Normal 4 4 3 2" xfId="1591" xr:uid="{E9D01610-AC6E-47C1-8F55-F0731CCA4BF2}"/>
    <cellStyle name="Normal 4 4 3 2 2" xfId="2650" xr:uid="{FF967411-9497-4930-B77C-88C6D6EDE923}"/>
    <cellStyle name="Normal 4 4 3 2 3" xfId="3301" xr:uid="{0D4669EA-B110-49B2-8B57-9AD06C64ED15}"/>
    <cellStyle name="Normal 4 4 3 2 4" xfId="3957" xr:uid="{845B54D5-7991-4295-907A-F3D0CAA6D2B8}"/>
    <cellStyle name="Normal 4 4 3 2 5" xfId="4620" xr:uid="{6547AA97-59CA-4F0C-A8AC-25DA20E8CEC2}"/>
    <cellStyle name="Normal 4 4 3 3" xfId="2323" xr:uid="{092CE954-5395-4264-9CBE-7F77199243D6}"/>
    <cellStyle name="Normal 4 4 3 4" xfId="2974" xr:uid="{DF033656-FC40-43DC-8D5D-A5D6E0E664F9}"/>
    <cellStyle name="Normal 4 4 3 5" xfId="3630" xr:uid="{3F554E8A-AF33-41E5-9411-09CA4A394D36}"/>
    <cellStyle name="Normal 4 4 3 6" xfId="4293" xr:uid="{22AC7EF7-8618-4A12-9F1B-1B20863DC738}"/>
    <cellStyle name="Normal 4 4 3 7" xfId="1260" xr:uid="{2D7F915D-501F-40CC-BC92-D0204F9E888E}"/>
    <cellStyle name="Normal 4 4 4" xfId="1375" xr:uid="{9C5605BE-1CAC-4D59-8A07-EA2A6E181ED5}"/>
    <cellStyle name="Normal 4 4 4 2" xfId="2434" xr:uid="{70C42AE1-9B21-4B9D-B2E1-F0E92E901AE3}"/>
    <cellStyle name="Normal 4 4 4 3" xfId="3085" xr:uid="{3CB5FDD7-D26B-43D8-9962-F1F35E46DCF9}"/>
    <cellStyle name="Normal 4 4 4 4" xfId="3741" xr:uid="{B43468C9-B3F5-45A7-B3A2-353123F01E0D}"/>
    <cellStyle name="Normal 4 4 4 5" xfId="4404" xr:uid="{2DA0B3BF-BA24-40D3-B249-B447B3BB341B}"/>
    <cellStyle name="Normal 4 4 5" xfId="1852" xr:uid="{D40788A6-4F82-44A0-8C70-094BC594721C}"/>
    <cellStyle name="Normal 4 4 6" xfId="2107" xr:uid="{6576843B-CEB7-4FEF-B474-39952A549C4A}"/>
    <cellStyle name="Normal 4 4 7" xfId="2758" xr:uid="{F14036EE-3259-46B6-B04E-E3B64C81B882}"/>
    <cellStyle name="Normal 4 4 8" xfId="3414" xr:uid="{3F532D60-D890-4C3C-9039-FEA0AF6125BB}"/>
    <cellStyle name="Normal 4 4 9" xfId="4077" xr:uid="{D3282F31-49EA-4FD4-B6C3-B203A91B285A}"/>
    <cellStyle name="Normal 4 5" xfId="319" xr:uid="{6AC90100-5EC3-433C-B3F1-D33F2C29ADD4}"/>
    <cellStyle name="Normal 4 5 2" xfId="440" xr:uid="{6F54998B-69BA-4687-82A0-B9B813CAA9C3}"/>
    <cellStyle name="Normal 4 5 2 2" xfId="659" xr:uid="{5497BC88-F798-4B21-9A36-730540582209}"/>
    <cellStyle name="Normal 4 5 2 2 2" xfId="2488" xr:uid="{0C1E9FC0-276B-41E3-84BE-4FC489269CAD}"/>
    <cellStyle name="Normal 4 5 2 3" xfId="3139" xr:uid="{EB2B1488-56ED-483A-9134-EA99E77820FA}"/>
    <cellStyle name="Normal 4 5 2 4" xfId="3795" xr:uid="{001A1E5C-B6BF-41C9-9BD1-186BE53B6CA4}"/>
    <cellStyle name="Normal 4 5 2 5" xfId="4458" xr:uid="{F07892ED-EEA4-42F8-9F97-9A65095D594E}"/>
    <cellStyle name="Normal 4 5 2 6" xfId="1429" xr:uid="{7FE07B1E-747E-48AD-B8EB-B5FCF334BA26}"/>
    <cellStyle name="Normal 4 5 3" xfId="549" xr:uid="{AE400B6A-C675-4B3F-95AC-3478E81A501D}"/>
    <cellStyle name="Normal 4 5 3 2" xfId="1977" xr:uid="{5A831B82-6A93-4C46-9E63-BEE29B434190}"/>
    <cellStyle name="Normal 4 5 4" xfId="2161" xr:uid="{CAFE63C9-56F3-411D-985A-4AEB5FA47F8D}"/>
    <cellStyle name="Normal 4 5 5" xfId="2812" xr:uid="{BA26DE8F-18DC-47B9-BE1B-B9011E9D917C}"/>
    <cellStyle name="Normal 4 5 6" xfId="3468" xr:uid="{90952743-434D-4F3A-9A25-6B12D6169007}"/>
    <cellStyle name="Normal 4 5 7" xfId="4131" xr:uid="{B96C0207-39C3-49BA-9898-E090FCDB9A10}"/>
    <cellStyle name="Normal 4 5 8" xfId="1092" xr:uid="{40F4D853-9780-49E9-92E7-6DFFF89BA7EA}"/>
    <cellStyle name="Normal 4 6" xfId="411" xr:uid="{EE275DAA-B869-4013-95C5-BC1BD0597304}"/>
    <cellStyle name="Normal 4 6 2" xfId="630" xr:uid="{499D8A54-0282-4C3D-8336-F1D0B19D7A28}"/>
    <cellStyle name="Normal 4 6 2 2" xfId="2596" xr:uid="{93994221-F970-47A1-BC94-0A16BF86ADAF}"/>
    <cellStyle name="Normal 4 6 2 3" xfId="3247" xr:uid="{5B8DEC54-C66C-4E51-A287-11E636480260}"/>
    <cellStyle name="Normal 4 6 2 4" xfId="3903" xr:uid="{A622D894-AF7C-4F28-AAFF-79566FE3CB23}"/>
    <cellStyle name="Normal 4 6 2 5" xfId="4566" xr:uid="{EB55E9F1-EE88-4F91-BA8F-34567ED5C091}"/>
    <cellStyle name="Normal 4 6 2 6" xfId="1537" xr:uid="{FA79255E-81AD-44BC-900B-0FAB7CBD8FEA}"/>
    <cellStyle name="Normal 4 6 3" xfId="2269" xr:uid="{58A3410A-55F3-4173-973E-574123ED34D6}"/>
    <cellStyle name="Normal 4 6 4" xfId="2920" xr:uid="{04FCCA7A-C3E3-4A9F-BD4C-DBEAE2D2DC75}"/>
    <cellStyle name="Normal 4 6 5" xfId="3576" xr:uid="{C91F1879-FC82-4989-AB32-35F6D12AA34D}"/>
    <cellStyle name="Normal 4 6 6" xfId="4239" xr:uid="{74162134-4DA6-4244-8921-C96E377DBEEC}"/>
    <cellStyle name="Normal 4 6 7" xfId="1206" xr:uid="{8A169743-79A8-481D-975F-379276C08B43}"/>
    <cellStyle name="Normal 4 7" xfId="520" xr:uid="{7237933F-4EBD-4817-B0E8-A24A36FAA05B}"/>
    <cellStyle name="Normal 4 7 2" xfId="2380" xr:uid="{58C38B00-1B3E-4285-A7AA-6C91303A7460}"/>
    <cellStyle name="Normal 4 7 3" xfId="3031" xr:uid="{0BD179CF-60AC-472F-BA9B-BA097777C4DD}"/>
    <cellStyle name="Normal 4 7 4" xfId="3687" xr:uid="{F9B4CF91-1441-4911-B2A3-7BBEB288285A}"/>
    <cellStyle name="Normal 4 7 5" xfId="4350" xr:uid="{05E06B0E-6B01-477D-AA5C-B059EC3994F8}"/>
    <cellStyle name="Normal 4 7 6" xfId="1321" xr:uid="{B69B4706-EA1A-4E33-ACD8-FEEF3D4149EE}"/>
    <cellStyle name="Normal 4 8" xfId="290" xr:uid="{3E3BF293-4AD9-4A15-8A27-F458A7121BCE}"/>
    <cellStyle name="Normal 4 8 2" xfId="1884" xr:uid="{5311F2CA-77B1-4D3F-B8AE-CBF355F04966}"/>
    <cellStyle name="Normal 4 9" xfId="2053" xr:uid="{2CB372D7-98DF-40AD-8D06-7D252D0C40D9}"/>
    <cellStyle name="Normal 40" xfId="816" xr:uid="{A0C5E3BE-ACC2-487D-9DCE-863E4D19BF10}"/>
    <cellStyle name="Normal 41" xfId="817" xr:uid="{71CC7421-4917-4D25-A8C1-6E735E32FFEF}"/>
    <cellStyle name="Normal 42" xfId="818" xr:uid="{0D9A5929-85E9-4424-AC08-EE4B42E797A9}"/>
    <cellStyle name="Normal 43" xfId="819" xr:uid="{C4A8A83E-6F11-417E-84BC-5989DC14E375}"/>
    <cellStyle name="Normal 44" xfId="820" xr:uid="{544B342E-A062-4CC1-8944-AE66232372B0}"/>
    <cellStyle name="Normal 45" xfId="821" xr:uid="{0C4D620D-04F0-4D38-9C37-F1942E0249D3}"/>
    <cellStyle name="Normal 46" xfId="822" xr:uid="{793E1C48-AC6A-4342-A05E-ABC24EEE0BCE}"/>
    <cellStyle name="Normal 47" xfId="823" xr:uid="{981C5CBF-5F82-4A62-AE2C-93FAC81973E5}"/>
    <cellStyle name="Normal 48" xfId="824" xr:uid="{67749DF6-9297-4307-8FDF-5C6CE80813EC}"/>
    <cellStyle name="Normal 49" xfId="825" xr:uid="{BB25DF1C-B3F0-4A4A-AD80-0E50CC26CE1E}"/>
    <cellStyle name="Normal 5" xfId="77" xr:uid="{C6FB94C0-1E8B-41EB-848F-83113889B9FE}"/>
    <cellStyle name="Normal 5 2" xfId="245" xr:uid="{AF446924-818F-418E-BF38-1ED45AF9C9F0}"/>
    <cellStyle name="Normal 5 2 2" xfId="271" xr:uid="{C868BBBD-D93E-4B1B-8F6D-F555D40F1D5A}"/>
    <cellStyle name="Normal 5 2 2 2" xfId="363" xr:uid="{AF272084-BFD3-43EF-930D-76F863CBE3F9}"/>
    <cellStyle name="Normal 5 2 2 2 2" xfId="392" xr:uid="{D5F3D157-00D9-482E-AA97-6D763BAA6458}"/>
    <cellStyle name="Normal 5 2 2 2 3" xfId="479" xr:uid="{A020B9FF-6E73-44D8-AD05-FCC42000598B}"/>
    <cellStyle name="Normal 5 2 2 2 3 2" xfId="698" xr:uid="{9134FDE9-AE5A-4FAB-A692-9FA592415C11}"/>
    <cellStyle name="Normal 5 2 2 2 4" xfId="588" xr:uid="{43D26845-02F1-43E5-9131-35D462C007F5}"/>
    <cellStyle name="Normal 5 2 2 3" xfId="966" xr:uid="{543E81F0-FC5C-47E1-96F7-5A4049D37397}"/>
    <cellStyle name="Normal 5 2 3" xfId="384" xr:uid="{2FBA9CE6-C214-4C2D-A7A1-E5E30134169C}"/>
    <cellStyle name="Normal 5 2 3 2" xfId="498" xr:uid="{1A1446B0-D72B-4093-8920-F2B9DC97DB6F}"/>
    <cellStyle name="Normal 5 2 3 2 2" xfId="717" xr:uid="{49DB57A7-3F8B-4868-BEA7-54A19051C2C7}"/>
    <cellStyle name="Normal 5 2 3 2 3" xfId="1018" xr:uid="{2BD0624B-315A-45F8-B5EB-14E5324CA445}"/>
    <cellStyle name="Normal 5 2 3 3" xfId="607" xr:uid="{E331CBCE-5285-43AB-948E-08EE9342A346}"/>
    <cellStyle name="Normal 5 2 3 4" xfId="990" xr:uid="{D85E929F-CFCE-4FAF-A25E-C9A5F0DFBA43}"/>
    <cellStyle name="Normal 5 2 4" xfId="344" xr:uid="{2115F5D8-BE70-4F83-83C5-4A234DB50CB6}"/>
    <cellStyle name="Normal 5 2 4 2" xfId="460" xr:uid="{A321F526-2B0A-44AB-B3A3-82BB14E2D122}"/>
    <cellStyle name="Normal 5 2 4 2 2" xfId="679" xr:uid="{93F63DC1-0755-48CF-9570-FCE5FA6BF1DF}"/>
    <cellStyle name="Normal 5 2 4 3" xfId="569" xr:uid="{C6AE2966-E9CA-4108-BB2E-1FFDCF265EA1}"/>
    <cellStyle name="Normal 5 2 4 4" xfId="1801" xr:uid="{8EFB99E2-77CC-42AB-BAE3-C46393680526}"/>
    <cellStyle name="Normal 5 2 5" xfId="414" xr:uid="{CFE9E6C5-9105-4F18-8AC3-EE79DE10F70F}"/>
    <cellStyle name="Normal 5 2 5 2" xfId="633" xr:uid="{41F04A8E-9FF5-4CDA-8ACB-EFFEFA554252}"/>
    <cellStyle name="Normal 5 2 5 3" xfId="1766" xr:uid="{CAAE178E-A08A-4B10-B02F-0344084E1D8F}"/>
    <cellStyle name="Normal 5 2 6" xfId="523" xr:uid="{D356A7CC-0CFE-42B8-9534-350806B7C3FF}"/>
    <cellStyle name="Normal 5 2 7" xfId="293" xr:uid="{74AADB0A-EA2E-4AC4-94C4-694230D0B01B}"/>
    <cellStyle name="Normal 5 2 8" xfId="965" xr:uid="{7216FE17-6F39-4261-BD62-F7FBBBEB85AE}"/>
    <cellStyle name="Normal 5 3" xfId="266" xr:uid="{42C7CF4D-604C-4C0B-B33A-D7838879806D}"/>
    <cellStyle name="Normal 5 3 2" xfId="390" xr:uid="{09E14EE5-B72F-418C-A3A8-6928D03ED98E}"/>
    <cellStyle name="Normal 5 3 2 2" xfId="504" xr:uid="{EC63FC14-39F7-433A-987D-99B1AE0CA946}"/>
    <cellStyle name="Normal 5 3 2 2 2" xfId="723" xr:uid="{466D9F21-BE8E-4159-97D7-187303129467}"/>
    <cellStyle name="Normal 5 3 2 3" xfId="613" xr:uid="{0C91F5B4-2ADE-453C-AFD7-F5042A505979}"/>
    <cellStyle name="Normal 5 3 2 4" xfId="1745" xr:uid="{7D6BE8E7-32DF-423E-A827-94E48A09E531}"/>
    <cellStyle name="Normal 5 3 3" xfId="435" xr:uid="{7DED5EBC-6560-46C6-AE80-F2FD7DA175C3}"/>
    <cellStyle name="Normal 5 3 3 2" xfId="654" xr:uid="{2B54BAF0-D82E-4F9B-BF29-A50456CA398B}"/>
    <cellStyle name="Normal 5 3 4" xfId="544" xr:uid="{B6A67444-6790-4302-B2C7-B24376C5449D}"/>
    <cellStyle name="Normal 5 3 5" xfId="314" xr:uid="{BDD6E634-D932-4559-96DC-53B059AEDE8B}"/>
    <cellStyle name="Normal 5 3 6" xfId="964" xr:uid="{0D4E6374-E310-48AC-8DE9-878824194D8C}"/>
    <cellStyle name="Normal 5 4" xfId="1800" xr:uid="{76F04E43-C95C-46C2-B29C-C1FCA58AF4F9}"/>
    <cellStyle name="Normal 5 5" xfId="1689" xr:uid="{4D4ACFC8-BD38-48DB-9065-75C84F7B752B}"/>
    <cellStyle name="Normal 5 6" xfId="826" xr:uid="{F70008A7-10E0-4B4E-B13D-A386EEA71BF7}"/>
    <cellStyle name="Normal 5 7" xfId="229" xr:uid="{F317CB95-2304-400D-BB2D-BF3B895DCC44}"/>
    <cellStyle name="Normal 50" xfId="827" xr:uid="{C181F22D-1CF3-4E02-AD38-5044D0F56B9C}"/>
    <cellStyle name="Normal 51" xfId="828" xr:uid="{1D67986C-A191-40FF-AB39-6A378BC4AE20}"/>
    <cellStyle name="Normal 52" xfId="829" xr:uid="{6ABB68C5-93C6-4E6C-98DB-7DC8E6547FA3}"/>
    <cellStyle name="Normal 53" xfId="830" xr:uid="{2075BAD8-8D33-4365-99E5-8A5F83C4D902}"/>
    <cellStyle name="Normal 54" xfId="831" xr:uid="{ED662629-3B1A-41FF-B6F1-DA22C85FCE61}"/>
    <cellStyle name="Normal 55" xfId="832" xr:uid="{914735C6-E2BE-442C-BC92-53FF43B5C4EE}"/>
    <cellStyle name="Normal 56" xfId="833" xr:uid="{8557DC98-CA1C-419D-9C9D-D250858BA5B6}"/>
    <cellStyle name="Normal 57" xfId="834" xr:uid="{9A396538-2815-4A25-B1FE-DB120BC70310}"/>
    <cellStyle name="Normal 58" xfId="835" xr:uid="{A66B0DF1-F9DF-451A-8AB4-8337C9FE7BD4}"/>
    <cellStyle name="Normal 59" xfId="836" xr:uid="{E3E36EEA-F3D0-441F-84DB-9C3B03C1B5CE}"/>
    <cellStyle name="Normal 6" xfId="116" xr:uid="{4A4B3F54-B5AA-4544-B6DB-50C9A6AF1405}"/>
    <cellStyle name="Normal 6 2" xfId="386" xr:uid="{9B943ABE-9B02-4CBC-B760-E79841283287}"/>
    <cellStyle name="Normal 6 2 2" xfId="500" xr:uid="{8C2756E5-B563-4A1F-87E6-69749CCE6EA3}"/>
    <cellStyle name="Normal 6 2 2 2" xfId="719" xr:uid="{6D01027B-DD95-4C69-B559-059005E4C780}"/>
    <cellStyle name="Normal 6 2 2 3" xfId="1759" xr:uid="{264DFF8F-775A-4F05-99CB-0805C2E8314C}"/>
    <cellStyle name="Normal 6 2 3" xfId="609" xr:uid="{8DFF6191-2C79-40FF-98EE-E7F5B6B3BC62}"/>
    <cellStyle name="Normal 6 2 4" xfId="967" xr:uid="{FEF573F6-67D3-46A1-ABA4-AC8D674580F9}"/>
    <cellStyle name="Normal 6 3" xfId="416" xr:uid="{97FF150A-8711-44F9-8731-2BD4960536B3}"/>
    <cellStyle name="Normal 6 3 2" xfId="635" xr:uid="{74E950D4-AAF8-42EE-9518-A96D1B8D9883}"/>
    <cellStyle name="Normal 6 3 3" xfId="1738" xr:uid="{BB8F027D-23F1-47CA-96BE-33875F9E3921}"/>
    <cellStyle name="Normal 6 4" xfId="525" xr:uid="{AF98EF3A-7581-4A81-86B7-159F09C7BAE9}"/>
    <cellStyle name="Normal 6 4 2" xfId="1802" xr:uid="{A8D51B03-39CF-4ECC-B632-9F7F45CEE981}"/>
    <cellStyle name="Normal 6 5" xfId="295" xr:uid="{701BABC1-2DC0-4DDA-8837-EC57E51B77C5}"/>
    <cellStyle name="Normal 6 6" xfId="837" xr:uid="{9347568C-3ED2-45EE-875B-9FEEB0DF7B4F}"/>
    <cellStyle name="Normal 6 7" xfId="247" xr:uid="{774A1F16-EC6B-47B9-8DAB-BCA790D21EA6}"/>
    <cellStyle name="Normal 60" xfId="838" xr:uid="{4CE6F3B9-D573-4CF7-A2AF-4A80353D49B5}"/>
    <cellStyle name="Normal 61" xfId="839" xr:uid="{A5DC1414-F828-4510-96D5-5EAE5D630575}"/>
    <cellStyle name="Normal 62" xfId="840" xr:uid="{BF5C7B76-B776-400E-BBCF-150A443D1830}"/>
    <cellStyle name="Normal 63" xfId="841" xr:uid="{334073D5-D977-4553-9FB1-E74AC829747D}"/>
    <cellStyle name="Normal 64" xfId="842" xr:uid="{1F7CDE41-7242-49C8-9590-85B6A80AC75F}"/>
    <cellStyle name="Normal 65" xfId="843" xr:uid="{7F61EA7A-5FF1-4AD1-8B88-22D26CAEFFBD}"/>
    <cellStyle name="Normal 66" xfId="844" xr:uid="{65EBE9EB-B0D9-4F27-98DE-221ADE2D2C99}"/>
    <cellStyle name="Normal 67" xfId="845" xr:uid="{B24CEF9C-C036-4458-90C2-33D5F0CA561A}"/>
    <cellStyle name="Normal 68" xfId="846" xr:uid="{35251994-DD71-4A1E-A383-1F16548A8665}"/>
    <cellStyle name="Normal 69" xfId="847" xr:uid="{EFD13A70-CE6D-40A9-8214-5981297A4938}"/>
    <cellStyle name="Normal 7" xfId="54" xr:uid="{B39A499C-8A3A-4B25-8E8A-FF90AD861497}"/>
    <cellStyle name="Normal 7 2" xfId="968" xr:uid="{B91C36BC-AA78-40E4-9B39-5F472C066E43}"/>
    <cellStyle name="Normal 7 3" xfId="848" xr:uid="{6CACB9F0-F66F-40C7-B643-D1F113AAC925}"/>
    <cellStyle name="Normal 7 4" xfId="286" xr:uid="{61360BB7-DCD9-45BD-9E73-847B6AD70BA8}"/>
    <cellStyle name="Normal 70" xfId="849" xr:uid="{5B0C88EB-A880-413A-9FEE-6FC781A0469C}"/>
    <cellStyle name="Normal 71" xfId="850" xr:uid="{592970D4-AF75-4821-B0AC-A88E1D52CA87}"/>
    <cellStyle name="Normal 72" xfId="851" xr:uid="{B32F2FFB-765F-413A-993A-AB3DBF84717A}"/>
    <cellStyle name="Normal 73" xfId="852" xr:uid="{4E2D0311-E483-47A0-A04C-AE7C35311C07}"/>
    <cellStyle name="Normal 74" xfId="923" xr:uid="{2A79625A-EEB2-4783-A566-80F70FBF6497}"/>
    <cellStyle name="Normal 75" xfId="925" xr:uid="{EE0B721D-8372-4536-85A3-4AD613320EE0}"/>
    <cellStyle name="Normal 76" xfId="926" xr:uid="{FD7A5E30-9A9A-4BDC-9DD0-387B171861D8}"/>
    <cellStyle name="Normal 77" xfId="927" xr:uid="{2F89E5FC-1D4F-483E-8637-F6406E04675F}"/>
    <cellStyle name="Normal 78" xfId="928" xr:uid="{EA1FF3D3-C43C-459D-8F1A-738B7002C603}"/>
    <cellStyle name="Normal 79" xfId="932" xr:uid="{E1DF85DE-D319-4814-81D5-326CA49BF8DE}"/>
    <cellStyle name="Normal 8" xfId="48" xr:uid="{EEF5FF82-4A19-4D55-ADED-CDF4D1D43CCA}"/>
    <cellStyle name="Normal 8 2" xfId="970" xr:uid="{83EACBE7-ED14-45B4-BC80-89267AA1F3D4}"/>
    <cellStyle name="Normal 8 3" xfId="971" xr:uid="{0225FC89-DB00-47CC-9F04-C36FF6DEF2C3}"/>
    <cellStyle name="Normal 8 3 2" xfId="972" xr:uid="{C78A8F44-1A60-4C45-94F9-60E4F695B0E8}"/>
    <cellStyle name="Normal 8 4" xfId="969" xr:uid="{A8C8FE31-1A3F-48EE-A034-DEEDE93ED679}"/>
    <cellStyle name="Normal 8 5" xfId="1710" xr:uid="{1DD2D2E0-A15C-4BC6-A624-62B9D7EE1634}"/>
    <cellStyle name="Normal 8 6" xfId="853" xr:uid="{FA0E17E4-5B47-4CA3-926D-C636CAF09C9F}"/>
    <cellStyle name="Normal 8 7" xfId="408" xr:uid="{04085934-E1F6-4D60-AF21-96BF061038A4}"/>
    <cellStyle name="Normal 80" xfId="933" xr:uid="{3F11AC24-BF3E-490C-B7BD-639C89EFE7DE}"/>
    <cellStyle name="Normal 81" xfId="739" xr:uid="{20568536-691C-48A8-95A7-B4D6BCB2AFE4}"/>
    <cellStyle name="Normal 82" xfId="725" xr:uid="{ED09B514-55BF-4388-9FD5-4DFEACBDC09B}"/>
    <cellStyle name="Normal 83" xfId="148" xr:uid="{AC1C3DF6-8A1A-400A-9077-35DB23B9DE02}"/>
    <cellStyle name="Normal 84" xfId="153" xr:uid="{DAFFD45E-7FC0-4614-8955-C03B655BE0B5}"/>
    <cellStyle name="Normal 85" xfId="4691" xr:uid="{8926BB6B-9CC2-4D83-AF15-03BB21F65803}"/>
    <cellStyle name="Normal 86" xfId="4757" xr:uid="{87164D3A-1363-4E1F-AE61-9B875FA8B034}"/>
    <cellStyle name="Normal 87" xfId="4673" xr:uid="{EB61AA23-2571-41C6-AD3A-08141F0C4C0B}"/>
    <cellStyle name="Normal 88" xfId="4701" xr:uid="{A816E69C-AA01-4809-9E96-2F77D34894E3}"/>
    <cellStyle name="Normal 89" xfId="4709" xr:uid="{33ADF790-89C8-4E5A-8269-572988B3E2CD}"/>
    <cellStyle name="Normal 9" xfId="395" xr:uid="{64852941-D39C-49F8-922B-284E4D9AF730}"/>
    <cellStyle name="Normal 9 2" xfId="615" xr:uid="{08BC9DC7-D8D4-4BEF-A0A3-1E9118B2F936}"/>
    <cellStyle name="Normal 9 2 2" xfId="974" xr:uid="{7033BAB1-FEB2-4245-A44D-6D185661FDA5}"/>
    <cellStyle name="Normal 9 3" xfId="973" xr:uid="{9CA717F2-B717-484D-8DC4-33B433CBDACD}"/>
    <cellStyle name="Normal 9 4" xfId="1648" xr:uid="{5E9778F0-270D-4EB3-8997-5C2820B2CCC3}"/>
    <cellStyle name="Normal 9 5" xfId="854" xr:uid="{DEE4704D-CA2C-49C6-8593-2388888CA7D0}"/>
    <cellStyle name="Normal 90" xfId="4681" xr:uid="{91388958-62C5-4B23-A198-42A1E8AE9C55}"/>
    <cellStyle name="Normal 91" xfId="4676" xr:uid="{9172B1DE-9587-4188-8E54-08C3B46611AE}"/>
    <cellStyle name="Normal 92" xfId="4666" xr:uid="{41B67C5B-83CA-4176-82FC-B47986C53722}"/>
    <cellStyle name="Normal 93" xfId="4727" xr:uid="{5C930459-1192-456B-9774-5BF51AF0AA6F}"/>
    <cellStyle name="Normal 94" xfId="4758" xr:uid="{412F151D-753C-421F-8FFA-D07209A78170}"/>
    <cellStyle name="Normal 95" xfId="4679" xr:uid="{C2B1C590-A08E-4487-985D-277B01C5D455}"/>
    <cellStyle name="Normal 96" xfId="4699" xr:uid="{DBDD1C3A-9D0A-49D4-AA2D-5207BEE23832}"/>
    <cellStyle name="Normal 97" xfId="4689" xr:uid="{2AF04788-BE97-4560-944C-B3EBB16A0442}"/>
    <cellStyle name="Normal 98" xfId="4761" xr:uid="{66853E04-7C6C-4033-A4AE-1C163B45468C}"/>
    <cellStyle name="Normal 99" xfId="4748" xr:uid="{5C7B09DA-27A5-4E6B-8B87-3DBCD31B8071}"/>
    <cellStyle name="Note 2" xfId="71" xr:uid="{BC64816E-9B27-42B1-991E-FFAD72B50E36}"/>
    <cellStyle name="Note 2 10" xfId="2705" xr:uid="{5E1AC3FC-15C3-44AE-803D-18215539DC40}"/>
    <cellStyle name="Note 2 11" xfId="3359" xr:uid="{0025DD90-1D8C-42C4-9FC1-BA75131C3B63}"/>
    <cellStyle name="Note 2 12" xfId="4024" xr:uid="{E8E835D2-835F-43C0-AAE8-D82749A25B02}"/>
    <cellStyle name="Note 2 13" xfId="855" xr:uid="{3DC68BC8-BC78-4717-BDFD-0155211C3331}"/>
    <cellStyle name="Note 2 14" xfId="230" xr:uid="{13FA9FF0-94A9-4A59-A3A6-4C958541E96F}"/>
    <cellStyle name="Note 2 2" xfId="231" xr:uid="{69A99478-06A4-4CC7-B1D2-5B6DF3BE6A39}"/>
    <cellStyle name="Note 2 2 10" xfId="4040" xr:uid="{13217666-48A5-4F7F-BD79-98B42DF66AE7}"/>
    <cellStyle name="Note 2 2 11" xfId="991" xr:uid="{41DC22A0-C157-4BCB-9E6C-7B8DFE3A8B0C}"/>
    <cellStyle name="Note 2 2 2" xfId="1056" xr:uid="{E6CD588D-B51F-490A-AE42-77B27FC4734F}"/>
    <cellStyle name="Note 2 2 2 2" xfId="1163" xr:uid="{D073B8CF-4D02-49FD-A030-C67089A1D252}"/>
    <cellStyle name="Note 2 2 2 2 2" xfId="1500" xr:uid="{204401BB-70AF-4C7F-8B04-2E5A4E94B6E8}"/>
    <cellStyle name="Note 2 2 2 2 2 2" xfId="2559" xr:uid="{7BE27285-5B3C-4CA7-952E-8707F745D35B}"/>
    <cellStyle name="Note 2 2 2 2 2 3" xfId="3210" xr:uid="{D9E69230-7F48-40BD-8382-39AA17D40EE9}"/>
    <cellStyle name="Note 2 2 2 2 2 4" xfId="3866" xr:uid="{56002731-53F1-49AB-A2E1-48B8284E2E3C}"/>
    <cellStyle name="Note 2 2 2 2 2 5" xfId="4529" xr:uid="{1689D253-021E-4D5D-8A63-B6965B7595B0}"/>
    <cellStyle name="Note 2 2 2 2 3" xfId="1937" xr:uid="{0FE4B093-CE1D-47D9-B418-A8D5305C5419}"/>
    <cellStyle name="Note 2 2 2 2 4" xfId="2232" xr:uid="{CB5773E1-A06D-41AC-B437-AF5F7060AA44}"/>
    <cellStyle name="Note 2 2 2 2 5" xfId="2883" xr:uid="{39191351-0C92-4E22-A5B6-C3BFA93CFB09}"/>
    <cellStyle name="Note 2 2 2 2 6" xfId="3539" xr:uid="{A8AE6F0B-7EFD-419B-AEB7-C4D34FD35B52}"/>
    <cellStyle name="Note 2 2 2 2 7" xfId="4202" xr:uid="{7FAA21A6-5FB1-43F8-A2D6-877C9405C497}"/>
    <cellStyle name="Note 2 2 2 3" xfId="1277" xr:uid="{2BDAC194-3BDC-4684-81F6-F55EE83008B4}"/>
    <cellStyle name="Note 2 2 2 3 2" xfId="1608" xr:uid="{ACF6C5E9-CB07-41C6-B0DC-A92BEFA3144D}"/>
    <cellStyle name="Note 2 2 2 3 2 2" xfId="2667" xr:uid="{71DC9FEA-433E-4BBF-9F08-16B925D5BDEE}"/>
    <cellStyle name="Note 2 2 2 3 2 3" xfId="3318" xr:uid="{601D4FB6-5A7A-48E0-978D-8818ED9042DF}"/>
    <cellStyle name="Note 2 2 2 3 2 4" xfId="3974" xr:uid="{284BC6B0-DA7D-4B56-A51F-A80B208C85AB}"/>
    <cellStyle name="Note 2 2 2 3 2 5" xfId="4637" xr:uid="{6FA6D873-F54F-4A27-AFF8-E3FA6834F0A2}"/>
    <cellStyle name="Note 2 2 2 3 3" xfId="2340" xr:uid="{DFBBF46F-82EB-4335-982B-DFE6C8BAD321}"/>
    <cellStyle name="Note 2 2 2 3 4" xfId="2991" xr:uid="{B3C68A1B-CCB8-46BA-8D0B-0A4A2A3ED14D}"/>
    <cellStyle name="Note 2 2 2 3 5" xfId="3647" xr:uid="{E8A1D97E-0990-496A-A43C-8B97E02656D6}"/>
    <cellStyle name="Note 2 2 2 3 6" xfId="4310" xr:uid="{67ADF951-A9C9-404E-A98E-70EE9686EEE3}"/>
    <cellStyle name="Note 2 2 2 4" xfId="1392" xr:uid="{200B8968-8324-4DE0-8CD3-93FD2ECB15FC}"/>
    <cellStyle name="Note 2 2 2 4 2" xfId="2451" xr:uid="{0C99F8C6-DFB7-4EBD-BAE3-20D5BA930A4B}"/>
    <cellStyle name="Note 2 2 2 4 3" xfId="3102" xr:uid="{5EC006F6-B597-43F6-B567-F0EA8E332126}"/>
    <cellStyle name="Note 2 2 2 4 4" xfId="3758" xr:uid="{CF0B4962-55F9-4DD8-8FF1-83F3F8DD8ACA}"/>
    <cellStyle name="Note 2 2 2 4 5" xfId="4421" xr:uid="{E0A88C53-E0B1-4369-927C-482E46044AB9}"/>
    <cellStyle name="Note 2 2 2 5" xfId="2015" xr:uid="{5D20F517-D2A8-4520-8105-47A5FC3CC06B}"/>
    <cellStyle name="Note 2 2 2 6" xfId="2124" xr:uid="{EE11A575-F30A-430F-82A5-2CD1A0874C98}"/>
    <cellStyle name="Note 2 2 2 7" xfId="2775" xr:uid="{B0E949B4-E354-471D-948F-F2A373349869}"/>
    <cellStyle name="Note 2 2 2 8" xfId="3431" xr:uid="{FF917CFB-8665-406B-B63E-A340413C987F}"/>
    <cellStyle name="Note 2 2 2 9" xfId="4094" xr:uid="{89BF332E-9A64-4266-80E6-025A4ACFFD1D}"/>
    <cellStyle name="Note 2 2 3" xfId="1109" xr:uid="{4FC52126-8D7A-471F-AADA-85273B621F81}"/>
    <cellStyle name="Note 2 2 3 2" xfId="1446" xr:uid="{9ED914BD-31FD-4A0E-9A0A-BECB7F0E1088}"/>
    <cellStyle name="Note 2 2 3 2 2" xfId="2505" xr:uid="{7783F8FB-A04F-48A7-A3AC-8DB0D14BAB2B}"/>
    <cellStyle name="Note 2 2 3 2 3" xfId="3156" xr:uid="{DFDBF7C5-B2AC-48E8-8A62-34857F0E12A6}"/>
    <cellStyle name="Note 2 2 3 2 4" xfId="3812" xr:uid="{CD2C7078-07A3-46F3-8995-AD992C9DC1A5}"/>
    <cellStyle name="Note 2 2 3 2 5" xfId="4475" xr:uid="{136D5DCF-5C61-4A41-B181-B2902442F1B9}"/>
    <cellStyle name="Note 2 2 3 3" xfId="1970" xr:uid="{ADD5D697-0593-4F69-B424-C7692E1D148B}"/>
    <cellStyle name="Note 2 2 3 4" xfId="2178" xr:uid="{C88FAB82-0554-481E-B31A-8CFAE2D508B9}"/>
    <cellStyle name="Note 2 2 3 5" xfId="2829" xr:uid="{ACDD48DB-A312-4191-8B4F-2CADC520D1DE}"/>
    <cellStyle name="Note 2 2 3 6" xfId="3485" xr:uid="{D49D1CC4-E17A-42C5-A29F-D3B75F79D57B}"/>
    <cellStyle name="Note 2 2 3 7" xfId="4148" xr:uid="{92E4CF5A-00BB-43BC-8F68-86623EA82998}"/>
    <cellStyle name="Note 2 2 4" xfId="1223" xr:uid="{E0509B3C-60A0-408B-A947-26C70601E47C}"/>
    <cellStyle name="Note 2 2 4 2" xfId="1554" xr:uid="{536B649E-385E-41DD-9E71-8884CFBDFDD8}"/>
    <cellStyle name="Note 2 2 4 2 2" xfId="2613" xr:uid="{DEB8CEF0-D6EC-4CDA-B7A9-C26946B50688}"/>
    <cellStyle name="Note 2 2 4 2 3" xfId="3264" xr:uid="{63DD0B61-D302-40EF-A7AC-1C95784818B8}"/>
    <cellStyle name="Note 2 2 4 2 4" xfId="3920" xr:uid="{D0D6D963-A134-41BC-83CF-0C3FA1662DDD}"/>
    <cellStyle name="Note 2 2 4 2 5" xfId="4583" xr:uid="{2CA5B073-C64A-4571-82E7-D2BDD02BA790}"/>
    <cellStyle name="Note 2 2 4 3" xfId="2286" xr:uid="{17EC1C17-3AD1-491B-A9A1-EE43286A1E28}"/>
    <cellStyle name="Note 2 2 4 4" xfId="2937" xr:uid="{C6D23346-8082-4FCD-9BC2-E6ADC47B6671}"/>
    <cellStyle name="Note 2 2 4 5" xfId="3593" xr:uid="{1F636D39-82F8-480D-BDB1-EAB18AD1C307}"/>
    <cellStyle name="Note 2 2 4 6" xfId="4256" xr:uid="{353020F7-5123-4E27-8376-A4E6DF3244EA}"/>
    <cellStyle name="Note 2 2 5" xfId="1338" xr:uid="{F692FED3-B606-4F88-B7F8-A37550ABD29A}"/>
    <cellStyle name="Note 2 2 5 2" xfId="2397" xr:uid="{2F2E1F63-43C0-4197-A0CC-2159E802346B}"/>
    <cellStyle name="Note 2 2 5 3" xfId="3048" xr:uid="{501C2F4A-E37F-4357-A3C9-64BB315BEB95}"/>
    <cellStyle name="Note 2 2 5 4" xfId="3704" xr:uid="{03300599-9906-4FB4-BF80-F983BF94AB86}"/>
    <cellStyle name="Note 2 2 5 5" xfId="4367" xr:uid="{4C4DB8F6-5D2F-4832-A9D1-0432CE555266}"/>
    <cellStyle name="Note 2 2 6" xfId="1999" xr:uid="{1E4107D2-C114-44EA-8B00-55BF0E9E70BC}"/>
    <cellStyle name="Note 2 2 7" xfId="2070" xr:uid="{EB7B66D1-C333-4EAF-B142-57EA7136A691}"/>
    <cellStyle name="Note 2 2 8" xfId="2721" xr:uid="{F2849812-7A4E-41A3-BF56-DC434AF95889}"/>
    <cellStyle name="Note 2 2 9" xfId="3376" xr:uid="{BB7AF01B-B368-4002-BFD3-49F620E41C46}"/>
    <cellStyle name="Note 2 3" xfId="232" xr:uid="{BF7E128B-7ECA-4F48-950B-468CA7DFC564}"/>
    <cellStyle name="Note 2 3 10" xfId="4057" xr:uid="{405C58E8-8C50-49FB-AF97-EC34DAE893C1}"/>
    <cellStyle name="Note 2 3 11" xfId="1012" xr:uid="{861B149E-EEFE-4600-B203-1CB6C868F4D1}"/>
    <cellStyle name="Note 2 3 2" xfId="243" xr:uid="{19A69034-8F1F-419B-B386-413036F470AC}"/>
    <cellStyle name="Note 2 3 2 10" xfId="1073" xr:uid="{8040D357-15B0-4B4C-9C05-D6B64C9592BA}"/>
    <cellStyle name="Note 2 3 2 2" xfId="1180" xr:uid="{1DE0A275-92A9-4CF3-A84C-84F1045B061D}"/>
    <cellStyle name="Note 2 3 2 2 2" xfId="1517" xr:uid="{597C0AAF-0F50-4BDC-9CC2-B36460E08692}"/>
    <cellStyle name="Note 2 3 2 2 2 2" xfId="2576" xr:uid="{4586D516-5F8C-441B-BE15-6F9D03392899}"/>
    <cellStyle name="Note 2 3 2 2 2 3" xfId="3227" xr:uid="{DE8437AF-8EF5-4D7C-BF8E-FE29DD0A5616}"/>
    <cellStyle name="Note 2 3 2 2 2 4" xfId="3883" xr:uid="{363FEB08-19F9-474A-A6B3-3F8885F23D01}"/>
    <cellStyle name="Note 2 3 2 2 2 5" xfId="4546" xr:uid="{DAAB5CCB-FB23-4ECC-838B-7D70337FFF73}"/>
    <cellStyle name="Note 2 3 2 2 3" xfId="2037" xr:uid="{1A0676C8-A1D2-498F-A5AD-4B30BEA9757E}"/>
    <cellStyle name="Note 2 3 2 2 4" xfId="2249" xr:uid="{467C8430-E663-4F8B-9675-2C6C81D1F5D4}"/>
    <cellStyle name="Note 2 3 2 2 5" xfId="2900" xr:uid="{540297E9-507B-4EE1-9050-6D7B94ECB948}"/>
    <cellStyle name="Note 2 3 2 2 6" xfId="3556" xr:uid="{0673B299-B566-49AD-9C3C-4A3312856B8B}"/>
    <cellStyle name="Note 2 3 2 2 7" xfId="4219" xr:uid="{EC04BE01-5084-4C49-9CDB-1E94D1AE6D49}"/>
    <cellStyle name="Note 2 3 2 3" xfId="1294" xr:uid="{191FA8CB-7B4C-4636-BA37-60C5C7EBEB86}"/>
    <cellStyle name="Note 2 3 2 3 2" xfId="1625" xr:uid="{60F620F6-7AF9-40F4-855F-143635070615}"/>
    <cellStyle name="Note 2 3 2 3 2 2" xfId="2684" xr:uid="{AFB5BF18-7126-43AF-B474-ED5ECC6E5439}"/>
    <cellStyle name="Note 2 3 2 3 2 3" xfId="3335" xr:uid="{D5392134-634D-44F7-ADD9-2F966C9DE568}"/>
    <cellStyle name="Note 2 3 2 3 2 4" xfId="3991" xr:uid="{E536F551-A740-4001-8396-914410031962}"/>
    <cellStyle name="Note 2 3 2 3 2 5" xfId="4654" xr:uid="{BA521A63-FFFA-4CDD-B0B2-9B912218063F}"/>
    <cellStyle name="Note 2 3 2 3 3" xfId="2357" xr:uid="{78B93461-95FB-4802-BA40-9D31BD9BB6BB}"/>
    <cellStyle name="Note 2 3 2 3 4" xfId="3008" xr:uid="{F82A4421-C721-4244-B278-E5F7C1F71A85}"/>
    <cellStyle name="Note 2 3 2 3 5" xfId="3664" xr:uid="{D7805A37-1D48-4B51-BB0D-01597E6855A7}"/>
    <cellStyle name="Note 2 3 2 3 6" xfId="4327" xr:uid="{C474DCA7-2411-4B46-B497-D3277432BDA3}"/>
    <cellStyle name="Note 2 3 2 4" xfId="1409" xr:uid="{94FA9400-DA50-436F-9640-33A8B9D92E52}"/>
    <cellStyle name="Note 2 3 2 4 2" xfId="2468" xr:uid="{24364700-8848-4A15-8A2E-E33D1D1AC9B2}"/>
    <cellStyle name="Note 2 3 2 4 3" xfId="3119" xr:uid="{9A46F6EA-756B-4844-A70C-CFACC9A940AA}"/>
    <cellStyle name="Note 2 3 2 4 4" xfId="3775" xr:uid="{7CEB892B-7FC6-46CB-8453-DB15CBCABD7B}"/>
    <cellStyle name="Note 2 3 2 4 5" xfId="4438" xr:uid="{F3BA2D97-0EFE-463E-8483-7BCAB73032AC}"/>
    <cellStyle name="Note 2 3 2 5" xfId="1831" xr:uid="{E93F0DF5-2247-41DE-AB9A-760B4C341A6C}"/>
    <cellStyle name="Note 2 3 2 6" xfId="2141" xr:uid="{60AA5E24-E110-4C19-B516-68C2F9965B8C}"/>
    <cellStyle name="Note 2 3 2 7" xfId="2792" xr:uid="{3E754D27-EB65-4245-BF2D-9823D0F39A10}"/>
    <cellStyle name="Note 2 3 2 8" xfId="3448" xr:uid="{A42020E4-A4CB-4E30-9B76-4EBCA16C05E0}"/>
    <cellStyle name="Note 2 3 2 9" xfId="4111" xr:uid="{4EA68646-B2B0-46C8-84F5-4109DA469F65}"/>
    <cellStyle name="Note 2 3 3" xfId="339" xr:uid="{07D2454F-2BEA-43BE-ADCF-E1888B8F7223}"/>
    <cellStyle name="Note 2 3 3 2" xfId="1463" xr:uid="{ACC6B926-C28A-4B9E-BC0F-42479F6DB630}"/>
    <cellStyle name="Note 2 3 3 2 2" xfId="2522" xr:uid="{55D70001-2CCF-4C9B-B40F-26DB451D7200}"/>
    <cellStyle name="Note 2 3 3 2 3" xfId="3173" xr:uid="{BC5742B8-BEDF-45F6-A1AC-54F61CC498BA}"/>
    <cellStyle name="Note 2 3 3 2 4" xfId="3829" xr:uid="{915485B9-48D1-4C31-B484-22043F248D07}"/>
    <cellStyle name="Note 2 3 3 2 5" xfId="4492" xr:uid="{889042A6-BE73-4745-BABF-85818706B227}"/>
    <cellStyle name="Note 2 3 3 3" xfId="1936" xr:uid="{26E31A49-D422-4203-8C22-79432FAB0882}"/>
    <cellStyle name="Note 2 3 3 4" xfId="2195" xr:uid="{B5197D29-F27C-4A44-A599-11C8D30A63CB}"/>
    <cellStyle name="Note 2 3 3 5" xfId="2846" xr:uid="{56AC8E96-BD8B-4852-9E38-B2EEDACF74EB}"/>
    <cellStyle name="Note 2 3 3 6" xfId="3502" xr:uid="{97AA3493-25EE-448A-B5D2-31FF2FD5799E}"/>
    <cellStyle name="Note 2 3 3 7" xfId="4165" xr:uid="{FA8381BF-8B29-4566-B289-B6CABA2816AE}"/>
    <cellStyle name="Note 2 3 3 8" xfId="1126" xr:uid="{04ECF272-6B56-4FBD-9BF1-DB4DC5A4407F}"/>
    <cellStyle name="Note 2 3 4" xfId="1240" xr:uid="{7A8569D5-CB8C-4702-996F-744395197AA8}"/>
    <cellStyle name="Note 2 3 4 2" xfId="1571" xr:uid="{866192B9-E8D9-4D01-A5E1-FC6C744F5AC1}"/>
    <cellStyle name="Note 2 3 4 2 2" xfId="2630" xr:uid="{03C5FE52-4EE6-4E6D-9A61-18F8881C4803}"/>
    <cellStyle name="Note 2 3 4 2 3" xfId="3281" xr:uid="{4D2B4082-DE18-4B08-8895-AABF4DE5B2A0}"/>
    <cellStyle name="Note 2 3 4 2 4" xfId="3937" xr:uid="{BC396CC9-CDC6-488B-9DB9-3D42E65273AE}"/>
    <cellStyle name="Note 2 3 4 2 5" xfId="4600" xr:uid="{E561969F-E846-4B2B-91CE-AE8C9D5BF865}"/>
    <cellStyle name="Note 2 3 4 3" xfId="2303" xr:uid="{A51BEA7A-EC5C-4A04-91CF-278A5AD38977}"/>
    <cellStyle name="Note 2 3 4 4" xfId="2954" xr:uid="{E98440C9-C785-488C-8840-A8B66364261F}"/>
    <cellStyle name="Note 2 3 4 5" xfId="3610" xr:uid="{5F32B43C-FC81-40E6-8E93-0E7CBAEC2DE1}"/>
    <cellStyle name="Note 2 3 4 6" xfId="4273" xr:uid="{2BE28EE6-23C7-47B9-970B-E5C571939A58}"/>
    <cellStyle name="Note 2 3 5" xfId="1355" xr:uid="{628E92F6-289F-4EEC-86CC-5127C2734341}"/>
    <cellStyle name="Note 2 3 5 2" xfId="2414" xr:uid="{1DD09FC1-DB25-435F-BDBA-DD69253CFEF9}"/>
    <cellStyle name="Note 2 3 5 3" xfId="3065" xr:uid="{2C31F8DA-C9D6-4736-9E61-34E13C1CB21D}"/>
    <cellStyle name="Note 2 3 5 4" xfId="3721" xr:uid="{B22DD979-A790-491A-9783-2964353F82CE}"/>
    <cellStyle name="Note 2 3 5 5" xfId="4384" xr:uid="{36970A5E-8FE9-470C-944A-62B53FEFF91E}"/>
    <cellStyle name="Note 2 3 6" xfId="1952" xr:uid="{E1EC947D-ABA2-449E-AF7C-45487FA906C0}"/>
    <cellStyle name="Note 2 3 7" xfId="2087" xr:uid="{207029CE-8D29-4814-BC61-5C88C39FF239}"/>
    <cellStyle name="Note 2 3 8" xfId="2738" xr:uid="{B03F4E1C-618C-4FCF-B52B-FB412CFA56F0}"/>
    <cellStyle name="Note 2 3 9" xfId="3394" xr:uid="{9366D8EC-0AC5-4026-85BC-CD3F297A033B}"/>
    <cellStyle name="Note 2 4" xfId="272" xr:uid="{2EF611D3-7A2B-4100-A649-12C03498605A}"/>
    <cellStyle name="Note 2 4 10" xfId="1040" xr:uid="{786813DB-27CD-4696-9984-CFED5D696DA5}"/>
    <cellStyle name="Note 2 4 2" xfId="1147" xr:uid="{D4877E63-0B8C-4A75-B9A4-5136BF07661C}"/>
    <cellStyle name="Note 2 4 2 2" xfId="1484" xr:uid="{3F636A88-EF05-42C1-B8F4-F2A5219A56AE}"/>
    <cellStyle name="Note 2 4 2 2 2" xfId="2543" xr:uid="{131B281F-A08E-400C-BAFB-828692AB153C}"/>
    <cellStyle name="Note 2 4 2 2 3" xfId="3194" xr:uid="{21E0878E-7F14-4F8B-AE4B-79EB173193F6}"/>
    <cellStyle name="Note 2 4 2 2 4" xfId="3850" xr:uid="{29ED450E-2192-45DA-A556-53938E8776C9}"/>
    <cellStyle name="Note 2 4 2 2 5" xfId="4513" xr:uid="{8162CC5F-7EC0-4E07-8998-2CC299FFEF6D}"/>
    <cellStyle name="Note 2 4 2 3" xfId="1929" xr:uid="{8DC3A6C9-20F5-446B-9304-594C83451B54}"/>
    <cellStyle name="Note 2 4 2 4" xfId="2216" xr:uid="{3F70F76F-92EA-4DE9-B64B-BD8C45B8EE37}"/>
    <cellStyle name="Note 2 4 2 5" xfId="2867" xr:uid="{5ACDAF5E-EDEB-4B60-913E-F82A37060161}"/>
    <cellStyle name="Note 2 4 2 6" xfId="3523" xr:uid="{6474E15C-5801-422F-9852-5E4C18B5B381}"/>
    <cellStyle name="Note 2 4 2 7" xfId="4186" xr:uid="{7F983E96-AB80-47C3-96A1-67FD3C97A10C}"/>
    <cellStyle name="Note 2 4 3" xfId="1261" xr:uid="{A65D13A2-B348-47A4-8A2A-2A41B4447C4C}"/>
    <cellStyle name="Note 2 4 3 2" xfId="1592" xr:uid="{968226F3-70DF-448D-9FE6-F469EE3559FC}"/>
    <cellStyle name="Note 2 4 3 2 2" xfId="2651" xr:uid="{8A36CF15-30C4-4D9D-AEA6-88D0DE4399DB}"/>
    <cellStyle name="Note 2 4 3 2 3" xfId="3302" xr:uid="{C2D30D12-59C1-4F4B-9927-4D53FC7705B8}"/>
    <cellStyle name="Note 2 4 3 2 4" xfId="3958" xr:uid="{271E73BB-360A-42E4-B4CB-F0AAC1F58390}"/>
    <cellStyle name="Note 2 4 3 2 5" xfId="4621" xr:uid="{FA1527C2-092D-49F8-A06F-5F3DBFDB4895}"/>
    <cellStyle name="Note 2 4 3 3" xfId="2324" xr:uid="{D3DA9AED-C0D2-4ACC-80C2-DC84C30720F8}"/>
    <cellStyle name="Note 2 4 3 4" xfId="2975" xr:uid="{0FA4876F-2562-4302-9C18-28C2D5BFEA36}"/>
    <cellStyle name="Note 2 4 3 5" xfId="3631" xr:uid="{1B7965E6-391F-44CA-9498-C54CE6FF756D}"/>
    <cellStyle name="Note 2 4 3 6" xfId="4294" xr:uid="{51FB5ADB-83D7-480F-A009-6DADF127FCB9}"/>
    <cellStyle name="Note 2 4 4" xfId="1376" xr:uid="{82DE34B5-CC99-4BA5-B119-7EE522D2BF2F}"/>
    <cellStyle name="Note 2 4 4 2" xfId="2435" xr:uid="{AF43FE18-1A07-4924-8A51-69BE97BFD0E2}"/>
    <cellStyle name="Note 2 4 4 3" xfId="3086" xr:uid="{09A74F54-7241-4CD7-AE94-0B1DD16A4745}"/>
    <cellStyle name="Note 2 4 4 4" xfId="3742" xr:uid="{AEBEFF9B-FE9A-4E31-B6B6-54F877C1C9AA}"/>
    <cellStyle name="Note 2 4 4 5" xfId="4405" xr:uid="{4BF115BE-7B84-43BF-980B-A37C7DB416F8}"/>
    <cellStyle name="Note 2 4 5" xfId="1909" xr:uid="{27F35E98-4E9C-45CC-B6CB-2614A9261B81}"/>
    <cellStyle name="Note 2 4 6" xfId="2108" xr:uid="{51E4A096-69B1-4D54-811F-780C7DA3E1BD}"/>
    <cellStyle name="Note 2 4 7" xfId="2759" xr:uid="{90DDC33A-D45D-48A4-91C4-D7AF93012BA9}"/>
    <cellStyle name="Note 2 4 8" xfId="3415" xr:uid="{40196ECC-ADB1-4466-9608-4633B6B8E1B6}"/>
    <cellStyle name="Note 2 4 9" xfId="4078" xr:uid="{8D1B2B58-8193-4977-8946-920BE6CC33CE}"/>
    <cellStyle name="Note 2 5" xfId="1093" xr:uid="{7751E872-89A1-4F19-90A8-1DFE156242CA}"/>
    <cellStyle name="Note 2 5 2" xfId="1430" xr:uid="{5E0BB141-F840-4C71-A323-8921128A7D4D}"/>
    <cellStyle name="Note 2 5 2 2" xfId="2489" xr:uid="{9AEE3BC5-ED79-4615-9139-CCCAD6C03722}"/>
    <cellStyle name="Note 2 5 2 3" xfId="3140" xr:uid="{1C123405-A656-44C8-878C-2C2C4DC6A52D}"/>
    <cellStyle name="Note 2 5 2 4" xfId="3796" xr:uid="{6BC77338-1EB5-440F-B5ED-C8E040086F4A}"/>
    <cellStyle name="Note 2 5 2 5" xfId="4459" xr:uid="{874533FB-F677-488B-AECD-8D3E09637AA6}"/>
    <cellStyle name="Note 2 5 3" xfId="1904" xr:uid="{D1F263E5-3D25-48E6-81ED-517B6FD780BF}"/>
    <cellStyle name="Note 2 5 4" xfId="2162" xr:uid="{43730C9C-83F3-4800-A1DC-4C3DC71DFD29}"/>
    <cellStyle name="Note 2 5 5" xfId="2813" xr:uid="{4F8BB69A-2460-4EC9-AD8B-3BEE0D357956}"/>
    <cellStyle name="Note 2 5 6" xfId="3469" xr:uid="{6BBB68C4-E16F-421F-82A4-A2437DB1D68D}"/>
    <cellStyle name="Note 2 5 7" xfId="4132" xr:uid="{70957E99-9AB7-46D7-A66A-80F351549578}"/>
    <cellStyle name="Note 2 6" xfId="1207" xr:uid="{B081A24E-0EE0-4523-B714-BB3A1D17845A}"/>
    <cellStyle name="Note 2 6 2" xfId="1538" xr:uid="{0D8955B6-60CC-4054-A6CB-A849AAFB7049}"/>
    <cellStyle name="Note 2 6 2 2" xfId="2597" xr:uid="{FA564D58-DCD3-42BA-B32B-D6E3EB075668}"/>
    <cellStyle name="Note 2 6 2 3" xfId="3248" xr:uid="{9460384A-81A1-4610-9E8B-A6BFF3BCF445}"/>
    <cellStyle name="Note 2 6 2 4" xfId="3904" xr:uid="{DA79033B-A091-4B55-95A5-ED2309B3EC15}"/>
    <cellStyle name="Note 2 6 2 5" xfId="4567" xr:uid="{20DAEE76-4F84-44D9-A8CB-F3512E386E1B}"/>
    <cellStyle name="Note 2 6 3" xfId="2270" xr:uid="{5DA8CDDF-4281-489C-9F82-819118940FE1}"/>
    <cellStyle name="Note 2 6 4" xfId="2921" xr:uid="{80D17CC5-5E4D-4E30-853E-A2DBF864F6A9}"/>
    <cellStyle name="Note 2 6 5" xfId="3577" xr:uid="{CA16A0E5-AE35-4012-A6AC-26854B50BEAD}"/>
    <cellStyle name="Note 2 6 6" xfId="4240" xr:uid="{807555B7-AD2E-42C7-901A-F667E7E1C74D}"/>
    <cellStyle name="Note 2 7" xfId="1322" xr:uid="{9E979AC7-7869-4B36-BD39-C3A6BE5D748C}"/>
    <cellStyle name="Note 2 7 2" xfId="2381" xr:uid="{59C7F117-A1A3-4301-B29A-8FB62B4499CC}"/>
    <cellStyle name="Note 2 7 3" xfId="3032" xr:uid="{346E9F86-EBA7-4B8A-B6E0-DB2C9387F0A4}"/>
    <cellStyle name="Note 2 7 4" xfId="3688" xr:uid="{049F6D52-9AEA-4509-A33D-A70FAED83621}"/>
    <cellStyle name="Note 2 7 5" xfId="4351" xr:uid="{8064813A-15BA-4AC6-91B5-208317F46B6B}"/>
    <cellStyle name="Note 2 8" xfId="1925" xr:uid="{1896B2D1-F182-48FB-A903-9F5645B5268F}"/>
    <cellStyle name="Note 2 9" xfId="2054" xr:uid="{78B1D8F2-E409-4762-A165-DA16FC3D46D4}"/>
    <cellStyle name="Note 3" xfId="112" xr:uid="{B127BA82-78B1-4603-95D1-931D0FECB03B}"/>
    <cellStyle name="Note 3 10" xfId="233" xr:uid="{97C3CCF2-98E6-4B06-859A-0877973CBE93}"/>
    <cellStyle name="Note 3 2" xfId="264" xr:uid="{B3BC5F54-1427-4081-9AAE-6ADE12C51465}"/>
    <cellStyle name="Note 3 2 2" xfId="361" xr:uid="{61AA2D41-4194-45AE-BFD2-B738B06E19BF}"/>
    <cellStyle name="Note 3 2 2 2" xfId="477" xr:uid="{467B37C2-2DD0-4D24-A127-AAEDC8080A8A}"/>
    <cellStyle name="Note 3 2 2 2 2" xfId="696" xr:uid="{BDDE4746-9A2C-4BC3-AB5A-1051B6C43C80}"/>
    <cellStyle name="Note 3 2 2 3" xfId="586" xr:uid="{F9724887-7016-4679-A97C-21712AD2D997}"/>
    <cellStyle name="Note 3 2 3" xfId="433" xr:uid="{611FA9D8-5169-4235-8057-07B2E1C202F7}"/>
    <cellStyle name="Note 3 2 3 2" xfId="652" xr:uid="{C32A6ADA-EC26-4FBE-B94B-9EC3CEE24FD8}"/>
    <cellStyle name="Note 3 2 4" xfId="542" xr:uid="{6F0EE4E7-0DED-4429-98C2-E741D77A82CC}"/>
    <cellStyle name="Note 3 2 5" xfId="312" xr:uid="{1D515258-A11B-4521-9BE6-63B3651C2D2C}"/>
    <cellStyle name="Note 3 2 6" xfId="1746" xr:uid="{84EA0FC0-B056-4F5E-A6A4-17E23311CED1}"/>
    <cellStyle name="Note 3 3" xfId="382" xr:uid="{BFC737EE-2E47-4732-908A-37725EF871F9}"/>
    <cellStyle name="Note 3 3 2" xfId="496" xr:uid="{FF2F0AD7-8543-4AEB-9BA5-54496B812A10}"/>
    <cellStyle name="Note 3 3 2 2" xfId="715" xr:uid="{72D9BA3F-5201-4492-9D05-633DE9C684C6}"/>
    <cellStyle name="Note 3 3 3" xfId="605" xr:uid="{3811B642-077B-4071-B481-2E0B8E7F18E9}"/>
    <cellStyle name="Note 3 4" xfId="340" xr:uid="{193D5C48-9AC3-4CA6-8B9A-E9E6151D70FB}"/>
    <cellStyle name="Note 3 4 2" xfId="458" xr:uid="{EF3C596E-D1DD-4D9A-8920-7081133436C4}"/>
    <cellStyle name="Note 3 4 2 2" xfId="677" xr:uid="{8ADBF131-DC45-4A33-9BC3-93F44FAF4842}"/>
    <cellStyle name="Note 3 4 3" xfId="567" xr:uid="{52E8EE0B-C8E7-4B63-899E-DC96A15F1A00}"/>
    <cellStyle name="Note 3 5" xfId="320" xr:uid="{156D0E90-5969-4794-BF46-740A0DB951E8}"/>
    <cellStyle name="Note 3 5 2" xfId="441" xr:uid="{0E487044-B662-44C4-9057-1C1AE34EDF8C}"/>
    <cellStyle name="Note 3 5 2 2" xfId="660" xr:uid="{B3A237E2-691F-4BC3-8E93-A55B76029DB7}"/>
    <cellStyle name="Note 3 5 3" xfId="550" xr:uid="{5EA2BCC3-8497-40C7-A0CC-C22E129F2538}"/>
    <cellStyle name="Note 3 6" xfId="412" xr:uid="{90660B00-F9B5-49AA-92A5-EA398B0C0009}"/>
    <cellStyle name="Note 3 6 2" xfId="631" xr:uid="{DF99B4D8-A2BF-4FD5-887F-B55EF7092B0B}"/>
    <cellStyle name="Note 3 7" xfId="521" xr:uid="{850C4A0F-5611-4935-8C1D-2798C718D41D}"/>
    <cellStyle name="Note 3 8" xfId="291" xr:uid="{C5DA0D94-850E-4710-B5C5-3961D5562C7A}"/>
    <cellStyle name="Note 3 9" xfId="856" xr:uid="{1EAB800D-5585-4C4F-8825-D73748EA255E}"/>
    <cellStyle name="Note 4" xfId="51" xr:uid="{D389AF41-F2ED-41D2-8FFF-B044BEEED2C0}"/>
    <cellStyle name="Note 4 2" xfId="388" xr:uid="{74BF58BE-BE23-4C2E-9589-9AAA3AE5FA91}"/>
    <cellStyle name="Note 4 2 2" xfId="502" xr:uid="{7CC15467-F1EA-45ED-AA3E-DB559361ACAA}"/>
    <cellStyle name="Note 4 2 2 2" xfId="721" xr:uid="{9D5AD960-8A26-4B3D-BFDA-BB075DFFAD6E}"/>
    <cellStyle name="Note 4 2 3" xfId="611" xr:uid="{EAD97B4A-0E47-4B40-AB1A-F85AFB900377}"/>
    <cellStyle name="Note 4 3" xfId="418" xr:uid="{7ACFF83C-B323-4E5D-A736-FC7CF4F8ACBE}"/>
    <cellStyle name="Note 4 3 2" xfId="637" xr:uid="{6DA9CD6E-7779-443F-97CC-CB8026B63039}"/>
    <cellStyle name="Note 4 4" xfId="527" xr:uid="{30F0691C-2A93-4B84-A874-608493405E0D}"/>
    <cellStyle name="Note 4 5" xfId="297" xr:uid="{7B4815DE-B340-4124-B9A6-2EB3B80F33FC}"/>
    <cellStyle name="Note 4 6" xfId="1737" xr:uid="{6EB2E74B-6858-43FD-942E-81CB9DB16C56}"/>
    <cellStyle name="Note 4 7" xfId="249" xr:uid="{E7AF9343-A7D8-4180-AA72-FC3D2A10AE43}"/>
    <cellStyle name="Note 5" xfId="1659" xr:uid="{B66B2F99-5DA6-45C6-94F1-230DAFC4A771}"/>
    <cellStyle name="Note 6" xfId="1641" xr:uid="{68FD1696-0AA6-433C-B248-F631FF6F7C58}"/>
    <cellStyle name="Numbers - size 10" xfId="857" xr:uid="{4B076567-1B06-4254-A65F-B42688610689}"/>
    <cellStyle name="Numbers - size 11" xfId="858" xr:uid="{E5277CD0-FA65-472E-A5B3-2922AA48BB65}"/>
    <cellStyle name="Numbers - size 8" xfId="859" xr:uid="{E79543DC-E404-42FF-8BBA-EEC285EE9CFF}"/>
    <cellStyle name="Numbers - size 9" xfId="860" xr:uid="{4844C690-781E-4A28-937F-133EBB8CA821}"/>
    <cellStyle name="Output" xfId="14" builtinId="21" customBuiltin="1"/>
    <cellStyle name="Output 2" xfId="113" xr:uid="{0F7DDAE5-B50A-4874-B7CF-0D1681A2FA6A}"/>
    <cellStyle name="Output 2 2" xfId="1694" xr:uid="{A913340A-3BE7-4853-A4D0-5E17A7C41D73}"/>
    <cellStyle name="Output 2 3" xfId="234" xr:uid="{38FA3D42-023B-4FEF-A8D7-26525E9785AB}"/>
    <cellStyle name="Output 3" xfId="1730" xr:uid="{3AC7489D-72D0-44AD-8FAD-C9E7DA53F7CC}"/>
    <cellStyle name="Output 4" xfId="1654" xr:uid="{0DD5663F-ACF4-45CD-9429-EB02545CD4D1}"/>
    <cellStyle name="Page Headings" xfId="861" xr:uid="{974682CC-8BA5-46B3-A968-705C95A06305}"/>
    <cellStyle name="Percent" xfId="4" builtinId="5"/>
    <cellStyle name="Percent - size 10 - 1 place" xfId="863" xr:uid="{4B5A8133-41BF-4E67-A910-F3A117780A36}"/>
    <cellStyle name="Percent - size 10 - 2 places" xfId="864" xr:uid="{1598213A-C527-4E13-A021-38E743C7B7AE}"/>
    <cellStyle name="Percent - size 11 - 1 place" xfId="865" xr:uid="{2C9626E4-4623-49FE-ACB7-6A9083C17042}"/>
    <cellStyle name="Percent - size 11 - 1 place 2" xfId="866" xr:uid="{85625623-1954-46C8-BE77-F916FAFD7DF6}"/>
    <cellStyle name="Percent - size 11 - 2 places" xfId="867" xr:uid="{96BEDAB7-5A08-4917-8DA3-E1F80FCBA24C}"/>
    <cellStyle name="Percent - size 8 - 1 place" xfId="868" xr:uid="{F5CEEAB6-2150-47E0-8F42-3F235562F521}"/>
    <cellStyle name="Percent - size 8 - 2 places" xfId="869" xr:uid="{15F0F366-D02D-40FA-89C2-FA8A0281918D}"/>
    <cellStyle name="Percent - size 9 - 1 place" xfId="870" xr:uid="{86F184AA-83A4-476F-BF21-3EF4356D71A2}"/>
    <cellStyle name="Percent - size 9 - 2 places" xfId="871" xr:uid="{E25E41BB-7D1C-40A2-9174-FF679447C555}"/>
    <cellStyle name="Percent 10" xfId="872" xr:uid="{05BE4B7D-400F-4080-9B01-207D13EDDA0C}"/>
    <cellStyle name="Percent 10 2" xfId="985" xr:uid="{8D2CC09B-AE75-483B-8A43-2B6E78487F9A}"/>
    <cellStyle name="Percent 11" xfId="873" xr:uid="{9929FD86-CF89-4999-8FF3-2B6D52C7436A}"/>
    <cellStyle name="Percent 11 2" xfId="943" xr:uid="{9D49CE4A-ED1C-49ED-A8AE-009441A892DA}"/>
    <cellStyle name="Percent 12" xfId="874" xr:uid="{24558A9B-DECC-4069-BF60-3B0C309F2276}"/>
    <cellStyle name="Percent 12 2" xfId="1130" xr:uid="{9125ACF1-733E-4E09-9503-29288B4D18DE}"/>
    <cellStyle name="Percent 12 2 2" xfId="1467" xr:uid="{1946E04F-2E6E-4E42-84FE-9D12782590EB}"/>
    <cellStyle name="Percent 12 2 2 2" xfId="2526" xr:uid="{1C2535FC-38E9-494A-A303-52E25EA46146}"/>
    <cellStyle name="Percent 12 2 2 3" xfId="3177" xr:uid="{2F9BBAD3-CBA0-413B-85D9-7656D491AA1B}"/>
    <cellStyle name="Percent 12 2 2 4" xfId="3833" xr:uid="{75A9077C-9474-4F91-92C5-B35DFD842C80}"/>
    <cellStyle name="Percent 12 2 2 5" xfId="4496" xr:uid="{C8260980-E55D-402B-8F24-6C655940169E}"/>
    <cellStyle name="Percent 12 2 3" xfId="1918" xr:uid="{671A95FD-9363-4AB1-BDA0-7A9E2C7A4CB1}"/>
    <cellStyle name="Percent 12 2 4" xfId="2199" xr:uid="{9B75D1BD-DAAC-4CB1-BEFC-205D6C98A215}"/>
    <cellStyle name="Percent 12 2 5" xfId="2850" xr:uid="{9BBB27FC-11E4-4A17-9C9B-4731546F57C0}"/>
    <cellStyle name="Percent 12 2 6" xfId="3506" xr:uid="{DCA4E52A-8150-4366-854E-D5E96E118F0F}"/>
    <cellStyle name="Percent 12 2 7" xfId="4169" xr:uid="{E3E195C6-C265-4A91-8300-959F87EE4F09}"/>
    <cellStyle name="Percent 12 3" xfId="1244" xr:uid="{3D999904-2F72-47E2-8081-38B4AFF02325}"/>
    <cellStyle name="Percent 12 3 2" xfId="1575" xr:uid="{1509A72D-8DFD-4687-8029-ABCAD94C75E0}"/>
    <cellStyle name="Percent 12 3 2 2" xfId="2634" xr:uid="{1F8E5FB0-E68F-4F0F-977E-F3314EC6D5BC}"/>
    <cellStyle name="Percent 12 3 2 3" xfId="3285" xr:uid="{26A43BF5-A641-4015-BCB5-6F530C48193C}"/>
    <cellStyle name="Percent 12 3 2 4" xfId="3941" xr:uid="{2970FC67-7648-4F7C-A76C-A70313DA9462}"/>
    <cellStyle name="Percent 12 3 2 5" xfId="4604" xr:uid="{1F2485D9-17D6-4829-A08C-0CEA2F4E865F}"/>
    <cellStyle name="Percent 12 3 3" xfId="2307" xr:uid="{66A41B96-31E3-4385-A212-3209279B4642}"/>
    <cellStyle name="Percent 12 3 4" xfId="2958" xr:uid="{70714755-6A24-463B-B27F-5239F6952E9D}"/>
    <cellStyle name="Percent 12 3 5" xfId="3614" xr:uid="{C94792F3-7A0F-4B87-91A0-9BC4007A25EB}"/>
    <cellStyle name="Percent 12 3 6" xfId="4277" xr:uid="{34528D29-1548-433C-B5A4-940BCED3212F}"/>
    <cellStyle name="Percent 12 4" xfId="1359" xr:uid="{AC0292F8-8DFC-4C09-96E3-B34DD1E71003}"/>
    <cellStyle name="Percent 12 4 2" xfId="2418" xr:uid="{34C202EC-7CC1-4663-8D3D-94F7BDAD3769}"/>
    <cellStyle name="Percent 12 4 3" xfId="3069" xr:uid="{2742E507-684F-4367-A33A-FC19A8D9DA56}"/>
    <cellStyle name="Percent 12 4 4" xfId="3725" xr:uid="{5C038DA5-89C3-4A96-BBB4-DC8598602215}"/>
    <cellStyle name="Percent 12 4 5" xfId="4388" xr:uid="{02B72557-238B-4178-BBC2-0F5E3B118E33}"/>
    <cellStyle name="Percent 12 5" xfId="1857" xr:uid="{A1F694D2-C46C-459A-836B-CBE166A79914}"/>
    <cellStyle name="Percent 12 6" xfId="2091" xr:uid="{16996088-0D19-4425-A2BF-C10C40A94774}"/>
    <cellStyle name="Percent 12 7" xfId="2742" xr:uid="{DA1AB204-5ACA-45EB-A41C-B28278DBB33A}"/>
    <cellStyle name="Percent 12 8" xfId="3398" xr:uid="{4EB78240-0BBA-4571-A466-4CF517DB2085}"/>
    <cellStyle name="Percent 12 9" xfId="4061" xr:uid="{7FCC0A82-5E1E-4D90-830A-6CF1D7C3BD8F}"/>
    <cellStyle name="Percent 13" xfId="875" xr:uid="{EC10F42F-BB11-4F6E-AE34-1A725100AA9D}"/>
    <cellStyle name="Percent 13 2" xfId="1184" xr:uid="{CEE6074F-12CC-4996-9C14-050310EC3216}"/>
    <cellStyle name="Percent 13 2 2" xfId="1521" xr:uid="{D706A14B-355C-42FC-B6FF-85EB5B1F4E68}"/>
    <cellStyle name="Percent 13 2 2 2" xfId="2580" xr:uid="{BE4F8D55-422C-4A89-BC11-065A6AA33442}"/>
    <cellStyle name="Percent 13 2 2 3" xfId="3231" xr:uid="{F03A2EEA-F6B3-4B27-925F-07E3DDB2B39E}"/>
    <cellStyle name="Percent 13 2 2 4" xfId="3887" xr:uid="{CC56C9DF-E9C3-4B7F-B841-D0F680247413}"/>
    <cellStyle name="Percent 13 2 2 5" xfId="4550" xr:uid="{8B05918B-4F71-47E5-AD98-583E35F7EB1A}"/>
    <cellStyle name="Percent 13 2 3" xfId="1966" xr:uid="{358F467C-E0B1-4A94-9144-85446ABECA0C}"/>
    <cellStyle name="Percent 13 2 4" xfId="2253" xr:uid="{0B123BE3-723B-45B8-899A-73D5BCF88C75}"/>
    <cellStyle name="Percent 13 2 5" xfId="2904" xr:uid="{47100794-F008-4452-B9CF-B9F117370D1D}"/>
    <cellStyle name="Percent 13 2 6" xfId="3560" xr:uid="{D448DE62-3CB0-4E2B-A8FC-0D8DD3677C37}"/>
    <cellStyle name="Percent 13 2 7" xfId="4223" xr:uid="{118CD311-FAF4-49AC-A250-3936891ED675}"/>
    <cellStyle name="Percent 13 3" xfId="1298" xr:uid="{60DED58F-6A20-4092-B8AF-8014D3449C4C}"/>
    <cellStyle name="Percent 13 3 2" xfId="1629" xr:uid="{2CCBC464-6B5A-48CF-94F3-23ECC641337B}"/>
    <cellStyle name="Percent 13 3 2 2" xfId="2688" xr:uid="{ECDC6622-64C5-486B-8730-48E7F6DEB8DF}"/>
    <cellStyle name="Percent 13 3 2 3" xfId="3339" xr:uid="{B8BEA22E-1537-4C23-A19D-973341E32BC6}"/>
    <cellStyle name="Percent 13 3 2 4" xfId="3995" xr:uid="{3C7A6CF8-B9D2-4B0A-A1ED-38F9C16A8303}"/>
    <cellStyle name="Percent 13 3 2 5" xfId="4658" xr:uid="{4BECE481-0EF1-4EA2-9485-78E768FDAC6F}"/>
    <cellStyle name="Percent 13 3 3" xfId="2361" xr:uid="{7E55319B-3C51-4F44-81B8-ADDBCD3CCC11}"/>
    <cellStyle name="Percent 13 3 4" xfId="3012" xr:uid="{DFAEC71A-DEB8-4D7F-A1DC-2667E82AC15C}"/>
    <cellStyle name="Percent 13 3 5" xfId="3668" xr:uid="{5BD9F7D9-EC61-4E57-BAB1-BD56D05DC540}"/>
    <cellStyle name="Percent 13 3 6" xfId="4331" xr:uid="{0E57149C-81FE-46A9-9393-DECFB986D18F}"/>
    <cellStyle name="Percent 13 4" xfId="1413" xr:uid="{7A32108C-7CBF-4E5D-BE3B-A7DF6E8B0FC5}"/>
    <cellStyle name="Percent 13 4 2" xfId="2472" xr:uid="{B399F7CB-9BA9-4090-829A-8521548D2A5E}"/>
    <cellStyle name="Percent 13 4 3" xfId="3123" xr:uid="{C9F84BC7-A29B-4668-A2AD-7C2E3BC60E18}"/>
    <cellStyle name="Percent 13 4 4" xfId="3779" xr:uid="{64C3C2D4-77E2-43E6-B39B-7CBFBE24BD5C}"/>
    <cellStyle name="Percent 13 4 5" xfId="4442" xr:uid="{EBA05695-2EA3-4CE9-BDB1-D84169301489}"/>
    <cellStyle name="Percent 13 5" xfId="1834" xr:uid="{217BC7EB-AC0A-4616-8804-16ECD91C8475}"/>
    <cellStyle name="Percent 13 6" xfId="2145" xr:uid="{F63BB560-F68F-4D71-93E0-25EB477EB772}"/>
    <cellStyle name="Percent 13 7" xfId="2796" xr:uid="{C4635B90-F37C-40AD-A20D-F415FA72693B}"/>
    <cellStyle name="Percent 13 8" xfId="3452" xr:uid="{11478A95-3D23-4C06-BBF0-23F949366F71}"/>
    <cellStyle name="Percent 13 9" xfId="4115" xr:uid="{E703335F-99C8-418A-98AC-AA06E5B232B2}"/>
    <cellStyle name="Percent 14" xfId="876" xr:uid="{D07977F9-BBF1-4335-A9F5-9D4CB4DA839F}"/>
    <cellStyle name="Percent 14 2" xfId="1186" xr:uid="{13622472-627F-4E3E-9A1A-9EFEBCF2475D}"/>
    <cellStyle name="Percent 15" xfId="877" xr:uid="{F0A67EE8-B85D-4002-A25C-5385E1E27994}"/>
    <cellStyle name="Percent 15 2" xfId="1315" xr:uid="{96BF1DFC-1D54-450E-8CBB-3A38D1FDEAAD}"/>
    <cellStyle name="Percent 16" xfId="878" xr:uid="{76E0189E-A391-4B3C-873A-6824619C8408}"/>
    <cellStyle name="Percent 16 2" xfId="938" xr:uid="{512CB6CE-3942-466C-8E27-8A54C04B751B}"/>
    <cellStyle name="Percent 17" xfId="879" xr:uid="{B7C98E03-612A-44A6-9F0B-3FE8640B937A}"/>
    <cellStyle name="Percent 17 2" xfId="4662" xr:uid="{2C38C859-8B80-4D1B-ABA2-BDA138D83C0A}"/>
    <cellStyle name="Percent 17 3" xfId="3340" xr:uid="{BDDA16BA-8423-485A-8D74-6F050EA94E24}"/>
    <cellStyle name="Percent 18" xfId="880" xr:uid="{80EB7DE4-A6A3-4CCF-82B5-B8F863D2E3F0}"/>
    <cellStyle name="Percent 19" xfId="881" xr:uid="{5D1D522D-EAAE-4099-83FE-15D1B6ED69BB}"/>
    <cellStyle name="Percent 2" xfId="121" xr:uid="{581DD031-D407-4EA4-9922-3346D824FA92}"/>
    <cellStyle name="Percent 2 10" xfId="2706" xr:uid="{03D6D091-32ED-4A53-B06C-9EC23215A002}"/>
    <cellStyle name="Percent 2 11" xfId="3360" xr:uid="{14D2C4DA-3D8E-4167-9F67-1D4D0241FFB1}"/>
    <cellStyle name="Percent 2 12" xfId="4025" xr:uid="{CA82F004-26B4-4036-9C43-235C553B11ED}"/>
    <cellStyle name="Percent 2 13" xfId="1803" xr:uid="{52F1F2EF-9307-4B0E-AF22-29932D209853}"/>
    <cellStyle name="Percent 2 14" xfId="1690" xr:uid="{9CC9DD5E-4E0E-42CA-A224-B6BBC7D2A065}"/>
    <cellStyle name="Percent 2 15" xfId="882" xr:uid="{0508BD5F-B698-4C7B-A462-219DDEA4AEEB}"/>
    <cellStyle name="Percent 2 2" xfId="235" xr:uid="{1D89EBF2-8630-4390-BFE1-7E9525FD8875}"/>
    <cellStyle name="Percent 2 2 10" xfId="4041" xr:uid="{0A40BADA-58E4-41D2-BA64-06982DAAF457}"/>
    <cellStyle name="Percent 2 2 11" xfId="993" xr:uid="{9625A105-415D-4A2F-956A-540215F29172}"/>
    <cellStyle name="Percent 2 2 2" xfId="362" xr:uid="{846A280A-A3F4-473C-8966-57A3B33F5A72}"/>
    <cellStyle name="Percent 2 2 2 10" xfId="1057" xr:uid="{5B025384-FA43-4D1E-8D99-B900E06906DA}"/>
    <cellStyle name="Percent 2 2 2 2" xfId="478" xr:uid="{66171649-37D7-4FAE-987B-C177A2D3B64B}"/>
    <cellStyle name="Percent 2 2 2 2 2" xfId="697" xr:uid="{D33E85BB-DFBA-4CFA-8554-E8811D68B110}"/>
    <cellStyle name="Percent 2 2 2 2 2 2" xfId="2560" xr:uid="{B05B901C-7F70-4680-B882-007D6DD5DF0A}"/>
    <cellStyle name="Percent 2 2 2 2 2 3" xfId="3211" xr:uid="{44882131-0821-45A1-B654-26329C44FE74}"/>
    <cellStyle name="Percent 2 2 2 2 2 4" xfId="3867" xr:uid="{813AE897-B05B-4566-BECF-F32A43B20F8C}"/>
    <cellStyle name="Percent 2 2 2 2 2 5" xfId="4530" xr:uid="{7EF9C45A-6496-4D7B-AAA8-877985CF9065}"/>
    <cellStyle name="Percent 2 2 2 2 2 6" xfId="1501" xr:uid="{43E6CE53-97E1-4826-A5E9-F88B79C390ED}"/>
    <cellStyle name="Percent 2 2 2 2 3" xfId="1866" xr:uid="{A19091BA-5227-48F8-BE06-0ABBFF582324}"/>
    <cellStyle name="Percent 2 2 2 2 4" xfId="2233" xr:uid="{26D1E1C0-0AB6-48CE-B60F-6928AA276D5F}"/>
    <cellStyle name="Percent 2 2 2 2 5" xfId="2884" xr:uid="{ACA2A8D5-A396-4314-BA8A-1A074F8EB501}"/>
    <cellStyle name="Percent 2 2 2 2 6" xfId="3540" xr:uid="{B36B29D0-AEEB-429D-8C3D-06808CB301D2}"/>
    <cellStyle name="Percent 2 2 2 2 7" xfId="4203" xr:uid="{C1D5F343-6EEF-4CB3-B67F-1ACFC9F0E69C}"/>
    <cellStyle name="Percent 2 2 2 2 8" xfId="1164" xr:uid="{20295558-9FF6-4786-886E-F4B6824F41E2}"/>
    <cellStyle name="Percent 2 2 2 3" xfId="587" xr:uid="{EFF068FC-3AA2-4802-AB2F-0860B642F929}"/>
    <cellStyle name="Percent 2 2 2 3 2" xfId="1609" xr:uid="{AD9BABDC-A8D7-40B4-BDD7-EF23929D8FDA}"/>
    <cellStyle name="Percent 2 2 2 3 2 2" xfId="2668" xr:uid="{E475C71F-39A5-45FC-8424-AE4DF92D55CF}"/>
    <cellStyle name="Percent 2 2 2 3 2 3" xfId="3319" xr:uid="{B06AF2A7-7331-495B-BBD0-9B8BE91F4606}"/>
    <cellStyle name="Percent 2 2 2 3 2 4" xfId="3975" xr:uid="{9ADCF8E2-DDBD-4537-A9FB-01E424E5232D}"/>
    <cellStyle name="Percent 2 2 2 3 2 5" xfId="4638" xr:uid="{DE7A9D70-262A-4B69-9E00-745FF1B0CDD6}"/>
    <cellStyle name="Percent 2 2 2 3 3" xfId="2341" xr:uid="{AED33216-457E-40EB-8138-AFA54FE0C8F0}"/>
    <cellStyle name="Percent 2 2 2 3 4" xfId="2992" xr:uid="{A375D559-9962-428A-B735-D3153E46FEA3}"/>
    <cellStyle name="Percent 2 2 2 3 5" xfId="3648" xr:uid="{7DFF8436-DEDB-4E88-B435-106064808B10}"/>
    <cellStyle name="Percent 2 2 2 3 6" xfId="4311" xr:uid="{D12AE604-4138-4049-917E-BB61FDC9DCA2}"/>
    <cellStyle name="Percent 2 2 2 3 7" xfId="1278" xr:uid="{FD0C76DA-7C5D-40F2-943A-BFD8483736B9}"/>
    <cellStyle name="Percent 2 2 2 4" xfId="1393" xr:uid="{0F073AB5-4023-4019-A0BE-907611A58498}"/>
    <cellStyle name="Percent 2 2 2 4 2" xfId="2452" xr:uid="{BF40A755-38AB-4F7B-9195-9C7C908F5349}"/>
    <cellStyle name="Percent 2 2 2 4 3" xfId="3103" xr:uid="{90FA4B70-6E7D-4740-9706-82FC38BDA050}"/>
    <cellStyle name="Percent 2 2 2 4 4" xfId="3759" xr:uid="{66616E5D-D73F-4236-89D3-D2AC6E1A135D}"/>
    <cellStyle name="Percent 2 2 2 4 5" xfId="4422" xr:uid="{EA1841FB-755F-4D74-9E17-9F1E8B9283A6}"/>
    <cellStyle name="Percent 2 2 2 5" xfId="1848" xr:uid="{E68B7F38-7716-46D0-81B7-EB7AA700DEA5}"/>
    <cellStyle name="Percent 2 2 2 6" xfId="2125" xr:uid="{F301BE18-1792-47E0-AEF1-DB44C2A0F6C7}"/>
    <cellStyle name="Percent 2 2 2 7" xfId="2776" xr:uid="{1C9F1CCD-4ABA-4546-9DB9-681E132A3622}"/>
    <cellStyle name="Percent 2 2 2 8" xfId="3432" xr:uid="{5C7507D3-C095-4084-B022-8B0E122D75E7}"/>
    <cellStyle name="Percent 2 2 2 9" xfId="4095" xr:uid="{B69E0937-C872-4B9D-BE62-AAF7E3A0B0CD}"/>
    <cellStyle name="Percent 2 2 3" xfId="383" xr:uid="{D7A767D7-54E2-4C35-A8F2-B5E1017EEF7B}"/>
    <cellStyle name="Percent 2 2 3 2" xfId="497" xr:uid="{71CA48EB-54EC-42D0-8F9A-51C642555BC3}"/>
    <cellStyle name="Percent 2 2 3 2 2" xfId="716" xr:uid="{CD8C25DD-281C-409F-813A-A6A70C9299A1}"/>
    <cellStyle name="Percent 2 2 3 2 2 2" xfId="2506" xr:uid="{415455B1-3E81-4937-BE43-0F5700CF3F38}"/>
    <cellStyle name="Percent 2 2 3 2 3" xfId="3157" xr:uid="{6E90C290-0C8A-43E5-9092-0D0A39E05478}"/>
    <cellStyle name="Percent 2 2 3 2 4" xfId="3813" xr:uid="{394CECE4-CD3A-4C3E-9A79-9E65037B6B8E}"/>
    <cellStyle name="Percent 2 2 3 2 5" xfId="4476" xr:uid="{B131DB77-0805-4FC8-907D-1444BC46F1A8}"/>
    <cellStyle name="Percent 2 2 3 2 6" xfId="1447" xr:uid="{6929EDA1-B41B-4704-924D-945EF6E5FD34}"/>
    <cellStyle name="Percent 2 2 3 3" xfId="606" xr:uid="{973B4188-A01B-4144-A8C9-3F33ED324DFE}"/>
    <cellStyle name="Percent 2 2 3 3 2" xfId="1941" xr:uid="{7D5013A6-92BF-4464-BBD4-F8ECAFAC519E}"/>
    <cellStyle name="Percent 2 2 3 4" xfId="2179" xr:uid="{E1409AD2-7100-46CC-BB5B-2A4DB89A5663}"/>
    <cellStyle name="Percent 2 2 3 5" xfId="2830" xr:uid="{F949CA9B-7AF3-485E-A8B2-80A86A8E3F17}"/>
    <cellStyle name="Percent 2 2 3 6" xfId="3486" xr:uid="{E81796EE-7FD6-43E9-9AC2-98BA036B4E14}"/>
    <cellStyle name="Percent 2 2 3 7" xfId="4149" xr:uid="{627FB80F-1318-4030-94B8-0C4F2924F667}"/>
    <cellStyle name="Percent 2 2 3 8" xfId="1110" xr:uid="{BD8EB021-5D01-413B-94A2-23EE0AF571DD}"/>
    <cellStyle name="Percent 2 2 4" xfId="341" xr:uid="{8138AE40-51BF-45F4-B046-F9A77F848B5F}"/>
    <cellStyle name="Percent 2 2 4 2" xfId="459" xr:uid="{E7D9B34E-8D71-4F6E-86BB-7276F607D61A}"/>
    <cellStyle name="Percent 2 2 4 2 2" xfId="678" xr:uid="{169825BB-3A74-4BDD-8D1B-880DE6B4EEF2}"/>
    <cellStyle name="Percent 2 2 4 2 2 2" xfId="2614" xr:uid="{8B67D66B-E984-4BEF-94B1-1B4A40BA7926}"/>
    <cellStyle name="Percent 2 2 4 2 3" xfId="3265" xr:uid="{DD046C7D-2924-40EC-9C66-603DC56AB7F3}"/>
    <cellStyle name="Percent 2 2 4 2 4" xfId="3921" xr:uid="{7ADA7C0F-DE99-4883-A9A9-F806500A850F}"/>
    <cellStyle name="Percent 2 2 4 2 5" xfId="4584" xr:uid="{C8B1F35A-B05B-4D82-9B77-FAE9154AF98A}"/>
    <cellStyle name="Percent 2 2 4 2 6" xfId="1555" xr:uid="{74CEB3B1-F714-464B-AEF1-82EB229392EF}"/>
    <cellStyle name="Percent 2 2 4 3" xfId="568" xr:uid="{17C29E59-3466-46E5-8728-E6B1C147AC16}"/>
    <cellStyle name="Percent 2 2 4 3 2" xfId="2287" xr:uid="{1C6E3FB5-6C40-4422-BB13-A42C1BA636BA}"/>
    <cellStyle name="Percent 2 2 4 4" xfId="2938" xr:uid="{FFFCFACE-9220-456C-8D45-9CCDAE75F632}"/>
    <cellStyle name="Percent 2 2 4 5" xfId="3594" xr:uid="{420864E4-EA0B-4832-BA90-030DA30A6FFC}"/>
    <cellStyle name="Percent 2 2 4 6" xfId="4257" xr:uid="{434A1EA7-22F6-4955-AB77-69C60CD9AE01}"/>
    <cellStyle name="Percent 2 2 4 7" xfId="1224" xr:uid="{6848EBCC-0E21-4EB2-AC1F-8536FFB6523E}"/>
    <cellStyle name="Percent 2 2 5" xfId="413" xr:uid="{326EF62E-EF98-4F20-BB2E-790D21383B2F}"/>
    <cellStyle name="Percent 2 2 5 2" xfId="632" xr:uid="{59DD81E1-9CCD-47FF-9273-2BBBBE03C1A4}"/>
    <cellStyle name="Percent 2 2 5 2 2" xfId="2398" xr:uid="{16000AE9-733F-4898-AA76-978F41EE0145}"/>
    <cellStyle name="Percent 2 2 5 3" xfId="3049" xr:uid="{746B542D-1E38-4F7F-8A87-25E66F3172B5}"/>
    <cellStyle name="Percent 2 2 5 4" xfId="3705" xr:uid="{2C5EB5F0-768F-4035-96CB-B0C7AD2614BF}"/>
    <cellStyle name="Percent 2 2 5 5" xfId="4368" xr:uid="{E01B0738-73CF-445F-9DEA-980B93292A20}"/>
    <cellStyle name="Percent 2 2 5 6" xfId="1339" xr:uid="{3BF228B9-F490-4C78-AC76-96A104A22913}"/>
    <cellStyle name="Percent 2 2 6" xfId="522" xr:uid="{50948EDF-EE8C-4A0E-8B63-079587FDE705}"/>
    <cellStyle name="Percent 2 2 6 2" xfId="2016" xr:uid="{D06D91E4-92FB-426F-8ED3-32FA25A154B9}"/>
    <cellStyle name="Percent 2 2 7" xfId="292" xr:uid="{2D017F69-8017-4C5E-B6AE-4D447CA8C31C}"/>
    <cellStyle name="Percent 2 2 7 2" xfId="2071" xr:uid="{3269BA4C-7542-4E4F-AEE9-9293EC5A8E31}"/>
    <cellStyle name="Percent 2 2 8" xfId="2722" xr:uid="{1E93BC98-8437-443D-97B5-42D3A8EB6847}"/>
    <cellStyle name="Percent 2 2 9" xfId="3377" xr:uid="{630F6A09-D693-4D9A-8128-9B3B804E6605}"/>
    <cellStyle name="Percent 2 3" xfId="265" xr:uid="{5FE0DBEF-4659-4C67-9221-E1ADED25305E}"/>
    <cellStyle name="Percent 2 3 10" xfId="4058" xr:uid="{9B5EBCC4-32EF-4CB9-947F-CCE85BA02D77}"/>
    <cellStyle name="Percent 2 3 11" xfId="1014" xr:uid="{59D6D8EE-3EE9-40B3-9EAC-E3B440760B79}"/>
    <cellStyle name="Percent 2 3 2" xfId="335" xr:uid="{D0D4889E-F0A0-4EAB-90BB-531748BCB837}"/>
    <cellStyle name="Percent 2 3 2 10" xfId="1074" xr:uid="{2E7A6334-C7B3-4568-9372-779F96D71777}"/>
    <cellStyle name="Percent 2 3 2 2" xfId="1181" xr:uid="{BE38F258-8F10-4676-BBB3-F1197D30F908}"/>
    <cellStyle name="Percent 2 3 2 2 2" xfId="1518" xr:uid="{B0D07F54-92BB-444E-9EDF-07CFC760FAB9}"/>
    <cellStyle name="Percent 2 3 2 2 2 2" xfId="2577" xr:uid="{C67D491A-E2DA-4A4B-A951-13C3CD1CF8DB}"/>
    <cellStyle name="Percent 2 3 2 2 2 3" xfId="3228" xr:uid="{3EAD73DF-ADCC-4A46-8FF0-944DB14548F3}"/>
    <cellStyle name="Percent 2 3 2 2 2 4" xfId="3884" xr:uid="{A9C8128B-E2DA-41C6-8E4E-358A6BDBFDC7}"/>
    <cellStyle name="Percent 2 3 2 2 2 5" xfId="4547" xr:uid="{58CC9A49-D0E6-48D0-B92A-2B76AE638044}"/>
    <cellStyle name="Percent 2 3 2 2 3" xfId="2019" xr:uid="{9BBA0628-C51E-407A-858B-E8E7C0903E16}"/>
    <cellStyle name="Percent 2 3 2 2 4" xfId="2250" xr:uid="{DBD5C1BE-F6F1-4914-899E-EBD1B32C82E0}"/>
    <cellStyle name="Percent 2 3 2 2 5" xfId="2901" xr:uid="{B29660B8-FED6-43CD-A13E-708E1A816242}"/>
    <cellStyle name="Percent 2 3 2 2 6" xfId="3557" xr:uid="{5EFC36F9-F6FA-47B3-9838-0B8DA4FDE3FF}"/>
    <cellStyle name="Percent 2 3 2 2 7" xfId="4220" xr:uid="{1E52ECA7-9C32-455A-93DB-2A3C925CF2FB}"/>
    <cellStyle name="Percent 2 3 2 3" xfId="1295" xr:uid="{A8E7D84F-96A3-4AF5-B8A6-146F4E852716}"/>
    <cellStyle name="Percent 2 3 2 3 2" xfId="1626" xr:uid="{FDD45E41-D2C9-4998-BD51-9DC1D434B157}"/>
    <cellStyle name="Percent 2 3 2 3 2 2" xfId="2685" xr:uid="{D35BE3D1-B954-4327-A6B0-2EDEC4C5514F}"/>
    <cellStyle name="Percent 2 3 2 3 2 3" xfId="3336" xr:uid="{3B6D790C-FD4A-4F15-87B8-48C0208080F5}"/>
    <cellStyle name="Percent 2 3 2 3 2 4" xfId="3992" xr:uid="{DD7F00BA-E762-4C47-A3C5-D4E8D3E2E265}"/>
    <cellStyle name="Percent 2 3 2 3 2 5" xfId="4655" xr:uid="{DE2F3028-6E19-4942-8FBD-7DEACA4BEF38}"/>
    <cellStyle name="Percent 2 3 2 3 3" xfId="2358" xr:uid="{8F18A578-8DFA-4112-9164-13FA2BC0FFAC}"/>
    <cellStyle name="Percent 2 3 2 3 4" xfId="3009" xr:uid="{2BF82552-009F-4664-8ABD-C044DBA089A8}"/>
    <cellStyle name="Percent 2 3 2 3 5" xfId="3665" xr:uid="{EBB68CDF-3C5D-425F-A627-00EB101AC583}"/>
    <cellStyle name="Percent 2 3 2 3 6" xfId="4328" xr:uid="{A7196F48-8C0C-49C6-970F-C2A1467C4B0C}"/>
    <cellStyle name="Percent 2 3 2 4" xfId="1410" xr:uid="{C4A5ECA6-28CB-4A4C-BCEE-54A58611A76A}"/>
    <cellStyle name="Percent 2 3 2 4 2" xfId="2469" xr:uid="{F10BA844-55F8-4E72-A284-4A3561A08BB3}"/>
    <cellStyle name="Percent 2 3 2 4 3" xfId="3120" xr:uid="{0A20CDE7-85A0-4790-B407-51D3637B931C}"/>
    <cellStyle name="Percent 2 3 2 4 4" xfId="3776" xr:uid="{AA36D382-369E-4D1E-8B91-D6A4FA55759B}"/>
    <cellStyle name="Percent 2 3 2 4 5" xfId="4439" xr:uid="{C6C96B4D-2E98-482E-BC26-0AFD0D0977ED}"/>
    <cellStyle name="Percent 2 3 2 5" xfId="1959" xr:uid="{B6246A4D-E0B3-46DB-B846-C45CE3A4A7A8}"/>
    <cellStyle name="Percent 2 3 2 6" xfId="2142" xr:uid="{43E34C3A-897E-454F-BB78-068968DC07B0}"/>
    <cellStyle name="Percent 2 3 2 7" xfId="2793" xr:uid="{0CF5C85C-6B05-4796-AAC7-E5CDBFA1807F}"/>
    <cellStyle name="Percent 2 3 2 8" xfId="3449" xr:uid="{C774BC15-F65B-49B8-9537-1746B7E8C76D}"/>
    <cellStyle name="Percent 2 3 2 9" xfId="4112" xr:uid="{89F6804C-2299-4E60-9C00-57611F688BE0}"/>
    <cellStyle name="Percent 2 3 3" xfId="389" xr:uid="{C07718B0-3DF3-4D4C-A6C4-C604575905A0}"/>
    <cellStyle name="Percent 2 3 3 2" xfId="503" xr:uid="{68EAFD68-5B84-471F-949A-8A2E4BA7C88B}"/>
    <cellStyle name="Percent 2 3 3 2 2" xfId="722" xr:uid="{DB0367F9-2DD8-4061-88E8-4CF6C9132628}"/>
    <cellStyle name="Percent 2 3 3 2 2 2" xfId="2523" xr:uid="{A68380FA-2BDE-40A1-8933-CE7BC3EA6824}"/>
    <cellStyle name="Percent 2 3 3 2 3" xfId="3174" xr:uid="{13FDB429-9A48-4BB7-BCDB-DC86F090C2C2}"/>
    <cellStyle name="Percent 2 3 3 2 4" xfId="3830" xr:uid="{2CC0C33F-6E2C-4891-B09B-88E4287E1FFE}"/>
    <cellStyle name="Percent 2 3 3 2 5" xfId="4493" xr:uid="{359D3356-565C-48AE-B9FE-271188FEA456}"/>
    <cellStyle name="Percent 2 3 3 2 6" xfId="1464" xr:uid="{7E46EF99-A0CC-490F-BE56-E371270BC48A}"/>
    <cellStyle name="Percent 2 3 3 3" xfId="612" xr:uid="{62200D69-0677-4968-A5A2-96DE7239F052}"/>
    <cellStyle name="Percent 2 3 3 3 2" xfId="1905" xr:uid="{F2A82453-FD96-4F39-B59A-4B5DE19133B1}"/>
    <cellStyle name="Percent 2 3 3 4" xfId="2196" xr:uid="{8EC09311-135E-4D10-BBC0-E19CEC5AE280}"/>
    <cellStyle name="Percent 2 3 3 5" xfId="2847" xr:uid="{477D47ED-6328-4455-B140-D2FBCDE89946}"/>
    <cellStyle name="Percent 2 3 3 6" xfId="3503" xr:uid="{8B3AE9EC-5FD4-4FD2-99A8-2721C38B61A2}"/>
    <cellStyle name="Percent 2 3 3 7" xfId="4166" xr:uid="{C70240E1-CE1A-4A1C-A5FC-4923B71D25CD}"/>
    <cellStyle name="Percent 2 3 3 8" xfId="1127" xr:uid="{B30D81FC-F688-4497-93BF-52FBA52118A5}"/>
    <cellStyle name="Percent 2 3 4" xfId="434" xr:uid="{98963383-0009-4A76-B1C5-08FE6817912A}"/>
    <cellStyle name="Percent 2 3 4 2" xfId="653" xr:uid="{3D40A0E9-4131-438F-9D9B-A46CBEC1514A}"/>
    <cellStyle name="Percent 2 3 4 2 2" xfId="2631" xr:uid="{2FC52883-B57C-46CA-B819-E076E500732B}"/>
    <cellStyle name="Percent 2 3 4 2 3" xfId="3282" xr:uid="{2C391D71-F3DB-45E9-BEFA-6D49D40E8532}"/>
    <cellStyle name="Percent 2 3 4 2 4" xfId="3938" xr:uid="{44CAE595-A560-4A2A-A0E4-A309B80741F9}"/>
    <cellStyle name="Percent 2 3 4 2 5" xfId="4601" xr:uid="{455A530E-5AC6-45F6-AF24-9CB0384E384F}"/>
    <cellStyle name="Percent 2 3 4 2 6" xfId="1572" xr:uid="{725BB4E1-8157-4F9B-88B5-B31D7D42B1D8}"/>
    <cellStyle name="Percent 2 3 4 3" xfId="2304" xr:uid="{1F38523B-0EA3-4DE0-9279-AE40B7A7D0DA}"/>
    <cellStyle name="Percent 2 3 4 4" xfId="2955" xr:uid="{51940E23-BC38-44C6-8636-EB0766A7F4C3}"/>
    <cellStyle name="Percent 2 3 4 5" xfId="3611" xr:uid="{F67E09D8-0299-4E7A-ADA6-A243C084D4A3}"/>
    <cellStyle name="Percent 2 3 4 6" xfId="4274" xr:uid="{B09E4B55-24FA-4D21-9FE0-BB033C73B77C}"/>
    <cellStyle name="Percent 2 3 4 7" xfId="1241" xr:uid="{1C700E36-F188-4C70-9793-6EB672ACC5EA}"/>
    <cellStyle name="Percent 2 3 5" xfId="543" xr:uid="{A233FADA-3A50-4015-A205-1E02DF5AB197}"/>
    <cellStyle name="Percent 2 3 5 2" xfId="2415" xr:uid="{2A00DFD2-B278-4ECF-BB9A-6B8C1A74FB13}"/>
    <cellStyle name="Percent 2 3 5 3" xfId="3066" xr:uid="{1E8A9FA2-FB27-4C9E-8D26-2932402CEAC9}"/>
    <cellStyle name="Percent 2 3 5 4" xfId="3722" xr:uid="{01E825EA-93EB-483C-BE8C-22D1EDFE860E}"/>
    <cellStyle name="Percent 2 3 5 5" xfId="4385" xr:uid="{1409497B-9C9C-40E6-A695-219BF933346F}"/>
    <cellStyle name="Percent 2 3 5 6" xfId="1356" xr:uid="{A1FCBA52-E668-4C38-9719-C41860E86542}"/>
    <cellStyle name="Percent 2 3 6" xfId="313" xr:uid="{E588CA8D-F069-4757-A0EF-1F97ED55218C}"/>
    <cellStyle name="Percent 2 3 6 2" xfId="1922" xr:uid="{B22AF24A-120D-4251-B833-E17A40BE03A6}"/>
    <cellStyle name="Percent 2 3 7" xfId="2088" xr:uid="{BC4FAF6C-9E91-497C-AB30-91FA575025CD}"/>
    <cellStyle name="Percent 2 3 8" xfId="2739" xr:uid="{CD0A03E9-F960-4DE8-AFDA-C976B73ADBE8}"/>
    <cellStyle name="Percent 2 3 9" xfId="3395" xr:uid="{94EE1BFD-64A8-47EE-A284-1D7573B6EF69}"/>
    <cellStyle name="Percent 2 4" xfId="321" xr:uid="{DDB560B9-26C6-4371-8FD0-B1A2F29BE40C}"/>
    <cellStyle name="Percent 2 4 10" xfId="1041" xr:uid="{B3D87CA8-6C9F-43B1-91DA-A46D9F47AA2E}"/>
    <cellStyle name="Percent 2 4 2" xfId="442" xr:uid="{26025467-9F90-4C9A-825D-8EFEF7B7EA48}"/>
    <cellStyle name="Percent 2 4 2 2" xfId="661" xr:uid="{A0A859D6-0F2F-4ED1-9F3C-1284931C5FEA}"/>
    <cellStyle name="Percent 2 4 2 2 2" xfId="2544" xr:uid="{81B72EEA-FD11-42D8-BE2E-ED5A7AD626B9}"/>
    <cellStyle name="Percent 2 4 2 2 3" xfId="3195" xr:uid="{C5D88A6F-F4FB-429D-8543-D900168D0ECA}"/>
    <cellStyle name="Percent 2 4 2 2 4" xfId="3851" xr:uid="{EE5B27F0-9593-4D97-B348-A21DB31C149D}"/>
    <cellStyle name="Percent 2 4 2 2 5" xfId="4514" xr:uid="{8C8196EA-BC02-426B-9F1F-D230187A25D5}"/>
    <cellStyle name="Percent 2 4 2 2 6" xfId="1485" xr:uid="{484C0268-046E-4393-85B2-A093D85FDA45}"/>
    <cellStyle name="Percent 2 4 2 3" xfId="1963" xr:uid="{33A04CDF-D6D1-4C07-BF48-9FD96215C793}"/>
    <cellStyle name="Percent 2 4 2 4" xfId="2217" xr:uid="{207D8C16-A6B6-4D65-846A-D2854CE12582}"/>
    <cellStyle name="Percent 2 4 2 5" xfId="2868" xr:uid="{29756AA1-D530-4167-8F2B-2E3067CA2011}"/>
    <cellStyle name="Percent 2 4 2 6" xfId="3524" xr:uid="{3756BE7E-CAE4-4819-A24F-1B73E99CB78B}"/>
    <cellStyle name="Percent 2 4 2 7" xfId="4187" xr:uid="{9CD3A52C-CFC4-4FC4-859A-DCE96E260A29}"/>
    <cellStyle name="Percent 2 4 2 8" xfId="1148" xr:uid="{D609AC4B-BFD2-4C1B-8302-624E8A7148E9}"/>
    <cellStyle name="Percent 2 4 3" xfId="551" xr:uid="{D8147F41-3BBA-470F-B188-7FA211A14887}"/>
    <cellStyle name="Percent 2 4 3 2" xfId="1593" xr:uid="{F7240860-D600-41C7-B36C-4C163D6075DF}"/>
    <cellStyle name="Percent 2 4 3 2 2" xfId="2652" xr:uid="{B2CEEA4F-27AF-4280-9266-6223C2299B12}"/>
    <cellStyle name="Percent 2 4 3 2 3" xfId="3303" xr:uid="{9E52C994-F4B5-48D7-9B6F-C4A9C13E2721}"/>
    <cellStyle name="Percent 2 4 3 2 4" xfId="3959" xr:uid="{B10A0AEE-3310-456D-AD3A-B61C164658D9}"/>
    <cellStyle name="Percent 2 4 3 2 5" xfId="4622" xr:uid="{CC330922-E858-4AEE-A086-42A34B72038B}"/>
    <cellStyle name="Percent 2 4 3 3" xfId="2325" xr:uid="{0A67415E-2B82-48CC-AADA-9A3B49A0F30C}"/>
    <cellStyle name="Percent 2 4 3 4" xfId="2976" xr:uid="{4D17323C-CD1B-4266-A29B-B9950277664C}"/>
    <cellStyle name="Percent 2 4 3 5" xfId="3632" xr:uid="{4F746295-9468-485C-8367-15425357D25E}"/>
    <cellStyle name="Percent 2 4 3 6" xfId="4295" xr:uid="{2A87FE51-554F-4C29-8C24-91FD02C4384D}"/>
    <cellStyle name="Percent 2 4 3 7" xfId="1262" xr:uid="{9D35C011-F356-4F1C-B127-B96CA0A5EA62}"/>
    <cellStyle name="Percent 2 4 4" xfId="1377" xr:uid="{E7286EB3-46CC-4772-82B8-1DF8678EEEAF}"/>
    <cellStyle name="Percent 2 4 4 2" xfId="2436" xr:uid="{8792A96D-0B0E-437F-88E7-48139B26C598}"/>
    <cellStyle name="Percent 2 4 4 3" xfId="3087" xr:uid="{02A35D0D-B5E1-4DBF-8953-C6AEA182AAC9}"/>
    <cellStyle name="Percent 2 4 4 4" xfId="3743" xr:uid="{744B26C8-6F41-4B9D-87AC-522F941F84EB}"/>
    <cellStyle name="Percent 2 4 4 5" xfId="4406" xr:uid="{9ED61B46-7863-40F3-BA23-0C7AD7D3E76B}"/>
    <cellStyle name="Percent 2 4 5" xfId="2002" xr:uid="{A61563CA-BFA6-4F33-BD70-BE633BD9E1FA}"/>
    <cellStyle name="Percent 2 4 6" xfId="2109" xr:uid="{9BC9EA48-6A05-46D9-81B0-91A2DD66C545}"/>
    <cellStyle name="Percent 2 4 7" xfId="2760" xr:uid="{B88C702D-2593-4053-A59D-B4DB534F71D6}"/>
    <cellStyle name="Percent 2 4 8" xfId="3416" xr:uid="{842084FB-D03E-4B92-AE3D-EBE09554C2EF}"/>
    <cellStyle name="Percent 2 4 9" xfId="4079" xr:uid="{5294083D-EA9D-4489-BA6F-060DD51F0609}"/>
    <cellStyle name="Percent 2 5" xfId="1094" xr:uid="{BCF8A739-8E25-4DC8-ABD2-1BC461AC14A4}"/>
    <cellStyle name="Percent 2 5 2" xfId="1431" xr:uid="{7BCD7AE1-5989-4163-B62A-3E95D830E61F}"/>
    <cellStyle name="Percent 2 5 2 2" xfId="2490" xr:uid="{A07A3051-02AC-44E0-BC95-B65E581617F0}"/>
    <cellStyle name="Percent 2 5 2 3" xfId="3141" xr:uid="{A7AA7ED1-0249-4EB9-878B-D76870CEBF8B}"/>
    <cellStyle name="Percent 2 5 2 4" xfId="3797" xr:uid="{B5BDF2C3-C056-4C83-9C9C-54FEEB861652}"/>
    <cellStyle name="Percent 2 5 2 5" xfId="4460" xr:uid="{A1365BFD-CF3F-48AC-9F86-2AB1178B0812}"/>
    <cellStyle name="Percent 2 5 3" xfId="1947" xr:uid="{915FD327-2453-4AB6-80E2-D2D7FC7817D8}"/>
    <cellStyle name="Percent 2 5 4" xfId="2163" xr:uid="{FD5538B3-2841-4FF9-843B-9869B7BCAB6D}"/>
    <cellStyle name="Percent 2 5 5" xfId="2814" xr:uid="{01CF3004-F6F8-408B-B9F7-1FE8D85722DD}"/>
    <cellStyle name="Percent 2 5 6" xfId="3470" xr:uid="{D0809E66-D9F6-4C6F-B8C4-7E85815295AF}"/>
    <cellStyle name="Percent 2 5 7" xfId="4133" xr:uid="{98611F12-D582-44F2-AA6A-E86208C5E073}"/>
    <cellStyle name="Percent 2 6" xfId="1208" xr:uid="{C039295E-DF5A-4408-AF94-5746037901E5}"/>
    <cellStyle name="Percent 2 6 2" xfId="1539" xr:uid="{262D500E-FE60-4852-8F1D-BC1E98C2B194}"/>
    <cellStyle name="Percent 2 6 2 2" xfId="2598" xr:uid="{0B77A507-6C24-4656-8F54-D74934CBCE62}"/>
    <cellStyle name="Percent 2 6 2 3" xfId="3249" xr:uid="{9047C0EB-6166-4C74-B729-648478D5F296}"/>
    <cellStyle name="Percent 2 6 2 4" xfId="3905" xr:uid="{CBC1C4DC-A0FD-41BA-9CBD-6220775042FF}"/>
    <cellStyle name="Percent 2 6 2 5" xfId="4568" xr:uid="{1364CCDA-3B45-40D2-9F86-526F48953D75}"/>
    <cellStyle name="Percent 2 6 3" xfId="2271" xr:uid="{33A37293-4FAF-48A5-B1B5-1509CA0C8E91}"/>
    <cellStyle name="Percent 2 6 4" xfId="2922" xr:uid="{2CE32CC6-F71D-4941-B867-22D4BE104DEE}"/>
    <cellStyle name="Percent 2 6 5" xfId="3578" xr:uid="{38D4E5D4-BCC0-46B2-BCC0-01E8806D0E34}"/>
    <cellStyle name="Percent 2 6 6" xfId="4241" xr:uid="{9DDE1E50-861E-43EE-B172-4AB9E86758AD}"/>
    <cellStyle name="Percent 2 7" xfId="1323" xr:uid="{EC766087-F3AC-495F-AD01-022CFF8DB63C}"/>
    <cellStyle name="Percent 2 7 2" xfId="2382" xr:uid="{924FDA33-A591-43D2-89E8-DEBCEC59B4F9}"/>
    <cellStyle name="Percent 2 7 3" xfId="3033" xr:uid="{1F4DA4DE-057A-4A06-AD04-6F1A45CC6607}"/>
    <cellStyle name="Percent 2 7 4" xfId="3689" xr:uid="{EA9ECFA3-9677-4B10-BE54-F1716385445F}"/>
    <cellStyle name="Percent 2 7 5" xfId="4352" xr:uid="{4869FC79-F91B-4F06-A546-41B277707153}"/>
    <cellStyle name="Percent 2 8" xfId="1899" xr:uid="{EEF8A09A-790F-4A76-BB82-B99938C855DD}"/>
    <cellStyle name="Percent 2 9" xfId="2055" xr:uid="{DE32A057-2CE2-4AF9-99FA-C31C7EF0CF65}"/>
    <cellStyle name="Percent 20" xfId="883" xr:uid="{A1D0F7E4-C31D-4600-89D8-B35CA5BC7D40}"/>
    <cellStyle name="Percent 21" xfId="884" xr:uid="{57AA5F21-9F50-441B-87C2-25DFCB9C0C08}"/>
    <cellStyle name="Percent 21 2" xfId="885" xr:uid="{9DB0C032-D9CE-412A-8BE3-DF7013A68AC5}"/>
    <cellStyle name="Percent 22" xfId="886" xr:uid="{F770E0AA-D96E-42B0-BF6E-4DFCE44D0E32}"/>
    <cellStyle name="Percent 22 2" xfId="887" xr:uid="{58855544-3D77-45D6-8235-5F3671E53DF2}"/>
    <cellStyle name="Percent 23" xfId="888" xr:uid="{80C692B4-41ED-4271-8504-069232DEDAEF}"/>
    <cellStyle name="Percent 23 2" xfId="889" xr:uid="{92243F19-B518-4192-B1DA-FDAB89B182EF}"/>
    <cellStyle name="Percent 24" xfId="890" xr:uid="{AEFCE90D-918B-407C-BFA6-7FF54C3949A7}"/>
    <cellStyle name="Percent 24 2" xfId="891" xr:uid="{0E8A34A9-C574-4BEF-BFC7-A3A6A05E8C5C}"/>
    <cellStyle name="Percent 25" xfId="892" xr:uid="{79F8644C-9F31-4CFF-A006-C498ABA46B60}"/>
    <cellStyle name="Percent 25 2" xfId="893" xr:uid="{4E7A9A66-C7F3-4838-93B8-58B7AF076956}"/>
    <cellStyle name="Percent 26" xfId="894" xr:uid="{A176F13A-4237-42F4-8114-564DF1531EBF}"/>
    <cellStyle name="Percent 26 2" xfId="895" xr:uid="{82B8AD5B-B256-49A7-B5CA-6F60A5A81A67}"/>
    <cellStyle name="Percent 27" xfId="896" xr:uid="{E59870CA-293E-42C4-8233-9D9A7D006A44}"/>
    <cellStyle name="Percent 27 2" xfId="897" xr:uid="{0FAA4295-0CA2-4EAF-AC08-3F59A29CC218}"/>
    <cellStyle name="Percent 28" xfId="898" xr:uid="{40DE7B85-78F0-49ED-A5FC-ED970437A7C6}"/>
    <cellStyle name="Percent 29" xfId="899" xr:uid="{906C662D-F709-427C-85AF-5024D76A580B}"/>
    <cellStyle name="Percent 3" xfId="130" xr:uid="{58D806CA-2DE4-40F7-9B26-621AEC88A501}"/>
    <cellStyle name="Percent 3 2" xfId="342" xr:uid="{643B6D46-3950-4755-9965-EF197316F7EF}"/>
    <cellStyle name="Percent 3 2 2" xfId="977" xr:uid="{EE3C3AAA-B9A3-4465-B026-70CA8A6E5C39}"/>
    <cellStyle name="Percent 3 2 3" xfId="994" xr:uid="{D47BD76B-920B-4361-B9F3-CA06554C1D1F}"/>
    <cellStyle name="Percent 3 2 3 2" xfId="1020" xr:uid="{FED146DF-CCDA-470B-AAE4-6E2D9C8B1CFB}"/>
    <cellStyle name="Percent 3 2 4" xfId="976" xr:uid="{D38F08BD-2DC5-43DE-A154-AE46A0220223}"/>
    <cellStyle name="Percent 3 3" xfId="975" xr:uid="{FDC76921-7F3D-4896-B66E-CB2813DA6472}"/>
    <cellStyle name="Percent 3 4" xfId="900" xr:uid="{54988B82-8D91-4822-AB55-42C782D23575}"/>
    <cellStyle name="Percent 30" xfId="901" xr:uid="{AA6F2DED-E002-46F8-906B-264C3BB20371}"/>
    <cellStyle name="Percent 31" xfId="902" xr:uid="{4F4700F7-7223-4948-8FCB-A231A2432F72}"/>
    <cellStyle name="Percent 32" xfId="903" xr:uid="{3E9B1076-A646-4298-9C3F-C871424638AC}"/>
    <cellStyle name="Percent 33" xfId="904" xr:uid="{9018450E-6B64-4883-B90F-C2C7AFFB4E40}"/>
    <cellStyle name="Percent 34" xfId="905" xr:uid="{E0D9F7D0-9E1B-4DF1-B862-3AE8767D4FC1}"/>
    <cellStyle name="Percent 34 2" xfId="906" xr:uid="{2C9006E2-BBF8-4AF8-9C6E-C1979ED135F4}"/>
    <cellStyle name="Percent 35" xfId="907" xr:uid="{94F1A58E-3311-4554-8C57-F13195DE1988}"/>
    <cellStyle name="Percent 36" xfId="908" xr:uid="{AE178D49-8525-496D-853A-A28B307BAB13}"/>
    <cellStyle name="Percent 37" xfId="909" xr:uid="{133377A6-4A60-40A7-B48D-D81C7FB12321}"/>
    <cellStyle name="Percent 38" xfId="910" xr:uid="{67CC94B7-CD2F-4BF6-A576-A1B880EA5F2B}"/>
    <cellStyle name="Percent 39" xfId="911" xr:uid="{DDC74143-DA74-4D00-B9B2-A862B8A739C6}"/>
    <cellStyle name="Percent 4" xfId="117" xr:uid="{690D36E5-A0FA-4A3E-B9F8-3A6E5D8B6185}"/>
    <cellStyle name="Percent 4 2" xfId="978" xr:uid="{71E717FA-163E-470F-8A15-DDF75E65CB17}"/>
    <cellStyle name="Percent 4 3" xfId="912" xr:uid="{8EFE80D4-F856-4E84-B7FE-5D595DD02724}"/>
    <cellStyle name="Percent 40" xfId="913" xr:uid="{A8C4529F-4B08-4A84-BB8E-FD64CFCB4ABA}"/>
    <cellStyle name="Percent 41" xfId="914" xr:uid="{419A0C63-A13C-44CA-A324-E76D8A2C6EF0}"/>
    <cellStyle name="Percent 42" xfId="915" xr:uid="{2CE926BD-14A5-4A9D-B11D-7621E57CF368}"/>
    <cellStyle name="Percent 43" xfId="931" xr:uid="{1FFEE260-0B50-4B89-9A1A-300076EC3D20}"/>
    <cellStyle name="Percent 44" xfId="934" xr:uid="{D4DF625F-1F85-442F-96C7-05096620763B}"/>
    <cellStyle name="Percent 45" xfId="935" xr:uid="{3A93CE5B-A5A0-426B-9C18-65893EC9D08F}"/>
    <cellStyle name="Percent 46" xfId="862" xr:uid="{16A0F500-E999-440E-937C-9F83F0324E0E}"/>
    <cellStyle name="Percent 47" xfId="1638" xr:uid="{278224AF-8E24-43BE-91AE-E6CA5CB94C48}"/>
    <cellStyle name="Percent 48" xfId="150" xr:uid="{3833DBE8-CEE0-4AC3-8E9F-8B1B9A2A6C25}"/>
    <cellStyle name="Percent 49" xfId="151" xr:uid="{F1C320FF-7362-45EA-9AB8-A28B9A7D2530}"/>
    <cellStyle name="Percent 5" xfId="916" xr:uid="{BAAF76EC-D82E-4665-A82C-0FFE746D74D7}"/>
    <cellStyle name="Percent 5 2" xfId="979" xr:uid="{9FD74A72-830B-4323-9646-429CCF3EA34E}"/>
    <cellStyle name="Percent 50" xfId="4694" xr:uid="{07C7D47D-1E32-49B2-8D7D-48EDE73CAB5E}"/>
    <cellStyle name="Percent 51" xfId="4704" xr:uid="{CC52B3AE-11EB-44D6-8928-90E10D373BB6}"/>
    <cellStyle name="Percent 52" xfId="4675" xr:uid="{88F07735-DC05-4836-BDA6-AB1805353EC7}"/>
    <cellStyle name="Percent 53" xfId="4745" xr:uid="{4E502DF9-B691-4BD7-B27A-019C76EEDD60}"/>
    <cellStyle name="Percent 54" xfId="4737" xr:uid="{D0E91E21-906B-4BE8-A84B-F93BDAF7D6F5}"/>
    <cellStyle name="Percent 55" xfId="4678" xr:uid="{E155AFD5-4FF7-4674-84F2-6156CFE91055}"/>
    <cellStyle name="Percent 56" xfId="4680" xr:uid="{4B80C8A9-2F4B-478C-BA7D-FD4F1D650CD8}"/>
    <cellStyle name="Percent 57" xfId="4730" xr:uid="{673DBAB0-78A8-4E59-AB97-0BC35B99C896}"/>
    <cellStyle name="Percent 58" xfId="4763" xr:uid="{F4E50C99-6CCD-4451-8779-0D024F7206EE}"/>
    <cellStyle name="Percent 59" xfId="4682" xr:uid="{83F2F2F8-6A68-46BD-ABDF-BDAF5963799F}"/>
    <cellStyle name="Percent 6" xfId="917" xr:uid="{C8C10795-5C24-434F-B573-E1066F0436F0}"/>
    <cellStyle name="Percent 6 2" xfId="981" xr:uid="{F9479033-5178-4D66-9885-4AA6447C13E7}"/>
    <cellStyle name="Percent 6 3" xfId="980" xr:uid="{B2D81E01-9EC2-4C26-A6F8-C842A44FD74E}"/>
    <cellStyle name="Percent 60" xfId="152" xr:uid="{A052B206-BD7D-4B67-9BA2-83A989602384}"/>
    <cellStyle name="Percent 61" xfId="4663" xr:uid="{4CC0A63D-82CD-48FA-A8BB-2325E9426407}"/>
    <cellStyle name="Percent 62" xfId="4754" xr:uid="{83287B9C-6C96-4232-B61A-5E6FEC0AC984}"/>
    <cellStyle name="Percent 63" xfId="4756" xr:uid="{AA46F31C-5072-44F9-91AB-212D123283A8}"/>
    <cellStyle name="Percent 64" xfId="4722" xr:uid="{CA3C73B4-8955-4070-89C4-CB6638D00E86}"/>
    <cellStyle name="Percent 65" xfId="4711" xr:uid="{768373C2-07A9-4B07-8F25-CDE17F51A54B}"/>
    <cellStyle name="Percent 66" xfId="4751" xr:uid="{9993DB61-6FB0-4729-97E4-FBB476CC9368}"/>
    <cellStyle name="Percent 67" xfId="4750" xr:uid="{A67BBD07-56B3-4B5A-BFCD-3868A595A424}"/>
    <cellStyle name="Percent 68" xfId="4715" xr:uid="{28BE5C22-B40D-452F-9866-6D3E6678A4D6}"/>
    <cellStyle name="Percent 69" xfId="4744" xr:uid="{319431DF-ACEB-4152-88AE-21F70BF731C4}"/>
    <cellStyle name="Percent 7" xfId="918" xr:uid="{B670B4DF-E1E0-4B2D-9DEB-FD2D1429783F}"/>
    <cellStyle name="Percent 7 2" xfId="983" xr:uid="{11AEB37D-EFC1-4BA2-A30D-23EABAAE95A7}"/>
    <cellStyle name="Percent 7 3" xfId="982" xr:uid="{C4650E96-EF6B-4AD8-A87B-53C16A3E11D2}"/>
    <cellStyle name="Percent 70" xfId="4762" xr:uid="{3D1CF8CB-A304-4A81-A0A2-5BF1F0C52108}"/>
    <cellStyle name="Percent 71" xfId="4755" xr:uid="{AF53E0A5-2F18-40A9-A3C0-56E79EF91F5C}"/>
    <cellStyle name="Percent 72" xfId="4735" xr:uid="{84FC73B3-F1D6-4F52-90CB-E1657F91BAEF}"/>
    <cellStyle name="Percent 73" xfId="4732" xr:uid="{CC234F69-7CEB-40B6-8779-928677D85039}"/>
    <cellStyle name="Percent 74" xfId="4710" xr:uid="{6CA1D025-2A2D-420C-99C8-8B4409E658F2}"/>
    <cellStyle name="Percent 75" xfId="4721" xr:uid="{A0E7878C-6F9E-4A10-A296-6B4F49133C00}"/>
    <cellStyle name="Percent 76" xfId="4733" xr:uid="{B1FAA377-956E-4EBC-85A9-F40DD669380F}"/>
    <cellStyle name="Percent 77" xfId="4717" xr:uid="{6406CABC-5633-48EA-90C5-8EABB14A967F}"/>
    <cellStyle name="Percent 78" xfId="4707" xr:uid="{F9AD588B-0C1E-4F90-B53B-B6315A20EBE5}"/>
    <cellStyle name="Percent 79" xfId="4664" xr:uid="{9AC75A58-7FAE-40B5-98F1-1A518C646E8D}"/>
    <cellStyle name="Percent 8" xfId="919" xr:uid="{FCCBBB1A-02EE-4050-B465-F54F07B529AF}"/>
    <cellStyle name="Percent 8 2" xfId="1013" xr:uid="{D6FA90EC-0BBB-4304-95FC-95A418E521D2}"/>
    <cellStyle name="Percent 8 2 2" xfId="1024" xr:uid="{9EB34AD0-884E-48AB-9E93-E6E1599EFF7D}"/>
    <cellStyle name="Percent 8 3" xfId="984" xr:uid="{8B0BC698-427A-4B45-AF8B-5BE7A0F250DE}"/>
    <cellStyle name="Percent 80" xfId="4672" xr:uid="{557EA2E4-0B8C-4E59-9BBB-2123F61891BE}"/>
    <cellStyle name="Percent 81" xfId="4726" xr:uid="{EDE0BABA-6183-483E-9707-C0588E5C9134}"/>
    <cellStyle name="Percent 82" xfId="4685" xr:uid="{1D28183B-EB88-46FD-B06F-484B5050EB47}"/>
    <cellStyle name="Percent 83" xfId="4705" xr:uid="{56474D82-EFB5-49C9-A9B2-A9948D999A6B}"/>
    <cellStyle name="Percent 84" xfId="47" xr:uid="{F3439750-9297-4AB5-9A7A-0E4DD5F27D36}"/>
    <cellStyle name="Percent 9" xfId="920" xr:uid="{7BB4A38D-2CFB-4D2B-9373-42A3012ECE16}"/>
    <cellStyle name="Percent 9 2" xfId="1019" xr:uid="{F3708E98-76E7-4435-B3B4-210C782CA09C}"/>
    <cellStyle name="Percent 9 3" xfId="992" xr:uid="{7B46B8C5-39CC-4D24-99F3-1708AA000947}"/>
    <cellStyle name="Subheads" xfId="921" xr:uid="{40940C0B-640E-4B7B-8528-7B268F2875C1}"/>
    <cellStyle name="Title" xfId="5" builtinId="15" customBuiltin="1"/>
    <cellStyle name="Title 2" xfId="114" xr:uid="{88AACB96-08FF-4F19-8F28-354C66E5FA87}"/>
    <cellStyle name="Title 2 2" xfId="143" xr:uid="{72E9DFE5-76FE-4CB4-8D6B-09C77567A8EF}"/>
    <cellStyle name="Title 2 2 2" xfId="1748" xr:uid="{A1039A6C-BBDF-4E1E-BCA0-BF344348C555}"/>
    <cellStyle name="Title 2 3" xfId="1740" xr:uid="{084A113A-CE33-4B75-A127-A7CC01594E33}"/>
    <cellStyle name="Title 2 4" xfId="922" xr:uid="{D8DA25B7-5C6E-4525-80A4-060C537A1A1D}"/>
    <cellStyle name="Title 2 5" xfId="236" xr:uid="{9354AE91-4ACF-43D9-8E29-EA9B2FA9EE47}"/>
    <cellStyle name="Title 3" xfId="57" xr:uid="{3D8DFEE0-0113-4A33-88EE-2745903167D6}"/>
    <cellStyle name="Title 3 2" xfId="1775" xr:uid="{06DDD838-E9B4-4C02-9BA1-96C0240F3DD1}"/>
    <cellStyle name="Title 3 3" xfId="1649" xr:uid="{03F7C991-0327-497B-8696-44991A0C124D}"/>
    <cellStyle name="Title 4" xfId="1639" xr:uid="{99CF6C5E-F3FA-49F0-93BA-5056540C9E76}"/>
    <cellStyle name="Total" xfId="20" builtinId="25" customBuiltin="1"/>
    <cellStyle name="Total 2" xfId="115" xr:uid="{B036D1A3-D9CC-4A13-B285-AEE73FB142B6}"/>
    <cellStyle name="Total 2 2" xfId="238" xr:uid="{63120D49-133D-4413-9FA0-9600F85FF398}"/>
    <cellStyle name="Total 2 3" xfId="273" xr:uid="{8C37D763-0D7F-47E1-B2BD-2A2DFE2A3445}"/>
    <cellStyle name="Total 2 4" xfId="1700" xr:uid="{1948584F-8AB5-4331-AF82-162DF9BE0DF9}"/>
    <cellStyle name="Total 2 5" xfId="237" xr:uid="{F17333BD-B392-4B0A-973F-9D7F8685F09E}"/>
    <cellStyle name="Total 3" xfId="239" xr:uid="{4DBEE3DE-8E1D-4435-9EFE-6CB3743BA4DC}"/>
    <cellStyle name="Total 3 2" xfId="240" xr:uid="{BC5E5DE8-59C9-4542-90C5-3295371D5FF2}"/>
    <cellStyle name="Total 3 3" xfId="1729" xr:uid="{19E6CC0B-B333-4D99-B018-A45F71B891B4}"/>
    <cellStyle name="Total 4" xfId="1661" xr:uid="{B35044DF-5A54-4FCC-8CDA-7F25D9CD3DCA}"/>
    <cellStyle name="Warning Text" xfId="18" builtinId="11" customBuiltin="1"/>
    <cellStyle name="Warning Text 2" xfId="241" xr:uid="{6399A7FC-92C5-4B46-9B31-FC7B00D78B8B}"/>
    <cellStyle name="Warning Text 2 2" xfId="1698" xr:uid="{FCFE252D-6F6A-48E8-AC41-BA40616E30D1}"/>
    <cellStyle name="Warning Text 3" xfId="1714" xr:uid="{93263399-9F6F-4935-9EFF-8A83492D512C}"/>
    <cellStyle name="Warning Text 4" xfId="1658" xr:uid="{FA65B136-4C41-4785-BE6F-08E1338E10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eannette Ring" id="{2DEC6CA8-C0FC-40E0-AF1B-DAF2F6C90D17}" userId="S::jring@dzacpa.com::565403ee-9c2a-4798-97f2-05c7f3e4689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59" dT="2023-06-15T17:54:40.73" personId="{2DEC6CA8-C0FC-40E0-AF1B-DAF2F6C90D17}" id="{BE2CDAD3-5F42-44BB-8F5A-205F41533091}">
    <text>missing offsit lab</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sft.wa.gov/" TargetMode="External"/><Relationship Id="rId7" Type="http://schemas.openxmlformats.org/officeDocument/2006/relationships/comments" Target="../comments1.xm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jring@dzacpa.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sft.wa.gov/" TargetMode="Externa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3AF3-0A71-4451-84C1-124DE99DA219}">
  <sheetPr syncVertical="1" syncRef="A148" transitionEvaluation="1" transitionEntry="1" codeName="Sheet1">
    <tabColor rgb="FF92D050"/>
    <pageSetUpPr autoPageBreaks="0" fitToPage="1"/>
  </sheetPr>
  <dimension ref="A1:CF716"/>
  <sheetViews>
    <sheetView topLeftCell="A148" zoomScaleNormal="100" workbookViewId="0">
      <selection activeCell="B163" sqref="B163"/>
    </sheetView>
  </sheetViews>
  <sheetFormatPr defaultColWidth="11.77734375" defaultRowHeight="15" x14ac:dyDescent="0.25"/>
  <cols>
    <col min="1" max="1" width="44.44140625" style="12" customWidth="1"/>
    <col min="2" max="84" width="13.5546875" style="12" customWidth="1"/>
    <col min="85" max="86" width="11.77734375" style="12" customWidth="1"/>
    <col min="87" max="16384" width="11.77734375" style="12"/>
  </cols>
  <sheetData>
    <row r="1" spans="1:3" x14ac:dyDescent="0.25">
      <c r="A1" s="69" t="s">
        <v>1348</v>
      </c>
      <c r="C1" s="17"/>
    </row>
    <row r="2" spans="1:3" x14ac:dyDescent="0.25">
      <c r="A2" s="69" t="s">
        <v>2</v>
      </c>
      <c r="C2" s="17"/>
    </row>
    <row r="3" spans="1:3" x14ac:dyDescent="0.25">
      <c r="A3" s="12" t="s">
        <v>3</v>
      </c>
      <c r="C3" s="17"/>
    </row>
    <row r="4" spans="1:3" x14ac:dyDescent="0.25">
      <c r="C4" s="17"/>
    </row>
    <row r="5" spans="1:3" x14ac:dyDescent="0.25">
      <c r="A5" s="12" t="s">
        <v>1327</v>
      </c>
    </row>
    <row r="6" spans="1:3" x14ac:dyDescent="0.25">
      <c r="A6" s="12" t="s">
        <v>4</v>
      </c>
    </row>
    <row r="7" spans="1:3" x14ac:dyDescent="0.25">
      <c r="A7" s="12" t="s">
        <v>1349</v>
      </c>
    </row>
    <row r="8" spans="1:3" x14ac:dyDescent="0.25">
      <c r="C8" s="17"/>
    </row>
    <row r="9" spans="1:3" x14ac:dyDescent="0.25">
      <c r="A9" s="69" t="s">
        <v>5</v>
      </c>
      <c r="C9" s="17"/>
    </row>
    <row r="10" spans="1:3" x14ac:dyDescent="0.25">
      <c r="A10" s="12" t="s">
        <v>1350</v>
      </c>
      <c r="C10" s="17"/>
    </row>
    <row r="11" spans="1:3" x14ac:dyDescent="0.25">
      <c r="A11" s="18" t="s">
        <v>6</v>
      </c>
      <c r="C11" s="17"/>
    </row>
    <row r="12" spans="1:3" x14ac:dyDescent="0.25">
      <c r="A12" s="16" t="s">
        <v>7</v>
      </c>
      <c r="C12" s="17"/>
    </row>
    <row r="13" spans="1:3" x14ac:dyDescent="0.25">
      <c r="A13" s="12" t="s">
        <v>8</v>
      </c>
      <c r="C13" s="17"/>
    </row>
    <row r="14" spans="1:3" x14ac:dyDescent="0.25">
      <c r="C14" s="17"/>
    </row>
    <row r="15" spans="1:3" x14ac:dyDescent="0.25">
      <c r="A15" s="73" t="s">
        <v>9</v>
      </c>
    </row>
    <row r="16" spans="1:3" x14ac:dyDescent="0.25">
      <c r="A16" s="16" t="s">
        <v>10</v>
      </c>
    </row>
    <row r="17" spans="1:10" x14ac:dyDescent="0.25">
      <c r="A17" s="18" t="s">
        <v>1351</v>
      </c>
    </row>
    <row r="18" spans="1:10" ht="14.45" customHeight="1" x14ac:dyDescent="0.25">
      <c r="A18" s="18" t="s">
        <v>1352</v>
      </c>
    </row>
    <row r="19" spans="1:10" ht="14.45" customHeight="1" x14ac:dyDescent="0.25">
      <c r="A19" s="18" t="s">
        <v>1353</v>
      </c>
    </row>
    <row r="20" spans="1:10" ht="14.45" customHeight="1" x14ac:dyDescent="0.25">
      <c r="A20" s="16"/>
      <c r="E20" s="72"/>
      <c r="F20" s="72"/>
      <c r="G20" s="72"/>
    </row>
    <row r="21" spans="1:10" ht="14.45" customHeight="1" x14ac:dyDescent="0.25">
      <c r="A21" s="74" t="s">
        <v>11</v>
      </c>
      <c r="E21" s="72"/>
      <c r="F21" s="72"/>
      <c r="G21" s="72"/>
      <c r="I21" s="72"/>
      <c r="J21" s="72"/>
    </row>
    <row r="22" spans="1:10" ht="16.5" x14ac:dyDescent="0.25">
      <c r="A22" s="18" t="s">
        <v>12</v>
      </c>
      <c r="E22" s="71"/>
      <c r="F22" s="71"/>
      <c r="G22" s="71"/>
      <c r="I22" s="71"/>
      <c r="J22" s="71"/>
    </row>
    <row r="23" spans="1:10" ht="16.5" x14ac:dyDescent="0.25">
      <c r="A23" s="18" t="s">
        <v>1354</v>
      </c>
      <c r="E23" s="71"/>
      <c r="F23" s="71"/>
      <c r="G23" s="71"/>
      <c r="I23" s="71"/>
      <c r="J23" s="71"/>
    </row>
    <row r="24" spans="1:10" x14ac:dyDescent="0.25">
      <c r="A24" s="18" t="s">
        <v>1355</v>
      </c>
    </row>
    <row r="25" spans="1:10" x14ac:dyDescent="0.25">
      <c r="A25" s="18" t="s">
        <v>1356</v>
      </c>
    </row>
    <row r="26" spans="1:10" x14ac:dyDescent="0.25">
      <c r="A26" s="18"/>
    </row>
    <row r="27" spans="1:10" x14ac:dyDescent="0.25">
      <c r="A27" s="16" t="s">
        <v>13</v>
      </c>
      <c r="C27" s="17"/>
    </row>
    <row r="28" spans="1:10" x14ac:dyDescent="0.25">
      <c r="A28" s="18" t="s">
        <v>1357</v>
      </c>
      <c r="C28" s="17"/>
    </row>
    <row r="29" spans="1:10" x14ac:dyDescent="0.25">
      <c r="C29" s="17"/>
    </row>
    <row r="30" spans="1:10" x14ac:dyDescent="0.25">
      <c r="A30" s="12" t="s">
        <v>1346</v>
      </c>
      <c r="C30" s="325" t="s">
        <v>1347</v>
      </c>
      <c r="F30" s="19"/>
    </row>
    <row r="31" spans="1:10" x14ac:dyDescent="0.25">
      <c r="C31" s="17"/>
    </row>
    <row r="32" spans="1:10" x14ac:dyDescent="0.25">
      <c r="A32" s="69" t="s">
        <v>15</v>
      </c>
      <c r="B32" s="72"/>
      <c r="C32" s="72"/>
      <c r="D32" s="72"/>
    </row>
    <row r="33" spans="1:83" x14ac:dyDescent="0.25">
      <c r="A33" s="18" t="s">
        <v>16</v>
      </c>
      <c r="B33" s="72"/>
      <c r="C33" s="72"/>
      <c r="D33" s="72"/>
    </row>
    <row r="34" spans="1:83" ht="16.5" x14ac:dyDescent="0.25">
      <c r="A34" s="18" t="s">
        <v>17</v>
      </c>
      <c r="B34" s="71"/>
      <c r="C34" s="71"/>
      <c r="D34" s="71"/>
    </row>
    <row r="35" spans="1:83" ht="16.5" x14ac:dyDescent="0.25">
      <c r="B35" s="71"/>
      <c r="C35" s="71"/>
      <c r="D35" s="71"/>
    </row>
    <row r="36" spans="1:83" x14ac:dyDescent="0.25">
      <c r="A36" s="326" t="s">
        <v>18</v>
      </c>
      <c r="B36" s="327"/>
      <c r="C36" s="328"/>
      <c r="D36" s="327"/>
      <c r="E36" s="327"/>
      <c r="F36" s="327"/>
      <c r="G36" s="327"/>
    </row>
    <row r="37" spans="1:83" x14ac:dyDescent="0.25">
      <c r="A37" s="329" t="s">
        <v>1339</v>
      </c>
      <c r="B37" s="330"/>
      <c r="C37" s="328"/>
      <c r="D37" s="327"/>
      <c r="E37" s="327"/>
      <c r="F37" s="327"/>
      <c r="G37" s="327"/>
    </row>
    <row r="38" spans="1:83" x14ac:dyDescent="0.25">
      <c r="A38" s="333" t="s">
        <v>1358</v>
      </c>
      <c r="B38" s="330"/>
      <c r="C38" s="328"/>
      <c r="D38" s="327"/>
      <c r="E38" s="327"/>
      <c r="F38" s="327"/>
      <c r="G38" s="327"/>
    </row>
    <row r="39" spans="1:83" x14ac:dyDescent="0.25">
      <c r="A39" s="332" t="s">
        <v>1340</v>
      </c>
      <c r="B39" s="327"/>
      <c r="C39" s="328"/>
      <c r="D39" s="327"/>
      <c r="E39" s="327"/>
      <c r="F39" s="327"/>
      <c r="G39" s="327"/>
    </row>
    <row r="40" spans="1:83" x14ac:dyDescent="0.25">
      <c r="A40" s="333" t="s">
        <v>1359</v>
      </c>
      <c r="B40" s="327"/>
      <c r="C40" s="328"/>
      <c r="D40" s="327"/>
      <c r="E40" s="327"/>
      <c r="F40" s="327"/>
      <c r="G40" s="327"/>
    </row>
    <row r="41" spans="1:83" x14ac:dyDescent="0.25">
      <c r="C41" s="17"/>
    </row>
    <row r="42" spans="1:83" x14ac:dyDescent="0.25">
      <c r="A42" s="12" t="s">
        <v>19</v>
      </c>
      <c r="C42" s="17"/>
      <c r="F42" s="19" t="s">
        <v>14</v>
      </c>
    </row>
    <row r="43" spans="1:83" x14ac:dyDescent="0.25">
      <c r="A43" s="19" t="s">
        <v>20</v>
      </c>
      <c r="C43" s="17"/>
    </row>
    <row r="44" spans="1:83" x14ac:dyDescent="0.25">
      <c r="A44" s="20"/>
      <c r="B44" s="20"/>
      <c r="C44" s="21" t="s">
        <v>21</v>
      </c>
      <c r="D44" s="22" t="s">
        <v>22</v>
      </c>
      <c r="E44" s="22" t="s">
        <v>23</v>
      </c>
      <c r="F44" s="22" t="s">
        <v>24</v>
      </c>
      <c r="G44" s="22" t="s">
        <v>25</v>
      </c>
      <c r="H44" s="22" t="s">
        <v>26</v>
      </c>
      <c r="I44" s="22" t="s">
        <v>27</v>
      </c>
      <c r="J44" s="22" t="s">
        <v>28</v>
      </c>
      <c r="K44" s="22" t="s">
        <v>29</v>
      </c>
      <c r="L44" s="22" t="s">
        <v>30</v>
      </c>
      <c r="M44" s="22" t="s">
        <v>31</v>
      </c>
      <c r="N44" s="22" t="s">
        <v>32</v>
      </c>
      <c r="O44" s="22" t="s">
        <v>33</v>
      </c>
      <c r="P44" s="22" t="s">
        <v>34</v>
      </c>
      <c r="Q44" s="22" t="s">
        <v>35</v>
      </c>
      <c r="R44" s="22" t="s">
        <v>36</v>
      </c>
      <c r="S44" s="22" t="s">
        <v>37</v>
      </c>
      <c r="T44" s="22" t="s">
        <v>38</v>
      </c>
      <c r="U44" s="22" t="s">
        <v>39</v>
      </c>
      <c r="V44" s="22" t="s">
        <v>40</v>
      </c>
      <c r="W44" s="22" t="s">
        <v>41</v>
      </c>
      <c r="X44" s="22" t="s">
        <v>42</v>
      </c>
      <c r="Y44" s="22" t="s">
        <v>43</v>
      </c>
      <c r="Z44" s="22" t="s">
        <v>44</v>
      </c>
      <c r="AA44" s="22" t="s">
        <v>45</v>
      </c>
      <c r="AB44" s="22" t="s">
        <v>46</v>
      </c>
      <c r="AC44" s="22" t="s">
        <v>47</v>
      </c>
      <c r="AD44" s="22" t="s">
        <v>48</v>
      </c>
      <c r="AE44" s="22" t="s">
        <v>49</v>
      </c>
      <c r="AF44" s="22" t="s">
        <v>50</v>
      </c>
      <c r="AG44" s="22" t="s">
        <v>51</v>
      </c>
      <c r="AH44" s="22" t="s">
        <v>52</v>
      </c>
      <c r="AI44" s="22" t="s">
        <v>53</v>
      </c>
      <c r="AJ44" s="22" t="s">
        <v>54</v>
      </c>
      <c r="AK44" s="22" t="s">
        <v>55</v>
      </c>
      <c r="AL44" s="22" t="s">
        <v>56</v>
      </c>
      <c r="AM44" s="22" t="s">
        <v>57</v>
      </c>
      <c r="AN44" s="22" t="s">
        <v>58</v>
      </c>
      <c r="AO44" s="22" t="s">
        <v>59</v>
      </c>
      <c r="AP44" s="22" t="s">
        <v>60</v>
      </c>
      <c r="AQ44" s="22" t="s">
        <v>61</v>
      </c>
      <c r="AR44" s="22" t="s">
        <v>62</v>
      </c>
      <c r="AS44" s="22" t="s">
        <v>63</v>
      </c>
      <c r="AT44" s="22" t="s">
        <v>64</v>
      </c>
      <c r="AU44" s="22" t="s">
        <v>65</v>
      </c>
      <c r="AV44" s="22" t="s">
        <v>66</v>
      </c>
      <c r="AW44" s="22" t="s">
        <v>67</v>
      </c>
      <c r="AX44" s="22" t="s">
        <v>68</v>
      </c>
      <c r="AY44" s="22" t="s">
        <v>69</v>
      </c>
      <c r="AZ44" s="22" t="s">
        <v>70</v>
      </c>
      <c r="BA44" s="22" t="s">
        <v>71</v>
      </c>
      <c r="BB44" s="22" t="s">
        <v>72</v>
      </c>
      <c r="BC44" s="22" t="s">
        <v>73</v>
      </c>
      <c r="BD44" s="22" t="s">
        <v>74</v>
      </c>
      <c r="BE44" s="22" t="s">
        <v>75</v>
      </c>
      <c r="BF44" s="22" t="s">
        <v>76</v>
      </c>
      <c r="BG44" s="22" t="s">
        <v>77</v>
      </c>
      <c r="BH44" s="22" t="s">
        <v>78</v>
      </c>
      <c r="BI44" s="22" t="s">
        <v>79</v>
      </c>
      <c r="BJ44" s="22" t="s">
        <v>80</v>
      </c>
      <c r="BK44" s="22" t="s">
        <v>81</v>
      </c>
      <c r="BL44" s="22" t="s">
        <v>82</v>
      </c>
      <c r="BM44" s="22" t="s">
        <v>83</v>
      </c>
      <c r="BN44" s="22" t="s">
        <v>84</v>
      </c>
      <c r="BO44" s="22" t="s">
        <v>85</v>
      </c>
      <c r="BP44" s="22" t="s">
        <v>86</v>
      </c>
      <c r="BQ44" s="22" t="s">
        <v>87</v>
      </c>
      <c r="BR44" s="22" t="s">
        <v>88</v>
      </c>
      <c r="BS44" s="22" t="s">
        <v>89</v>
      </c>
      <c r="BT44" s="22" t="s">
        <v>90</v>
      </c>
      <c r="BU44" s="22" t="s">
        <v>91</v>
      </c>
      <c r="BV44" s="22" t="s">
        <v>92</v>
      </c>
      <c r="BW44" s="22" t="s">
        <v>93</v>
      </c>
      <c r="BX44" s="22" t="s">
        <v>94</v>
      </c>
      <c r="BY44" s="22" t="s">
        <v>95</v>
      </c>
      <c r="BZ44" s="22" t="s">
        <v>96</v>
      </c>
      <c r="CA44" s="22" t="s">
        <v>97</v>
      </c>
      <c r="CB44" s="22" t="s">
        <v>98</v>
      </c>
      <c r="CC44" s="22" t="s">
        <v>99</v>
      </c>
      <c r="CD44" s="22" t="s">
        <v>100</v>
      </c>
      <c r="CE44" s="22" t="s">
        <v>101</v>
      </c>
    </row>
    <row r="45" spans="1:83" x14ac:dyDescent="0.25">
      <c r="A45" s="20"/>
      <c r="B45" s="23" t="s">
        <v>102</v>
      </c>
      <c r="C45" s="21" t="s">
        <v>103</v>
      </c>
      <c r="D45" s="22" t="s">
        <v>104</v>
      </c>
      <c r="E45" s="22" t="s">
        <v>105</v>
      </c>
      <c r="F45" s="22" t="s">
        <v>106</v>
      </c>
      <c r="G45" s="22" t="s">
        <v>107</v>
      </c>
      <c r="H45" s="22" t="s">
        <v>108</v>
      </c>
      <c r="I45" s="22" t="s">
        <v>109</v>
      </c>
      <c r="J45" s="22" t="s">
        <v>110</v>
      </c>
      <c r="K45" s="22" t="s">
        <v>111</v>
      </c>
      <c r="L45" s="22" t="s">
        <v>112</v>
      </c>
      <c r="M45" s="22" t="s">
        <v>113</v>
      </c>
      <c r="N45" s="22" t="s">
        <v>114</v>
      </c>
      <c r="O45" s="22" t="s">
        <v>115</v>
      </c>
      <c r="P45" s="22" t="s">
        <v>116</v>
      </c>
      <c r="Q45" s="22" t="s">
        <v>117</v>
      </c>
      <c r="R45" s="22" t="s">
        <v>118</v>
      </c>
      <c r="S45" s="22" t="s">
        <v>119</v>
      </c>
      <c r="T45" s="22" t="s">
        <v>120</v>
      </c>
      <c r="U45" s="22" t="s">
        <v>121</v>
      </c>
      <c r="V45" s="22" t="s">
        <v>122</v>
      </c>
      <c r="W45" s="22" t="s">
        <v>123</v>
      </c>
      <c r="X45" s="22" t="s">
        <v>124</v>
      </c>
      <c r="Y45" s="22" t="s">
        <v>125</v>
      </c>
      <c r="Z45" s="22" t="s">
        <v>125</v>
      </c>
      <c r="AA45" s="22" t="s">
        <v>126</v>
      </c>
      <c r="AB45" s="22" t="s">
        <v>127</v>
      </c>
      <c r="AC45" s="22" t="s">
        <v>128</v>
      </c>
      <c r="AD45" s="22" t="s">
        <v>129</v>
      </c>
      <c r="AE45" s="22" t="s">
        <v>107</v>
      </c>
      <c r="AF45" s="22" t="s">
        <v>108</v>
      </c>
      <c r="AG45" s="22" t="s">
        <v>130</v>
      </c>
      <c r="AH45" s="22" t="s">
        <v>131</v>
      </c>
      <c r="AI45" s="22" t="s">
        <v>132</v>
      </c>
      <c r="AJ45" s="22" t="s">
        <v>133</v>
      </c>
      <c r="AK45" s="22" t="s">
        <v>134</v>
      </c>
      <c r="AL45" s="22" t="s">
        <v>135</v>
      </c>
      <c r="AM45" s="22" t="s">
        <v>136</v>
      </c>
      <c r="AN45" s="22" t="s">
        <v>122</v>
      </c>
      <c r="AO45" s="22" t="s">
        <v>137</v>
      </c>
      <c r="AP45" s="22" t="s">
        <v>138</v>
      </c>
      <c r="AQ45" s="22" t="s">
        <v>139</v>
      </c>
      <c r="AR45" s="22" t="s">
        <v>140</v>
      </c>
      <c r="AS45" s="22" t="s">
        <v>141</v>
      </c>
      <c r="AT45" s="22" t="s">
        <v>142</v>
      </c>
      <c r="AU45" s="22" t="s">
        <v>143</v>
      </c>
      <c r="AV45" s="22" t="s">
        <v>144</v>
      </c>
      <c r="AW45" s="22" t="s">
        <v>145</v>
      </c>
      <c r="AX45" s="22" t="s">
        <v>146</v>
      </c>
      <c r="AY45" s="22" t="s">
        <v>147</v>
      </c>
      <c r="AZ45" s="22" t="s">
        <v>148</v>
      </c>
      <c r="BA45" s="22" t="s">
        <v>149</v>
      </c>
      <c r="BB45" s="22" t="s">
        <v>150</v>
      </c>
      <c r="BC45" s="22" t="s">
        <v>119</v>
      </c>
      <c r="BD45" s="22" t="s">
        <v>151</v>
      </c>
      <c r="BE45" s="22" t="s">
        <v>152</v>
      </c>
      <c r="BF45" s="22" t="s">
        <v>153</v>
      </c>
      <c r="BG45" s="22" t="s">
        <v>154</v>
      </c>
      <c r="BH45" s="22" t="s">
        <v>155</v>
      </c>
      <c r="BI45" s="22" t="s">
        <v>156</v>
      </c>
      <c r="BJ45" s="22" t="s">
        <v>157</v>
      </c>
      <c r="BK45" s="22" t="s">
        <v>158</v>
      </c>
      <c r="BL45" s="22" t="s">
        <v>159</v>
      </c>
      <c r="BM45" s="22" t="s">
        <v>144</v>
      </c>
      <c r="BN45" s="22" t="s">
        <v>160</v>
      </c>
      <c r="BO45" s="22" t="s">
        <v>161</v>
      </c>
      <c r="BP45" s="22" t="s">
        <v>162</v>
      </c>
      <c r="BQ45" s="22" t="s">
        <v>163</v>
      </c>
      <c r="BR45" s="22" t="s">
        <v>164</v>
      </c>
      <c r="BS45" s="22" t="s">
        <v>165</v>
      </c>
      <c r="BT45" s="22" t="s">
        <v>166</v>
      </c>
      <c r="BU45" s="22" t="s">
        <v>167</v>
      </c>
      <c r="BV45" s="22" t="s">
        <v>167</v>
      </c>
      <c r="BW45" s="22" t="s">
        <v>167</v>
      </c>
      <c r="BX45" s="22" t="s">
        <v>168</v>
      </c>
      <c r="BY45" s="22" t="s">
        <v>169</v>
      </c>
      <c r="BZ45" s="22" t="s">
        <v>170</v>
      </c>
      <c r="CA45" s="22" t="s">
        <v>171</v>
      </c>
      <c r="CB45" s="22" t="s">
        <v>172</v>
      </c>
      <c r="CC45" s="22" t="s">
        <v>144</v>
      </c>
      <c r="CD45" s="22"/>
      <c r="CE45" s="22" t="s">
        <v>173</v>
      </c>
    </row>
    <row r="46" spans="1:83" x14ac:dyDescent="0.25">
      <c r="A46" s="20" t="s">
        <v>9</v>
      </c>
      <c r="B46" s="22" t="s">
        <v>174</v>
      </c>
      <c r="C46" s="21" t="s">
        <v>175</v>
      </c>
      <c r="D46" s="22" t="s">
        <v>175</v>
      </c>
      <c r="E46" s="22" t="s">
        <v>175</v>
      </c>
      <c r="F46" s="22" t="s">
        <v>176</v>
      </c>
      <c r="G46" s="22" t="s">
        <v>177</v>
      </c>
      <c r="H46" s="22" t="s">
        <v>175</v>
      </c>
      <c r="I46" s="22" t="s">
        <v>178</v>
      </c>
      <c r="J46" s="22"/>
      <c r="K46" s="22" t="s">
        <v>169</v>
      </c>
      <c r="L46" s="22" t="s">
        <v>179</v>
      </c>
      <c r="M46" s="22" t="s">
        <v>180</v>
      </c>
      <c r="N46" s="22" t="s">
        <v>181</v>
      </c>
      <c r="O46" s="22" t="s">
        <v>182</v>
      </c>
      <c r="P46" s="22" t="s">
        <v>181</v>
      </c>
      <c r="Q46" s="22" t="s">
        <v>183</v>
      </c>
      <c r="R46" s="22"/>
      <c r="S46" s="22" t="s">
        <v>181</v>
      </c>
      <c r="T46" s="22" t="s">
        <v>184</v>
      </c>
      <c r="U46" s="22"/>
      <c r="V46" s="22" t="s">
        <v>185</v>
      </c>
      <c r="W46" s="22" t="s">
        <v>186</v>
      </c>
      <c r="X46" s="22" t="s">
        <v>187</v>
      </c>
      <c r="Y46" s="22" t="s">
        <v>188</v>
      </c>
      <c r="Z46" s="22" t="s">
        <v>189</v>
      </c>
      <c r="AA46" s="22" t="s">
        <v>190</v>
      </c>
      <c r="AB46" s="22"/>
      <c r="AC46" s="22" t="s">
        <v>184</v>
      </c>
      <c r="AD46" s="22"/>
      <c r="AE46" s="22" t="s">
        <v>184</v>
      </c>
      <c r="AF46" s="22" t="s">
        <v>191</v>
      </c>
      <c r="AG46" s="22" t="s">
        <v>183</v>
      </c>
      <c r="AH46" s="22"/>
      <c r="AI46" s="22" t="s">
        <v>192</v>
      </c>
      <c r="AJ46" s="22"/>
      <c r="AK46" s="22" t="s">
        <v>184</v>
      </c>
      <c r="AL46" s="22" t="s">
        <v>184</v>
      </c>
      <c r="AM46" s="22" t="s">
        <v>184</v>
      </c>
      <c r="AN46" s="22" t="s">
        <v>193</v>
      </c>
      <c r="AO46" s="22" t="s">
        <v>194</v>
      </c>
      <c r="AP46" s="22" t="s">
        <v>133</v>
      </c>
      <c r="AQ46" s="22" t="s">
        <v>195</v>
      </c>
      <c r="AR46" s="22" t="s">
        <v>181</v>
      </c>
      <c r="AS46" s="22"/>
      <c r="AT46" s="22" t="s">
        <v>196</v>
      </c>
      <c r="AU46" s="22" t="s">
        <v>197</v>
      </c>
      <c r="AV46" s="22" t="s">
        <v>198</v>
      </c>
      <c r="AW46" s="22" t="s">
        <v>199</v>
      </c>
      <c r="AX46" s="22" t="s">
        <v>200</v>
      </c>
      <c r="AY46" s="22"/>
      <c r="AZ46" s="22"/>
      <c r="BA46" s="22" t="s">
        <v>201</v>
      </c>
      <c r="BB46" s="22" t="s">
        <v>181</v>
      </c>
      <c r="BC46" s="22" t="s">
        <v>195</v>
      </c>
      <c r="BD46" s="22"/>
      <c r="BE46" s="22"/>
      <c r="BF46" s="22"/>
      <c r="BG46" s="22"/>
      <c r="BH46" s="22" t="s">
        <v>202</v>
      </c>
      <c r="BI46" s="22" t="s">
        <v>181</v>
      </c>
      <c r="BJ46" s="22"/>
      <c r="BK46" s="22" t="s">
        <v>203</v>
      </c>
      <c r="BL46" s="22"/>
      <c r="BM46" s="22" t="s">
        <v>204</v>
      </c>
      <c r="BN46" s="22" t="s">
        <v>205</v>
      </c>
      <c r="BO46" s="22" t="s">
        <v>206</v>
      </c>
      <c r="BP46" s="22" t="s">
        <v>207</v>
      </c>
      <c r="BQ46" s="22" t="s">
        <v>208</v>
      </c>
      <c r="BR46" s="22"/>
      <c r="BS46" s="22" t="s">
        <v>209</v>
      </c>
      <c r="BT46" s="22" t="s">
        <v>181</v>
      </c>
      <c r="BU46" s="22" t="s">
        <v>210</v>
      </c>
      <c r="BV46" s="22" t="s">
        <v>211</v>
      </c>
      <c r="BW46" s="22" t="s">
        <v>212</v>
      </c>
      <c r="BX46" s="22" t="s">
        <v>163</v>
      </c>
      <c r="BY46" s="22" t="s">
        <v>205</v>
      </c>
      <c r="BZ46" s="22" t="s">
        <v>164</v>
      </c>
      <c r="CA46" s="22" t="s">
        <v>213</v>
      </c>
      <c r="CB46" s="22" t="s">
        <v>213</v>
      </c>
      <c r="CC46" s="22" t="s">
        <v>214</v>
      </c>
      <c r="CD46" s="22"/>
      <c r="CE46" s="22" t="s">
        <v>215</v>
      </c>
    </row>
    <row r="47" spans="1:83" x14ac:dyDescent="0.25">
      <c r="A47" s="20" t="s">
        <v>216</v>
      </c>
      <c r="B47" s="305"/>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0"/>
      <c r="CE47" s="32">
        <f>SUM(C47:CC47)</f>
        <v>0</v>
      </c>
    </row>
    <row r="48" spans="1:83" x14ac:dyDescent="0.25">
      <c r="A48" s="32" t="s">
        <v>217</v>
      </c>
      <c r="B48" s="305">
        <v>16248274</v>
      </c>
      <c r="C48" s="32">
        <f>IF($B$48,(ROUND((($B$48/$CE$61)*C61),0)))</f>
        <v>204450</v>
      </c>
      <c r="D48" s="32">
        <f t="shared" ref="D48:BO48" si="0">IF($B$48,(ROUND((($B$48/$CE$61)*D61),0)))</f>
        <v>0</v>
      </c>
      <c r="E48" s="32">
        <f t="shared" si="0"/>
        <v>1216869</v>
      </c>
      <c r="F48" s="32">
        <f t="shared" si="0"/>
        <v>0</v>
      </c>
      <c r="G48" s="32">
        <f t="shared" si="0"/>
        <v>0</v>
      </c>
      <c r="H48" s="32">
        <f t="shared" si="0"/>
        <v>0</v>
      </c>
      <c r="I48" s="32">
        <f t="shared" si="0"/>
        <v>0</v>
      </c>
      <c r="J48" s="32">
        <f t="shared" si="0"/>
        <v>48446</v>
      </c>
      <c r="K48" s="32">
        <f t="shared" si="0"/>
        <v>0</v>
      </c>
      <c r="L48" s="32">
        <f t="shared" si="0"/>
        <v>28285</v>
      </c>
      <c r="M48" s="32">
        <f t="shared" si="0"/>
        <v>242289</v>
      </c>
      <c r="N48" s="32">
        <f t="shared" si="0"/>
        <v>0</v>
      </c>
      <c r="O48" s="32">
        <f t="shared" si="0"/>
        <v>18656</v>
      </c>
      <c r="P48" s="32">
        <f t="shared" si="0"/>
        <v>308285</v>
      </c>
      <c r="Q48" s="32">
        <f t="shared" si="0"/>
        <v>141106</v>
      </c>
      <c r="R48" s="32">
        <f t="shared" si="0"/>
        <v>277704</v>
      </c>
      <c r="S48" s="32">
        <f t="shared" si="0"/>
        <v>38665</v>
      </c>
      <c r="T48" s="32">
        <f t="shared" si="0"/>
        <v>0</v>
      </c>
      <c r="U48" s="32">
        <f t="shared" si="0"/>
        <v>410445</v>
      </c>
      <c r="V48" s="32">
        <f t="shared" si="0"/>
        <v>0</v>
      </c>
      <c r="W48" s="32">
        <f t="shared" si="0"/>
        <v>35235</v>
      </c>
      <c r="X48" s="32">
        <f t="shared" si="0"/>
        <v>100912</v>
      </c>
      <c r="Y48" s="32">
        <f t="shared" si="0"/>
        <v>386706</v>
      </c>
      <c r="Z48" s="32">
        <f t="shared" si="0"/>
        <v>0</v>
      </c>
      <c r="AA48" s="32">
        <f t="shared" si="0"/>
        <v>6952</v>
      </c>
      <c r="AB48" s="32">
        <f t="shared" si="0"/>
        <v>316284</v>
      </c>
      <c r="AC48" s="32">
        <f t="shared" si="0"/>
        <v>295399</v>
      </c>
      <c r="AD48" s="32">
        <f t="shared" si="0"/>
        <v>0</v>
      </c>
      <c r="AE48" s="32">
        <f t="shared" si="0"/>
        <v>692890</v>
      </c>
      <c r="AF48" s="32">
        <f t="shared" si="0"/>
        <v>0</v>
      </c>
      <c r="AG48" s="32">
        <f t="shared" si="0"/>
        <v>1155098</v>
      </c>
      <c r="AH48" s="32">
        <f t="shared" si="0"/>
        <v>0</v>
      </c>
      <c r="AI48" s="32">
        <f t="shared" si="0"/>
        <v>0</v>
      </c>
      <c r="AJ48" s="32">
        <f t="shared" si="0"/>
        <v>5663241</v>
      </c>
      <c r="AK48" s="32">
        <f t="shared" si="0"/>
        <v>0</v>
      </c>
      <c r="AL48" s="32">
        <f t="shared" si="0"/>
        <v>0</v>
      </c>
      <c r="AM48" s="32">
        <f t="shared" si="0"/>
        <v>0</v>
      </c>
      <c r="AN48" s="32">
        <f t="shared" si="0"/>
        <v>0</v>
      </c>
      <c r="AO48" s="32">
        <f t="shared" si="0"/>
        <v>123974</v>
      </c>
      <c r="AP48" s="32">
        <f t="shared" si="0"/>
        <v>64521</v>
      </c>
      <c r="AQ48" s="32">
        <f t="shared" si="0"/>
        <v>0</v>
      </c>
      <c r="AR48" s="32">
        <f t="shared" si="0"/>
        <v>551136</v>
      </c>
      <c r="AS48" s="32">
        <f t="shared" si="0"/>
        <v>0</v>
      </c>
      <c r="AT48" s="32">
        <f t="shared" si="0"/>
        <v>0</v>
      </c>
      <c r="AU48" s="32">
        <f t="shared" si="0"/>
        <v>0</v>
      </c>
      <c r="AV48" s="32">
        <f t="shared" si="0"/>
        <v>505742</v>
      </c>
      <c r="AW48" s="32">
        <f t="shared" si="0"/>
        <v>0</v>
      </c>
      <c r="AX48" s="32">
        <f t="shared" si="0"/>
        <v>0</v>
      </c>
      <c r="AY48" s="32">
        <f t="shared" si="0"/>
        <v>203969</v>
      </c>
      <c r="AZ48" s="32">
        <f t="shared" si="0"/>
        <v>0</v>
      </c>
      <c r="BA48" s="32">
        <f t="shared" si="0"/>
        <v>0</v>
      </c>
      <c r="BB48" s="32">
        <f t="shared" si="0"/>
        <v>0</v>
      </c>
      <c r="BC48" s="32">
        <f t="shared" si="0"/>
        <v>0</v>
      </c>
      <c r="BD48" s="32">
        <f t="shared" si="0"/>
        <v>87349</v>
      </c>
      <c r="BE48" s="32">
        <f t="shared" si="0"/>
        <v>193701</v>
      </c>
      <c r="BF48" s="32">
        <f t="shared" si="0"/>
        <v>245900</v>
      </c>
      <c r="BG48" s="32">
        <f t="shared" si="0"/>
        <v>0</v>
      </c>
      <c r="BH48" s="32">
        <f t="shared" si="0"/>
        <v>375053</v>
      </c>
      <c r="BI48" s="32">
        <f t="shared" si="0"/>
        <v>0</v>
      </c>
      <c r="BJ48" s="32">
        <f t="shared" si="0"/>
        <v>0</v>
      </c>
      <c r="BK48" s="32">
        <f t="shared" si="0"/>
        <v>272123</v>
      </c>
      <c r="BL48" s="32">
        <f t="shared" si="0"/>
        <v>184559</v>
      </c>
      <c r="BM48" s="32">
        <f t="shared" si="0"/>
        <v>0</v>
      </c>
      <c r="BN48" s="32">
        <f t="shared" si="0"/>
        <v>0</v>
      </c>
      <c r="BO48" s="32">
        <f t="shared" si="0"/>
        <v>40550</v>
      </c>
      <c r="BP48" s="32">
        <f t="shared" ref="BP48:CD48" si="1">IF($B$48,(ROUND((($B$48/$CE$61)*BP61),0)))</f>
        <v>0</v>
      </c>
      <c r="BQ48" s="32">
        <f t="shared" si="1"/>
        <v>0</v>
      </c>
      <c r="BR48" s="32">
        <f t="shared" si="1"/>
        <v>186232</v>
      </c>
      <c r="BS48" s="32">
        <f t="shared" si="1"/>
        <v>0</v>
      </c>
      <c r="BT48" s="32">
        <f t="shared" si="1"/>
        <v>0</v>
      </c>
      <c r="BU48" s="32">
        <f t="shared" si="1"/>
        <v>0</v>
      </c>
      <c r="BV48" s="32">
        <f t="shared" si="1"/>
        <v>131769</v>
      </c>
      <c r="BW48" s="32">
        <f t="shared" si="1"/>
        <v>0</v>
      </c>
      <c r="BX48" s="32">
        <f t="shared" si="1"/>
        <v>0</v>
      </c>
      <c r="BY48" s="32">
        <f t="shared" si="1"/>
        <v>494035</v>
      </c>
      <c r="BZ48" s="32">
        <f t="shared" si="1"/>
        <v>0</v>
      </c>
      <c r="CA48" s="32">
        <f t="shared" si="1"/>
        <v>0</v>
      </c>
      <c r="CB48" s="32">
        <f t="shared" si="1"/>
        <v>0</v>
      </c>
      <c r="CC48" s="32">
        <f t="shared" si="1"/>
        <v>999742</v>
      </c>
      <c r="CD48" s="32">
        <f t="shared" si="1"/>
        <v>0</v>
      </c>
      <c r="CE48" s="32">
        <f>SUM(C48:CD48)</f>
        <v>16248272</v>
      </c>
    </row>
    <row r="49" spans="1:83" x14ac:dyDescent="0.25">
      <c r="A49" s="20" t="s">
        <v>218</v>
      </c>
      <c r="B49" s="32">
        <f>B47+B48</f>
        <v>16248274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row>
    <row r="50" spans="1:83" x14ac:dyDescent="0.25">
      <c r="A50" s="20" t="s">
        <v>11</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row>
    <row r="51" spans="1:83" x14ac:dyDescent="0.25">
      <c r="A51" s="26" t="s">
        <v>219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0"/>
      <c r="CE51" s="32">
        <f>SUM(C51:CD51)</f>
        <v>0</v>
      </c>
    </row>
    <row r="52" spans="1:83" x14ac:dyDescent="0.25">
      <c r="A52" s="39" t="s">
        <v>220</v>
      </c>
      <c r="B52" s="306">
        <v>5005267</v>
      </c>
      <c r="C52" s="32">
        <f>IF($B$52,ROUND(($B$52/($CE$90+$CF$90)*C90),0))</f>
        <v>87363</v>
      </c>
      <c r="D52" s="32">
        <f t="shared" ref="D52:BO52" si="2">IF($B$52,ROUND(($B$52/($CE$90+$CF$90)*D90),0))</f>
        <v>0</v>
      </c>
      <c r="E52" s="32">
        <f t="shared" si="2"/>
        <v>327049</v>
      </c>
      <c r="F52" s="32">
        <f t="shared" si="2"/>
        <v>0</v>
      </c>
      <c r="G52" s="32">
        <f t="shared" si="2"/>
        <v>0</v>
      </c>
      <c r="H52" s="32">
        <f t="shared" si="2"/>
        <v>0</v>
      </c>
      <c r="I52" s="32">
        <f t="shared" si="2"/>
        <v>0</v>
      </c>
      <c r="J52" s="32">
        <f t="shared" si="2"/>
        <v>13012</v>
      </c>
      <c r="K52" s="32">
        <f t="shared" si="2"/>
        <v>0</v>
      </c>
      <c r="L52" s="32">
        <f t="shared" si="2"/>
        <v>7613</v>
      </c>
      <c r="M52" s="32">
        <f t="shared" si="2"/>
        <v>0</v>
      </c>
      <c r="N52" s="32">
        <f t="shared" si="2"/>
        <v>0</v>
      </c>
      <c r="O52" s="32">
        <f t="shared" si="2"/>
        <v>5030</v>
      </c>
      <c r="P52" s="32">
        <f t="shared" si="2"/>
        <v>400829</v>
      </c>
      <c r="Q52" s="32">
        <f t="shared" si="2"/>
        <v>19753</v>
      </c>
      <c r="R52" s="32">
        <f t="shared" si="2"/>
        <v>4561</v>
      </c>
      <c r="S52" s="32">
        <f t="shared" si="2"/>
        <v>107585</v>
      </c>
      <c r="T52" s="32">
        <f t="shared" si="2"/>
        <v>0</v>
      </c>
      <c r="U52" s="32">
        <f t="shared" si="2"/>
        <v>132034</v>
      </c>
      <c r="V52" s="32">
        <f t="shared" si="2"/>
        <v>0</v>
      </c>
      <c r="W52" s="32">
        <f t="shared" si="2"/>
        <v>14723</v>
      </c>
      <c r="X52" s="32">
        <f t="shared" si="2"/>
        <v>42189</v>
      </c>
      <c r="Y52" s="32">
        <f t="shared" si="2"/>
        <v>161680</v>
      </c>
      <c r="Z52" s="32">
        <f t="shared" si="2"/>
        <v>0</v>
      </c>
      <c r="AA52" s="32">
        <f t="shared" si="2"/>
        <v>2918</v>
      </c>
      <c r="AB52" s="32">
        <f t="shared" si="2"/>
        <v>50540</v>
      </c>
      <c r="AC52" s="32">
        <f t="shared" si="2"/>
        <v>128110</v>
      </c>
      <c r="AD52" s="32">
        <f t="shared" si="2"/>
        <v>0</v>
      </c>
      <c r="AE52" s="32">
        <f t="shared" si="2"/>
        <v>217585</v>
      </c>
      <c r="AF52" s="32">
        <f t="shared" si="2"/>
        <v>0</v>
      </c>
      <c r="AG52" s="32">
        <f t="shared" si="2"/>
        <v>212957</v>
      </c>
      <c r="AH52" s="32">
        <f t="shared" si="2"/>
        <v>0</v>
      </c>
      <c r="AI52" s="32">
        <f t="shared" si="2"/>
        <v>0</v>
      </c>
      <c r="AJ52" s="32">
        <f t="shared" si="2"/>
        <v>1287905</v>
      </c>
      <c r="AK52" s="32">
        <f t="shared" si="2"/>
        <v>0</v>
      </c>
      <c r="AL52" s="32">
        <f t="shared" si="2"/>
        <v>0</v>
      </c>
      <c r="AM52" s="32">
        <f t="shared" si="2"/>
        <v>0</v>
      </c>
      <c r="AN52" s="32">
        <f t="shared" si="2"/>
        <v>0</v>
      </c>
      <c r="AO52" s="32">
        <f t="shared" si="2"/>
        <v>33335</v>
      </c>
      <c r="AP52" s="32">
        <f t="shared" si="2"/>
        <v>0</v>
      </c>
      <c r="AQ52" s="32">
        <f t="shared" si="2"/>
        <v>0</v>
      </c>
      <c r="AR52" s="32">
        <f t="shared" si="2"/>
        <v>0</v>
      </c>
      <c r="AS52" s="32">
        <f t="shared" si="2"/>
        <v>0</v>
      </c>
      <c r="AT52" s="32">
        <f t="shared" si="2"/>
        <v>0</v>
      </c>
      <c r="AU52" s="32">
        <f t="shared" si="2"/>
        <v>0</v>
      </c>
      <c r="AV52" s="32">
        <f t="shared" si="2"/>
        <v>130323</v>
      </c>
      <c r="AW52" s="32">
        <f t="shared" si="2"/>
        <v>0</v>
      </c>
      <c r="AX52" s="32">
        <f t="shared" si="2"/>
        <v>0</v>
      </c>
      <c r="AY52" s="32">
        <f t="shared" si="2"/>
        <v>0</v>
      </c>
      <c r="AZ52" s="32">
        <f t="shared" si="2"/>
        <v>143973</v>
      </c>
      <c r="BA52" s="32">
        <f t="shared" si="2"/>
        <v>0</v>
      </c>
      <c r="BB52" s="32">
        <f t="shared" si="2"/>
        <v>0</v>
      </c>
      <c r="BC52" s="32">
        <f t="shared" si="2"/>
        <v>0</v>
      </c>
      <c r="BD52" s="32">
        <f t="shared" si="2"/>
        <v>0</v>
      </c>
      <c r="BE52" s="32">
        <f t="shared" si="2"/>
        <v>428899</v>
      </c>
      <c r="BF52" s="32">
        <f t="shared" si="2"/>
        <v>108692</v>
      </c>
      <c r="BG52" s="32">
        <f t="shared" si="2"/>
        <v>0</v>
      </c>
      <c r="BH52" s="32">
        <f t="shared" si="2"/>
        <v>187905</v>
      </c>
      <c r="BI52" s="32">
        <f t="shared" si="2"/>
        <v>0</v>
      </c>
      <c r="BJ52" s="32">
        <f t="shared" si="2"/>
        <v>0</v>
      </c>
      <c r="BK52" s="32">
        <f t="shared" si="2"/>
        <v>55134</v>
      </c>
      <c r="BL52" s="32">
        <f t="shared" si="2"/>
        <v>66436</v>
      </c>
      <c r="BM52" s="32">
        <f t="shared" si="2"/>
        <v>0</v>
      </c>
      <c r="BN52" s="32">
        <f t="shared" si="2"/>
        <v>0</v>
      </c>
      <c r="BO52" s="32">
        <f t="shared" si="2"/>
        <v>8149</v>
      </c>
      <c r="BP52" s="32">
        <f t="shared" ref="BP52:CD52" si="3">IF($B$52,ROUND(($B$52/($CE$90+$CF$90)*BP90),0))</f>
        <v>0</v>
      </c>
      <c r="BQ52" s="32">
        <f t="shared" si="3"/>
        <v>0</v>
      </c>
      <c r="BR52" s="32">
        <f t="shared" si="3"/>
        <v>45442</v>
      </c>
      <c r="BS52" s="32">
        <f t="shared" si="3"/>
        <v>0</v>
      </c>
      <c r="BT52" s="32">
        <f t="shared" si="3"/>
        <v>0</v>
      </c>
      <c r="BU52" s="32">
        <f t="shared" si="3"/>
        <v>0</v>
      </c>
      <c r="BV52" s="32">
        <f t="shared" si="3"/>
        <v>0</v>
      </c>
      <c r="BW52" s="32">
        <f t="shared" si="3"/>
        <v>0</v>
      </c>
      <c r="BX52" s="32">
        <f t="shared" si="3"/>
        <v>0</v>
      </c>
      <c r="BY52" s="32">
        <f t="shared" si="3"/>
        <v>59896</v>
      </c>
      <c r="BZ52" s="32">
        <f t="shared" si="3"/>
        <v>0</v>
      </c>
      <c r="CA52" s="32">
        <f t="shared" si="3"/>
        <v>0</v>
      </c>
      <c r="CB52" s="32">
        <f t="shared" si="3"/>
        <v>0</v>
      </c>
      <c r="CC52" s="32">
        <f t="shared" si="3"/>
        <v>513713</v>
      </c>
      <c r="CD52" s="32">
        <f t="shared" si="3"/>
        <v>0</v>
      </c>
      <c r="CE52" s="32">
        <f>SUM(C52:CD52)</f>
        <v>5005333</v>
      </c>
    </row>
    <row r="53" spans="1:83" x14ac:dyDescent="0.25">
      <c r="A53" s="20" t="s">
        <v>218</v>
      </c>
      <c r="B53" s="32">
        <f>B51+B52</f>
        <v>5005267</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row>
    <row r="54" spans="1:83" x14ac:dyDescent="0.25">
      <c r="A54" s="20"/>
      <c r="B54" s="20"/>
      <c r="C54" s="27"/>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row>
    <row r="55" spans="1:83" x14ac:dyDescent="0.25">
      <c r="A55" s="26" t="s">
        <v>221</v>
      </c>
      <c r="B55" s="20"/>
      <c r="C55" s="21" t="s">
        <v>21</v>
      </c>
      <c r="D55" s="22" t="s">
        <v>22</v>
      </c>
      <c r="E55" s="22" t="s">
        <v>23</v>
      </c>
      <c r="F55" s="22" t="s">
        <v>24</v>
      </c>
      <c r="G55" s="22" t="s">
        <v>25</v>
      </c>
      <c r="H55" s="22" t="s">
        <v>26</v>
      </c>
      <c r="I55" s="22" t="s">
        <v>27</v>
      </c>
      <c r="J55" s="22" t="s">
        <v>28</v>
      </c>
      <c r="K55" s="22" t="s">
        <v>29</v>
      </c>
      <c r="L55" s="22" t="s">
        <v>30</v>
      </c>
      <c r="M55" s="22" t="s">
        <v>31</v>
      </c>
      <c r="N55" s="22" t="s">
        <v>32</v>
      </c>
      <c r="O55" s="22" t="s">
        <v>33</v>
      </c>
      <c r="P55" s="22" t="s">
        <v>34</v>
      </c>
      <c r="Q55" s="22" t="s">
        <v>35</v>
      </c>
      <c r="R55" s="22" t="s">
        <v>36</v>
      </c>
      <c r="S55" s="22" t="s">
        <v>37</v>
      </c>
      <c r="T55" s="28" t="s">
        <v>38</v>
      </c>
      <c r="U55" s="22" t="s">
        <v>39</v>
      </c>
      <c r="V55" s="22" t="s">
        <v>40</v>
      </c>
      <c r="W55" s="22" t="s">
        <v>41</v>
      </c>
      <c r="X55" s="22" t="s">
        <v>42</v>
      </c>
      <c r="Y55" s="22" t="s">
        <v>43</v>
      </c>
      <c r="Z55" s="22" t="s">
        <v>44</v>
      </c>
      <c r="AA55" s="22" t="s">
        <v>45</v>
      </c>
      <c r="AB55" s="22" t="s">
        <v>46</v>
      </c>
      <c r="AC55" s="22" t="s">
        <v>47</v>
      </c>
      <c r="AD55" s="22" t="s">
        <v>48</v>
      </c>
      <c r="AE55" s="22" t="s">
        <v>49</v>
      </c>
      <c r="AF55" s="22" t="s">
        <v>50</v>
      </c>
      <c r="AG55" s="22" t="s">
        <v>51</v>
      </c>
      <c r="AH55" s="22" t="s">
        <v>52</v>
      </c>
      <c r="AI55" s="22" t="s">
        <v>53</v>
      </c>
      <c r="AJ55" s="22" t="s">
        <v>54</v>
      </c>
      <c r="AK55" s="22" t="s">
        <v>55</v>
      </c>
      <c r="AL55" s="22" t="s">
        <v>56</v>
      </c>
      <c r="AM55" s="22" t="s">
        <v>57</v>
      </c>
      <c r="AN55" s="22" t="s">
        <v>58</v>
      </c>
      <c r="AO55" s="22" t="s">
        <v>59</v>
      </c>
      <c r="AP55" s="22" t="s">
        <v>60</v>
      </c>
      <c r="AQ55" s="22" t="s">
        <v>61</v>
      </c>
      <c r="AR55" s="22" t="s">
        <v>62</v>
      </c>
      <c r="AS55" s="22" t="s">
        <v>63</v>
      </c>
      <c r="AT55" s="22" t="s">
        <v>64</v>
      </c>
      <c r="AU55" s="22" t="s">
        <v>65</v>
      </c>
      <c r="AV55" s="22" t="s">
        <v>66</v>
      </c>
      <c r="AW55" s="22" t="s">
        <v>67</v>
      </c>
      <c r="AX55" s="22" t="s">
        <v>68</v>
      </c>
      <c r="AY55" s="22" t="s">
        <v>69</v>
      </c>
      <c r="AZ55" s="22" t="s">
        <v>70</v>
      </c>
      <c r="BA55" s="22" t="s">
        <v>71</v>
      </c>
      <c r="BB55" s="22" t="s">
        <v>72</v>
      </c>
      <c r="BC55" s="22" t="s">
        <v>73</v>
      </c>
      <c r="BD55" s="22" t="s">
        <v>74</v>
      </c>
      <c r="BE55" s="22" t="s">
        <v>75</v>
      </c>
      <c r="BF55" s="22" t="s">
        <v>76</v>
      </c>
      <c r="BG55" s="22" t="s">
        <v>77</v>
      </c>
      <c r="BH55" s="22" t="s">
        <v>78</v>
      </c>
      <c r="BI55" s="22" t="s">
        <v>79</v>
      </c>
      <c r="BJ55" s="22" t="s">
        <v>80</v>
      </c>
      <c r="BK55" s="22" t="s">
        <v>81</v>
      </c>
      <c r="BL55" s="22" t="s">
        <v>82</v>
      </c>
      <c r="BM55" s="22" t="s">
        <v>83</v>
      </c>
      <c r="BN55" s="22" t="s">
        <v>84</v>
      </c>
      <c r="BO55" s="22" t="s">
        <v>85</v>
      </c>
      <c r="BP55" s="22" t="s">
        <v>86</v>
      </c>
      <c r="BQ55" s="22" t="s">
        <v>87</v>
      </c>
      <c r="BR55" s="22" t="s">
        <v>88</v>
      </c>
      <c r="BS55" s="22" t="s">
        <v>89</v>
      </c>
      <c r="BT55" s="22" t="s">
        <v>90</v>
      </c>
      <c r="BU55" s="22" t="s">
        <v>91</v>
      </c>
      <c r="BV55" s="22" t="s">
        <v>92</v>
      </c>
      <c r="BW55" s="22" t="s">
        <v>93</v>
      </c>
      <c r="BX55" s="22" t="s">
        <v>94</v>
      </c>
      <c r="BY55" s="22" t="s">
        <v>95</v>
      </c>
      <c r="BZ55" s="22" t="s">
        <v>96</v>
      </c>
      <c r="CA55" s="22" t="s">
        <v>97</v>
      </c>
      <c r="CB55" s="22" t="s">
        <v>98</v>
      </c>
      <c r="CC55" s="22" t="s">
        <v>99</v>
      </c>
      <c r="CD55" s="22" t="s">
        <v>100</v>
      </c>
      <c r="CE55" s="22" t="s">
        <v>101</v>
      </c>
    </row>
    <row r="56" spans="1:83" x14ac:dyDescent="0.25">
      <c r="A56" s="26" t="s">
        <v>222</v>
      </c>
      <c r="B56" s="20"/>
      <c r="C56" s="21" t="s">
        <v>103</v>
      </c>
      <c r="D56" s="22" t="s">
        <v>104</v>
      </c>
      <c r="E56" s="22" t="s">
        <v>105</v>
      </c>
      <c r="F56" s="22" t="s">
        <v>106</v>
      </c>
      <c r="G56" s="22" t="s">
        <v>107</v>
      </c>
      <c r="H56" s="22" t="s">
        <v>108</v>
      </c>
      <c r="I56" s="22" t="s">
        <v>109</v>
      </c>
      <c r="J56" s="22" t="s">
        <v>110</v>
      </c>
      <c r="K56" s="22" t="s">
        <v>111</v>
      </c>
      <c r="L56" s="22" t="s">
        <v>112</v>
      </c>
      <c r="M56" s="22" t="s">
        <v>113</v>
      </c>
      <c r="N56" s="22" t="s">
        <v>114</v>
      </c>
      <c r="O56" s="22" t="s">
        <v>115</v>
      </c>
      <c r="P56" s="22" t="s">
        <v>116</v>
      </c>
      <c r="Q56" s="22" t="s">
        <v>117</v>
      </c>
      <c r="R56" s="22" t="s">
        <v>118</v>
      </c>
      <c r="S56" s="22" t="s">
        <v>119</v>
      </c>
      <c r="T56" s="22" t="s">
        <v>120</v>
      </c>
      <c r="U56" s="22" t="s">
        <v>121</v>
      </c>
      <c r="V56" s="22" t="s">
        <v>122</v>
      </c>
      <c r="W56" s="22" t="s">
        <v>123</v>
      </c>
      <c r="X56" s="22" t="s">
        <v>124</v>
      </c>
      <c r="Y56" s="22" t="s">
        <v>125</v>
      </c>
      <c r="Z56" s="22" t="s">
        <v>125</v>
      </c>
      <c r="AA56" s="22" t="s">
        <v>126</v>
      </c>
      <c r="AB56" s="22" t="s">
        <v>127</v>
      </c>
      <c r="AC56" s="22" t="s">
        <v>128</v>
      </c>
      <c r="AD56" s="22" t="s">
        <v>129</v>
      </c>
      <c r="AE56" s="22" t="s">
        <v>107</v>
      </c>
      <c r="AF56" s="22" t="s">
        <v>108</v>
      </c>
      <c r="AG56" s="22" t="s">
        <v>130</v>
      </c>
      <c r="AH56" s="22" t="s">
        <v>131</v>
      </c>
      <c r="AI56" s="22" t="s">
        <v>132</v>
      </c>
      <c r="AJ56" s="22" t="s">
        <v>133</v>
      </c>
      <c r="AK56" s="22" t="s">
        <v>134</v>
      </c>
      <c r="AL56" s="22" t="s">
        <v>135</v>
      </c>
      <c r="AM56" s="22" t="s">
        <v>136</v>
      </c>
      <c r="AN56" s="22" t="s">
        <v>122</v>
      </c>
      <c r="AO56" s="22" t="s">
        <v>137</v>
      </c>
      <c r="AP56" s="22" t="s">
        <v>138</v>
      </c>
      <c r="AQ56" s="22" t="s">
        <v>139</v>
      </c>
      <c r="AR56" s="22" t="s">
        <v>140</v>
      </c>
      <c r="AS56" s="22" t="s">
        <v>141</v>
      </c>
      <c r="AT56" s="22" t="s">
        <v>142</v>
      </c>
      <c r="AU56" s="22" t="s">
        <v>143</v>
      </c>
      <c r="AV56" s="22" t="s">
        <v>144</v>
      </c>
      <c r="AW56" s="22" t="s">
        <v>145</v>
      </c>
      <c r="AX56" s="22" t="s">
        <v>146</v>
      </c>
      <c r="AY56" s="22" t="s">
        <v>147</v>
      </c>
      <c r="AZ56" s="22" t="s">
        <v>148</v>
      </c>
      <c r="BA56" s="22" t="s">
        <v>149</v>
      </c>
      <c r="BB56" s="22" t="s">
        <v>150</v>
      </c>
      <c r="BC56" s="22" t="s">
        <v>119</v>
      </c>
      <c r="BD56" s="22" t="s">
        <v>151</v>
      </c>
      <c r="BE56" s="22" t="s">
        <v>152</v>
      </c>
      <c r="BF56" s="22" t="s">
        <v>153</v>
      </c>
      <c r="BG56" s="22" t="s">
        <v>154</v>
      </c>
      <c r="BH56" s="22" t="s">
        <v>155</v>
      </c>
      <c r="BI56" s="22" t="s">
        <v>156</v>
      </c>
      <c r="BJ56" s="22" t="s">
        <v>157</v>
      </c>
      <c r="BK56" s="22" t="s">
        <v>158</v>
      </c>
      <c r="BL56" s="22" t="s">
        <v>159</v>
      </c>
      <c r="BM56" s="22" t="s">
        <v>144</v>
      </c>
      <c r="BN56" s="22" t="s">
        <v>160</v>
      </c>
      <c r="BO56" s="22" t="s">
        <v>161</v>
      </c>
      <c r="BP56" s="22" t="s">
        <v>162</v>
      </c>
      <c r="BQ56" s="22" t="s">
        <v>163</v>
      </c>
      <c r="BR56" s="22" t="s">
        <v>164</v>
      </c>
      <c r="BS56" s="22" t="s">
        <v>165</v>
      </c>
      <c r="BT56" s="22" t="s">
        <v>166</v>
      </c>
      <c r="BU56" s="22" t="s">
        <v>167</v>
      </c>
      <c r="BV56" s="22" t="s">
        <v>167</v>
      </c>
      <c r="BW56" s="22" t="s">
        <v>167</v>
      </c>
      <c r="BX56" s="22" t="s">
        <v>168</v>
      </c>
      <c r="BY56" s="22" t="s">
        <v>169</v>
      </c>
      <c r="BZ56" s="22" t="s">
        <v>170</v>
      </c>
      <c r="CA56" s="22" t="s">
        <v>171</v>
      </c>
      <c r="CB56" s="22" t="s">
        <v>172</v>
      </c>
      <c r="CC56" s="22" t="s">
        <v>144</v>
      </c>
      <c r="CD56" s="22" t="s">
        <v>223</v>
      </c>
      <c r="CE56" s="22" t="s">
        <v>173</v>
      </c>
    </row>
    <row r="57" spans="1:83" x14ac:dyDescent="0.25">
      <c r="A57" s="26" t="s">
        <v>224</v>
      </c>
      <c r="B57" s="20"/>
      <c r="C57" s="21" t="s">
        <v>175</v>
      </c>
      <c r="D57" s="22" t="s">
        <v>175</v>
      </c>
      <c r="E57" s="22" t="s">
        <v>175</v>
      </c>
      <c r="F57" s="22" t="s">
        <v>176</v>
      </c>
      <c r="G57" s="22" t="s">
        <v>177</v>
      </c>
      <c r="H57" s="22" t="s">
        <v>175</v>
      </c>
      <c r="I57" s="22" t="s">
        <v>178</v>
      </c>
      <c r="J57" s="22"/>
      <c r="K57" s="22" t="s">
        <v>169</v>
      </c>
      <c r="L57" s="22" t="s">
        <v>179</v>
      </c>
      <c r="M57" s="22" t="s">
        <v>180</v>
      </c>
      <c r="N57" s="22" t="s">
        <v>181</v>
      </c>
      <c r="O57" s="22" t="s">
        <v>182</v>
      </c>
      <c r="P57" s="22" t="s">
        <v>181</v>
      </c>
      <c r="Q57" s="22" t="s">
        <v>183</v>
      </c>
      <c r="R57" s="22"/>
      <c r="S57" s="22" t="s">
        <v>181</v>
      </c>
      <c r="T57" s="22" t="s">
        <v>184</v>
      </c>
      <c r="U57" s="22"/>
      <c r="V57" s="22" t="s">
        <v>185</v>
      </c>
      <c r="W57" s="22" t="s">
        <v>186</v>
      </c>
      <c r="X57" s="22" t="s">
        <v>187</v>
      </c>
      <c r="Y57" s="22" t="s">
        <v>188</v>
      </c>
      <c r="Z57" s="22" t="s">
        <v>189</v>
      </c>
      <c r="AA57" s="22" t="s">
        <v>190</v>
      </c>
      <c r="AB57" s="22"/>
      <c r="AC57" s="22" t="s">
        <v>184</v>
      </c>
      <c r="AD57" s="22"/>
      <c r="AE57" s="22" t="s">
        <v>184</v>
      </c>
      <c r="AF57" s="22" t="s">
        <v>191</v>
      </c>
      <c r="AG57" s="22" t="s">
        <v>183</v>
      </c>
      <c r="AH57" s="22"/>
      <c r="AI57" s="22" t="s">
        <v>192</v>
      </c>
      <c r="AJ57" s="22"/>
      <c r="AK57" s="22" t="s">
        <v>184</v>
      </c>
      <c r="AL57" s="22" t="s">
        <v>184</v>
      </c>
      <c r="AM57" s="22" t="s">
        <v>184</v>
      </c>
      <c r="AN57" s="22" t="s">
        <v>193</v>
      </c>
      <c r="AO57" s="22" t="s">
        <v>194</v>
      </c>
      <c r="AP57" s="22" t="s">
        <v>133</v>
      </c>
      <c r="AQ57" s="22" t="s">
        <v>195</v>
      </c>
      <c r="AR57" s="22" t="s">
        <v>181</v>
      </c>
      <c r="AS57" s="22"/>
      <c r="AT57" s="22" t="s">
        <v>196</v>
      </c>
      <c r="AU57" s="22" t="s">
        <v>197</v>
      </c>
      <c r="AV57" s="22" t="s">
        <v>198</v>
      </c>
      <c r="AW57" s="22" t="s">
        <v>199</v>
      </c>
      <c r="AX57" s="22" t="s">
        <v>200</v>
      </c>
      <c r="AY57" s="22"/>
      <c r="AZ57" s="22"/>
      <c r="BA57" s="22" t="s">
        <v>201</v>
      </c>
      <c r="BB57" s="22" t="s">
        <v>181</v>
      </c>
      <c r="BC57" s="22" t="s">
        <v>195</v>
      </c>
      <c r="BD57" s="22"/>
      <c r="BE57" s="22"/>
      <c r="BF57" s="22"/>
      <c r="BG57" s="22"/>
      <c r="BH57" s="22" t="s">
        <v>202</v>
      </c>
      <c r="BI57" s="22" t="s">
        <v>181</v>
      </c>
      <c r="BJ57" s="22"/>
      <c r="BK57" s="22" t="s">
        <v>203</v>
      </c>
      <c r="BL57" s="22"/>
      <c r="BM57" s="22" t="s">
        <v>204</v>
      </c>
      <c r="BN57" s="22" t="s">
        <v>205</v>
      </c>
      <c r="BO57" s="22" t="s">
        <v>206</v>
      </c>
      <c r="BP57" s="22" t="s">
        <v>207</v>
      </c>
      <c r="BQ57" s="22" t="s">
        <v>208</v>
      </c>
      <c r="BR57" s="22"/>
      <c r="BS57" s="22" t="s">
        <v>209</v>
      </c>
      <c r="BT57" s="22" t="s">
        <v>181</v>
      </c>
      <c r="BU57" s="22" t="s">
        <v>210</v>
      </c>
      <c r="BV57" s="22" t="s">
        <v>211</v>
      </c>
      <c r="BW57" s="22" t="s">
        <v>212</v>
      </c>
      <c r="BX57" s="22" t="s">
        <v>163</v>
      </c>
      <c r="BY57" s="22" t="s">
        <v>205</v>
      </c>
      <c r="BZ57" s="22" t="s">
        <v>164</v>
      </c>
      <c r="CA57" s="22" t="s">
        <v>213</v>
      </c>
      <c r="CB57" s="22" t="s">
        <v>213</v>
      </c>
      <c r="CC57" s="22" t="s">
        <v>214</v>
      </c>
      <c r="CD57" s="22" t="s">
        <v>225</v>
      </c>
      <c r="CE57" s="22" t="s">
        <v>215</v>
      </c>
    </row>
    <row r="58" spans="1:83" x14ac:dyDescent="0.25">
      <c r="A58" s="26" t="s">
        <v>226</v>
      </c>
      <c r="B58" s="20"/>
      <c r="C58" s="21" t="s">
        <v>227</v>
      </c>
      <c r="D58" s="22" t="s">
        <v>227</v>
      </c>
      <c r="E58" s="22" t="s">
        <v>227</v>
      </c>
      <c r="F58" s="22" t="s">
        <v>227</v>
      </c>
      <c r="G58" s="22" t="s">
        <v>227</v>
      </c>
      <c r="H58" s="22" t="s">
        <v>227</v>
      </c>
      <c r="I58" s="22" t="s">
        <v>227</v>
      </c>
      <c r="J58" s="22" t="s">
        <v>228</v>
      </c>
      <c r="K58" s="22" t="s">
        <v>227</v>
      </c>
      <c r="L58" s="22" t="s">
        <v>227</v>
      </c>
      <c r="M58" s="22" t="s">
        <v>227</v>
      </c>
      <c r="N58" s="22" t="s">
        <v>227</v>
      </c>
      <c r="O58" s="22" t="s">
        <v>229</v>
      </c>
      <c r="P58" s="22" t="s">
        <v>230</v>
      </c>
      <c r="Q58" s="22" t="s">
        <v>231</v>
      </c>
      <c r="R58" s="23" t="s">
        <v>232</v>
      </c>
      <c r="S58" s="29" t="s">
        <v>233</v>
      </c>
      <c r="T58" s="29" t="s">
        <v>233</v>
      </c>
      <c r="U58" s="22" t="s">
        <v>234</v>
      </c>
      <c r="V58" s="22" t="s">
        <v>234</v>
      </c>
      <c r="W58" s="22" t="s">
        <v>235</v>
      </c>
      <c r="X58" s="22" t="s">
        <v>236</v>
      </c>
      <c r="Y58" s="22" t="s">
        <v>237</v>
      </c>
      <c r="Z58" s="22" t="s">
        <v>237</v>
      </c>
      <c r="AA58" s="22" t="s">
        <v>237</v>
      </c>
      <c r="AB58" s="29" t="s">
        <v>233</v>
      </c>
      <c r="AC58" s="22" t="s">
        <v>238</v>
      </c>
      <c r="AD58" s="22" t="s">
        <v>239</v>
      </c>
      <c r="AE58" s="22" t="s">
        <v>238</v>
      </c>
      <c r="AF58" s="22" t="s">
        <v>240</v>
      </c>
      <c r="AG58" s="22" t="s">
        <v>240</v>
      </c>
      <c r="AH58" s="22" t="s">
        <v>241</v>
      </c>
      <c r="AI58" s="22" t="s">
        <v>242</v>
      </c>
      <c r="AJ58" s="22" t="s">
        <v>240</v>
      </c>
      <c r="AK58" s="22" t="s">
        <v>238</v>
      </c>
      <c r="AL58" s="22" t="s">
        <v>238</v>
      </c>
      <c r="AM58" s="22" t="s">
        <v>238</v>
      </c>
      <c r="AN58" s="22" t="s">
        <v>229</v>
      </c>
      <c r="AO58" s="22" t="s">
        <v>239</v>
      </c>
      <c r="AP58" s="22" t="s">
        <v>240</v>
      </c>
      <c r="AQ58" s="22" t="s">
        <v>241</v>
      </c>
      <c r="AR58" s="22" t="s">
        <v>240</v>
      </c>
      <c r="AS58" s="22" t="s">
        <v>238</v>
      </c>
      <c r="AT58" s="22" t="s">
        <v>243</v>
      </c>
      <c r="AU58" s="22" t="s">
        <v>240</v>
      </c>
      <c r="AV58" s="29" t="s">
        <v>233</v>
      </c>
      <c r="AW58" s="29" t="s">
        <v>233</v>
      </c>
      <c r="AX58" s="29" t="s">
        <v>233</v>
      </c>
      <c r="AY58" s="22" t="s">
        <v>244</v>
      </c>
      <c r="AZ58" s="22" t="s">
        <v>244</v>
      </c>
      <c r="BA58" s="29" t="s">
        <v>233</v>
      </c>
      <c r="BB58" s="29" t="s">
        <v>233</v>
      </c>
      <c r="BC58" s="29" t="s">
        <v>233</v>
      </c>
      <c r="BD58" s="29" t="s">
        <v>233</v>
      </c>
      <c r="BE58" s="22" t="s">
        <v>245</v>
      </c>
      <c r="BF58" s="29" t="s">
        <v>233</v>
      </c>
      <c r="BG58" s="29" t="s">
        <v>233</v>
      </c>
      <c r="BH58" s="29" t="s">
        <v>233</v>
      </c>
      <c r="BI58" s="29" t="s">
        <v>233</v>
      </c>
      <c r="BJ58" s="29" t="s">
        <v>233</v>
      </c>
      <c r="BK58" s="29" t="s">
        <v>233</v>
      </c>
      <c r="BL58" s="29" t="s">
        <v>233</v>
      </c>
      <c r="BM58" s="29" t="s">
        <v>233</v>
      </c>
      <c r="BN58" s="29" t="s">
        <v>233</v>
      </c>
      <c r="BO58" s="29" t="s">
        <v>233</v>
      </c>
      <c r="BP58" s="29" t="s">
        <v>233</v>
      </c>
      <c r="BQ58" s="29" t="s">
        <v>233</v>
      </c>
      <c r="BR58" s="29" t="s">
        <v>233</v>
      </c>
      <c r="BS58" s="29" t="s">
        <v>233</v>
      </c>
      <c r="BT58" s="29" t="s">
        <v>233</v>
      </c>
      <c r="BU58" s="29" t="s">
        <v>233</v>
      </c>
      <c r="BV58" s="29" t="s">
        <v>233</v>
      </c>
      <c r="BW58" s="29" t="s">
        <v>233</v>
      </c>
      <c r="BX58" s="29" t="s">
        <v>233</v>
      </c>
      <c r="BY58" s="29" t="s">
        <v>233</v>
      </c>
      <c r="BZ58" s="29" t="s">
        <v>233</v>
      </c>
      <c r="CA58" s="29" t="s">
        <v>233</v>
      </c>
      <c r="CB58" s="29" t="s">
        <v>233</v>
      </c>
      <c r="CC58" s="29" t="s">
        <v>233</v>
      </c>
      <c r="CD58" s="29" t="s">
        <v>233</v>
      </c>
      <c r="CE58" s="29" t="s">
        <v>233</v>
      </c>
    </row>
    <row r="59" spans="1:83" x14ac:dyDescent="0.25">
      <c r="A59" s="39" t="s">
        <v>246</v>
      </c>
      <c r="B59" s="32"/>
      <c r="C59" s="24">
        <v>327</v>
      </c>
      <c r="D59" s="24"/>
      <c r="E59" s="24">
        <v>4044</v>
      </c>
      <c r="F59" s="24"/>
      <c r="G59" s="24"/>
      <c r="H59" s="24"/>
      <c r="I59" s="24"/>
      <c r="J59" s="24">
        <v>161</v>
      </c>
      <c r="K59" s="24"/>
      <c r="L59" s="24">
        <f>31+63</f>
        <v>94</v>
      </c>
      <c r="M59" s="24">
        <v>16183</v>
      </c>
      <c r="N59" s="24"/>
      <c r="O59" s="24">
        <v>62</v>
      </c>
      <c r="P59" s="30">
        <v>187173</v>
      </c>
      <c r="Q59" s="30">
        <v>36897</v>
      </c>
      <c r="R59" s="30">
        <f>P59</f>
        <v>187173</v>
      </c>
      <c r="S59" s="307"/>
      <c r="T59" s="307"/>
      <c r="U59" s="31">
        <f>248974+486</f>
        <v>249460</v>
      </c>
      <c r="V59" s="30"/>
      <c r="W59" s="30">
        <v>2448</v>
      </c>
      <c r="X59" s="30">
        <v>7011</v>
      </c>
      <c r="Y59" s="30">
        <v>26867</v>
      </c>
      <c r="Z59" s="30"/>
      <c r="AA59" s="30">
        <v>483</v>
      </c>
      <c r="AB59" s="307"/>
      <c r="AC59" s="30">
        <f>36591+599</f>
        <v>37190</v>
      </c>
      <c r="AD59" s="30"/>
      <c r="AE59" s="30">
        <f>78650+13893+1812</f>
        <v>94355</v>
      </c>
      <c r="AF59" s="30"/>
      <c r="AG59" s="30">
        <v>12941</v>
      </c>
      <c r="AH59" s="30"/>
      <c r="AI59" s="30"/>
      <c r="AJ59" s="30">
        <f>12011+1028+7701+29270+4859+12595+6109+5942+7794+3172+6346+9089+3028+2308</f>
        <v>111252</v>
      </c>
      <c r="AK59" s="30"/>
      <c r="AL59" s="30"/>
      <c r="AM59" s="30"/>
      <c r="AN59" s="30"/>
      <c r="AO59" s="30">
        <f>412*24</f>
        <v>9888</v>
      </c>
      <c r="AP59" s="30">
        <v>1920</v>
      </c>
      <c r="AQ59" s="30"/>
      <c r="AR59" s="30">
        <v>6986</v>
      </c>
      <c r="AS59" s="30"/>
      <c r="AT59" s="30"/>
      <c r="AU59" s="30"/>
      <c r="AV59" s="307"/>
      <c r="AW59" s="307"/>
      <c r="AX59" s="307"/>
      <c r="AY59" s="30">
        <v>16852</v>
      </c>
      <c r="AZ59" s="30"/>
      <c r="BA59" s="307">
        <v>279208</v>
      </c>
      <c r="BB59" s="307"/>
      <c r="BC59" s="307"/>
      <c r="BD59" s="307"/>
      <c r="BE59" s="30">
        <v>149248</v>
      </c>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257"/>
      <c r="CE59" s="32"/>
    </row>
    <row r="60" spans="1:83" s="219" customFormat="1" x14ac:dyDescent="0.25">
      <c r="A60" s="234" t="s">
        <v>247</v>
      </c>
      <c r="B60" s="235"/>
      <c r="C60" s="308">
        <v>6.93</v>
      </c>
      <c r="D60" s="308"/>
      <c r="E60" s="308">
        <v>42.69</v>
      </c>
      <c r="F60" s="308"/>
      <c r="G60" s="308"/>
      <c r="H60" s="308"/>
      <c r="I60" s="308"/>
      <c r="J60" s="308">
        <v>1.7</v>
      </c>
      <c r="K60" s="308"/>
      <c r="L60" s="308">
        <v>0.99</v>
      </c>
      <c r="M60" s="308">
        <v>10.63</v>
      </c>
      <c r="N60" s="308"/>
      <c r="O60" s="308">
        <v>0.65</v>
      </c>
      <c r="P60" s="309">
        <v>12.89</v>
      </c>
      <c r="Q60" s="309">
        <v>5.0999999999999996</v>
      </c>
      <c r="R60" s="309">
        <v>23.02</v>
      </c>
      <c r="S60" s="310">
        <v>10.47</v>
      </c>
      <c r="T60" s="310"/>
      <c r="U60" s="311">
        <v>24.9</v>
      </c>
      <c r="V60" s="309"/>
      <c r="W60" s="309">
        <v>1.5</v>
      </c>
      <c r="X60" s="309">
        <v>4.29</v>
      </c>
      <c r="Y60" s="309">
        <v>16.45</v>
      </c>
      <c r="Z60" s="309"/>
      <c r="AA60" s="309">
        <v>0.3</v>
      </c>
      <c r="AB60" s="310">
        <v>12.18</v>
      </c>
      <c r="AC60" s="309">
        <v>16.809999999999999</v>
      </c>
      <c r="AD60" s="309"/>
      <c r="AE60" s="309">
        <v>33.67</v>
      </c>
      <c r="AF60" s="309"/>
      <c r="AG60" s="309">
        <v>36.090000000000003</v>
      </c>
      <c r="AH60" s="309"/>
      <c r="AI60" s="309"/>
      <c r="AJ60" s="309">
        <v>223.98</v>
      </c>
      <c r="AK60" s="309"/>
      <c r="AL60" s="309"/>
      <c r="AM60" s="309"/>
      <c r="AN60" s="309"/>
      <c r="AO60" s="309">
        <v>4.3499999999999996</v>
      </c>
      <c r="AP60" s="309">
        <v>1.72</v>
      </c>
      <c r="AQ60" s="309"/>
      <c r="AR60" s="309">
        <v>23.34</v>
      </c>
      <c r="AS60" s="309"/>
      <c r="AT60" s="309"/>
      <c r="AU60" s="309"/>
      <c r="AV60" s="310">
        <v>4.2699999999999996</v>
      </c>
      <c r="AW60" s="310"/>
      <c r="AX60" s="310"/>
      <c r="AY60" s="309">
        <v>16.7</v>
      </c>
      <c r="AZ60" s="309"/>
      <c r="BA60" s="310"/>
      <c r="BB60" s="310"/>
      <c r="BC60" s="310"/>
      <c r="BD60" s="310"/>
      <c r="BE60" s="309">
        <v>9.85</v>
      </c>
      <c r="BF60" s="310">
        <v>22.93</v>
      </c>
      <c r="BG60" s="310"/>
      <c r="BH60" s="310">
        <v>17.809999999999999</v>
      </c>
      <c r="BI60" s="310"/>
      <c r="BJ60" s="310"/>
      <c r="BK60" s="310">
        <v>27</v>
      </c>
      <c r="BL60" s="310">
        <v>16.7</v>
      </c>
      <c r="BM60" s="310"/>
      <c r="BN60" s="310"/>
      <c r="BO60" s="310">
        <v>2.11</v>
      </c>
      <c r="BP60" s="310"/>
      <c r="BQ60" s="310"/>
      <c r="BR60" s="310">
        <v>8.2200000000000006</v>
      </c>
      <c r="BS60" s="310"/>
      <c r="BT60" s="310"/>
      <c r="BU60" s="310"/>
      <c r="BV60" s="310">
        <v>10.01</v>
      </c>
      <c r="BW60" s="310"/>
      <c r="BX60" s="310"/>
      <c r="BY60" s="310">
        <v>20.97</v>
      </c>
      <c r="BZ60" s="310"/>
      <c r="CA60" s="310"/>
      <c r="CB60" s="310"/>
      <c r="CC60" s="310">
        <v>33.58</v>
      </c>
      <c r="CD60" s="240" t="s">
        <v>233</v>
      </c>
      <c r="CE60" s="261">
        <f t="shared" ref="CE60:CE68" si="4">SUM(C60:CD60)</f>
        <v>704.80000000000018</v>
      </c>
    </row>
    <row r="61" spans="1:83" x14ac:dyDescent="0.25">
      <c r="A61" s="39" t="s">
        <v>248</v>
      </c>
      <c r="B61" s="20"/>
      <c r="C61" s="24">
        <v>929034</v>
      </c>
      <c r="D61" s="24"/>
      <c r="E61" s="24">
        <v>5529537</v>
      </c>
      <c r="F61" s="24"/>
      <c r="G61" s="24"/>
      <c r="H61" s="24"/>
      <c r="I61" s="24"/>
      <c r="J61" s="24">
        <v>220142</v>
      </c>
      <c r="K61" s="24"/>
      <c r="L61" s="24">
        <v>128530</v>
      </c>
      <c r="M61" s="24">
        <v>1100979</v>
      </c>
      <c r="N61" s="24"/>
      <c r="O61" s="24">
        <v>84775</v>
      </c>
      <c r="P61" s="30">
        <v>1400867</v>
      </c>
      <c r="Q61" s="30">
        <v>641193</v>
      </c>
      <c r="R61" s="30">
        <v>1261905</v>
      </c>
      <c r="S61" s="312">
        <v>175696</v>
      </c>
      <c r="T61" s="312"/>
      <c r="U61" s="31">
        <v>1865091</v>
      </c>
      <c r="V61" s="30"/>
      <c r="W61" s="30">
        <v>160110</v>
      </c>
      <c r="X61" s="30">
        <v>458550</v>
      </c>
      <c r="Y61" s="30">
        <v>1757218</v>
      </c>
      <c r="Z61" s="30"/>
      <c r="AA61" s="30">
        <v>31590</v>
      </c>
      <c r="AB61" s="313">
        <v>1437217</v>
      </c>
      <c r="AC61" s="30">
        <v>1342313</v>
      </c>
      <c r="AD61" s="30"/>
      <c r="AE61" s="30">
        <v>3148540</v>
      </c>
      <c r="AF61" s="30"/>
      <c r="AG61" s="30">
        <v>5248843</v>
      </c>
      <c r="AH61" s="30"/>
      <c r="AI61" s="30"/>
      <c r="AJ61" s="30">
        <v>25734150</v>
      </c>
      <c r="AK61" s="30"/>
      <c r="AL61" s="30"/>
      <c r="AM61" s="30"/>
      <c r="AN61" s="30"/>
      <c r="AO61" s="30">
        <v>563345</v>
      </c>
      <c r="AP61" s="30">
        <v>293189</v>
      </c>
      <c r="AQ61" s="30"/>
      <c r="AR61" s="30">
        <v>2504401</v>
      </c>
      <c r="AS61" s="30"/>
      <c r="AT61" s="30"/>
      <c r="AU61" s="30"/>
      <c r="AV61" s="312">
        <v>2298125</v>
      </c>
      <c r="AW61" s="312"/>
      <c r="AX61" s="312"/>
      <c r="AY61" s="30">
        <v>926851</v>
      </c>
      <c r="AZ61" s="30"/>
      <c r="BA61" s="312"/>
      <c r="BB61" s="312"/>
      <c r="BC61" s="312"/>
      <c r="BD61" s="312">
        <v>396919</v>
      </c>
      <c r="BE61" s="30">
        <v>880192</v>
      </c>
      <c r="BF61" s="312">
        <v>1117385</v>
      </c>
      <c r="BG61" s="312"/>
      <c r="BH61" s="312">
        <v>1704267</v>
      </c>
      <c r="BI61" s="312"/>
      <c r="BJ61" s="312"/>
      <c r="BK61" s="312">
        <v>1236543</v>
      </c>
      <c r="BL61" s="312">
        <v>838648</v>
      </c>
      <c r="BM61" s="312"/>
      <c r="BN61" s="312"/>
      <c r="BO61" s="312">
        <v>184260</v>
      </c>
      <c r="BP61" s="312"/>
      <c r="BQ61" s="312"/>
      <c r="BR61" s="312">
        <v>846252</v>
      </c>
      <c r="BS61" s="312"/>
      <c r="BT61" s="312"/>
      <c r="BU61" s="312"/>
      <c r="BV61" s="312">
        <v>598769</v>
      </c>
      <c r="BW61" s="312"/>
      <c r="BX61" s="312"/>
      <c r="BY61" s="312">
        <v>2244929</v>
      </c>
      <c r="BZ61" s="312"/>
      <c r="CA61" s="312"/>
      <c r="CB61" s="312"/>
      <c r="CC61" s="312">
        <v>4542897</v>
      </c>
      <c r="CD61" s="29" t="s">
        <v>233</v>
      </c>
      <c r="CE61" s="32">
        <f t="shared" si="4"/>
        <v>73833252</v>
      </c>
    </row>
    <row r="62" spans="1:83" x14ac:dyDescent="0.25">
      <c r="A62" s="39" t="s">
        <v>9</v>
      </c>
      <c r="B62" s="20"/>
      <c r="C62" s="32">
        <f>ROUND(C47+C48,0)</f>
        <v>204450</v>
      </c>
      <c r="D62" s="32">
        <f t="shared" ref="D62:BO62" si="5">ROUND(D47+D48,0)</f>
        <v>0</v>
      </c>
      <c r="E62" s="32">
        <f t="shared" si="5"/>
        <v>1216869</v>
      </c>
      <c r="F62" s="32">
        <f t="shared" si="5"/>
        <v>0</v>
      </c>
      <c r="G62" s="32">
        <f t="shared" si="5"/>
        <v>0</v>
      </c>
      <c r="H62" s="32">
        <f t="shared" si="5"/>
        <v>0</v>
      </c>
      <c r="I62" s="32">
        <f t="shared" si="5"/>
        <v>0</v>
      </c>
      <c r="J62" s="32">
        <f t="shared" si="5"/>
        <v>48446</v>
      </c>
      <c r="K62" s="32">
        <f t="shared" si="5"/>
        <v>0</v>
      </c>
      <c r="L62" s="32">
        <f t="shared" si="5"/>
        <v>28285</v>
      </c>
      <c r="M62" s="32">
        <f t="shared" si="5"/>
        <v>242289</v>
      </c>
      <c r="N62" s="32">
        <f t="shared" si="5"/>
        <v>0</v>
      </c>
      <c r="O62" s="32">
        <f t="shared" si="5"/>
        <v>18656</v>
      </c>
      <c r="P62" s="32">
        <f t="shared" si="5"/>
        <v>308285</v>
      </c>
      <c r="Q62" s="32">
        <f t="shared" si="5"/>
        <v>141106</v>
      </c>
      <c r="R62" s="32">
        <f t="shared" si="5"/>
        <v>277704</v>
      </c>
      <c r="S62" s="32">
        <f t="shared" si="5"/>
        <v>38665</v>
      </c>
      <c r="T62" s="32">
        <f t="shared" si="5"/>
        <v>0</v>
      </c>
      <c r="U62" s="32">
        <f t="shared" si="5"/>
        <v>410445</v>
      </c>
      <c r="V62" s="32">
        <f t="shared" si="5"/>
        <v>0</v>
      </c>
      <c r="W62" s="32">
        <f t="shared" si="5"/>
        <v>35235</v>
      </c>
      <c r="X62" s="32">
        <f t="shared" si="5"/>
        <v>100912</v>
      </c>
      <c r="Y62" s="32">
        <f t="shared" si="5"/>
        <v>386706</v>
      </c>
      <c r="Z62" s="32">
        <f t="shared" si="5"/>
        <v>0</v>
      </c>
      <c r="AA62" s="32">
        <f t="shared" si="5"/>
        <v>6952</v>
      </c>
      <c r="AB62" s="32">
        <f t="shared" si="5"/>
        <v>316284</v>
      </c>
      <c r="AC62" s="32">
        <f t="shared" si="5"/>
        <v>295399</v>
      </c>
      <c r="AD62" s="32">
        <f t="shared" si="5"/>
        <v>0</v>
      </c>
      <c r="AE62" s="32">
        <f t="shared" si="5"/>
        <v>692890</v>
      </c>
      <c r="AF62" s="32">
        <f t="shared" si="5"/>
        <v>0</v>
      </c>
      <c r="AG62" s="32">
        <f t="shared" si="5"/>
        <v>1155098</v>
      </c>
      <c r="AH62" s="32">
        <f t="shared" si="5"/>
        <v>0</v>
      </c>
      <c r="AI62" s="32">
        <f t="shared" si="5"/>
        <v>0</v>
      </c>
      <c r="AJ62" s="32">
        <f t="shared" si="5"/>
        <v>5663241</v>
      </c>
      <c r="AK62" s="32">
        <f t="shared" si="5"/>
        <v>0</v>
      </c>
      <c r="AL62" s="32">
        <f t="shared" si="5"/>
        <v>0</v>
      </c>
      <c r="AM62" s="32">
        <f t="shared" si="5"/>
        <v>0</v>
      </c>
      <c r="AN62" s="32">
        <f t="shared" si="5"/>
        <v>0</v>
      </c>
      <c r="AO62" s="32">
        <f t="shared" si="5"/>
        <v>123974</v>
      </c>
      <c r="AP62" s="32">
        <f t="shared" si="5"/>
        <v>64521</v>
      </c>
      <c r="AQ62" s="32">
        <f t="shared" si="5"/>
        <v>0</v>
      </c>
      <c r="AR62" s="32">
        <f t="shared" si="5"/>
        <v>551136</v>
      </c>
      <c r="AS62" s="32">
        <f t="shared" si="5"/>
        <v>0</v>
      </c>
      <c r="AT62" s="32">
        <f t="shared" si="5"/>
        <v>0</v>
      </c>
      <c r="AU62" s="32">
        <f t="shared" si="5"/>
        <v>0</v>
      </c>
      <c r="AV62" s="32">
        <f t="shared" si="5"/>
        <v>505742</v>
      </c>
      <c r="AW62" s="32">
        <f t="shared" si="5"/>
        <v>0</v>
      </c>
      <c r="AX62" s="32">
        <f t="shared" si="5"/>
        <v>0</v>
      </c>
      <c r="AY62" s="32">
        <f t="shared" si="5"/>
        <v>203969</v>
      </c>
      <c r="AZ62" s="32">
        <f t="shared" si="5"/>
        <v>0</v>
      </c>
      <c r="BA62" s="32">
        <f t="shared" si="5"/>
        <v>0</v>
      </c>
      <c r="BB62" s="32">
        <f t="shared" si="5"/>
        <v>0</v>
      </c>
      <c r="BC62" s="32">
        <f t="shared" si="5"/>
        <v>0</v>
      </c>
      <c r="BD62" s="32">
        <f t="shared" si="5"/>
        <v>87349</v>
      </c>
      <c r="BE62" s="32">
        <f t="shared" si="5"/>
        <v>193701</v>
      </c>
      <c r="BF62" s="32">
        <f t="shared" si="5"/>
        <v>245900</v>
      </c>
      <c r="BG62" s="32">
        <f t="shared" si="5"/>
        <v>0</v>
      </c>
      <c r="BH62" s="32">
        <f t="shared" si="5"/>
        <v>375053</v>
      </c>
      <c r="BI62" s="32">
        <f t="shared" si="5"/>
        <v>0</v>
      </c>
      <c r="BJ62" s="32">
        <f t="shared" si="5"/>
        <v>0</v>
      </c>
      <c r="BK62" s="32">
        <f t="shared" si="5"/>
        <v>272123</v>
      </c>
      <c r="BL62" s="32">
        <f t="shared" si="5"/>
        <v>184559</v>
      </c>
      <c r="BM62" s="32">
        <f t="shared" si="5"/>
        <v>0</v>
      </c>
      <c r="BN62" s="32">
        <f t="shared" si="5"/>
        <v>0</v>
      </c>
      <c r="BO62" s="32">
        <f t="shared" si="5"/>
        <v>40550</v>
      </c>
      <c r="BP62" s="32">
        <f t="shared" ref="BP62:CC62" si="6">ROUND(BP47+BP48,0)</f>
        <v>0</v>
      </c>
      <c r="BQ62" s="32">
        <f t="shared" si="6"/>
        <v>0</v>
      </c>
      <c r="BR62" s="32">
        <f t="shared" si="6"/>
        <v>186232</v>
      </c>
      <c r="BS62" s="32">
        <f t="shared" si="6"/>
        <v>0</v>
      </c>
      <c r="BT62" s="32">
        <f t="shared" si="6"/>
        <v>0</v>
      </c>
      <c r="BU62" s="32">
        <f t="shared" si="6"/>
        <v>0</v>
      </c>
      <c r="BV62" s="32">
        <f t="shared" si="6"/>
        <v>131769</v>
      </c>
      <c r="BW62" s="32">
        <f t="shared" si="6"/>
        <v>0</v>
      </c>
      <c r="BX62" s="32">
        <f t="shared" si="6"/>
        <v>0</v>
      </c>
      <c r="BY62" s="32">
        <f t="shared" si="6"/>
        <v>494035</v>
      </c>
      <c r="BZ62" s="32">
        <f t="shared" si="6"/>
        <v>0</v>
      </c>
      <c r="CA62" s="32">
        <f t="shared" si="6"/>
        <v>0</v>
      </c>
      <c r="CB62" s="32">
        <f t="shared" si="6"/>
        <v>0</v>
      </c>
      <c r="CC62" s="32">
        <f t="shared" si="6"/>
        <v>999742</v>
      </c>
      <c r="CD62" s="29" t="s">
        <v>233</v>
      </c>
      <c r="CE62" s="32">
        <f t="shared" si="4"/>
        <v>16248272</v>
      </c>
    </row>
    <row r="63" spans="1:83" x14ac:dyDescent="0.25">
      <c r="A63" s="39" t="s">
        <v>249</v>
      </c>
      <c r="B63" s="20"/>
      <c r="C63" s="24">
        <v>836044</v>
      </c>
      <c r="D63" s="24"/>
      <c r="E63" s="24">
        <v>498509</v>
      </c>
      <c r="F63" s="24"/>
      <c r="G63" s="24"/>
      <c r="H63" s="24"/>
      <c r="I63" s="24"/>
      <c r="J63" s="24">
        <v>19847</v>
      </c>
      <c r="K63" s="24"/>
      <c r="L63" s="24">
        <v>11588</v>
      </c>
      <c r="M63" s="24"/>
      <c r="N63" s="24"/>
      <c r="O63" s="24">
        <v>7643</v>
      </c>
      <c r="P63" s="30">
        <v>426648</v>
      </c>
      <c r="Q63" s="30">
        <v>0</v>
      </c>
      <c r="R63" s="30"/>
      <c r="S63" s="312">
        <v>16302</v>
      </c>
      <c r="T63" s="312"/>
      <c r="U63" s="31">
        <v>360400</v>
      </c>
      <c r="V63" s="30"/>
      <c r="W63" s="30">
        <v>50423</v>
      </c>
      <c r="X63" s="30">
        <v>144411</v>
      </c>
      <c r="Y63" s="30">
        <v>553402</v>
      </c>
      <c r="Z63" s="30"/>
      <c r="AA63" s="30">
        <v>9949</v>
      </c>
      <c r="AB63" s="313">
        <v>769834</v>
      </c>
      <c r="AC63" s="30">
        <v>419233</v>
      </c>
      <c r="AD63" s="30"/>
      <c r="AE63" s="30">
        <v>-5500</v>
      </c>
      <c r="AF63" s="30"/>
      <c r="AG63" s="30">
        <v>390106</v>
      </c>
      <c r="AH63" s="30"/>
      <c r="AI63" s="30"/>
      <c r="AJ63" s="30">
        <v>1071816</v>
      </c>
      <c r="AK63" s="30"/>
      <c r="AL63" s="30"/>
      <c r="AM63" s="30"/>
      <c r="AN63" s="30"/>
      <c r="AO63" s="30">
        <v>50788</v>
      </c>
      <c r="AP63" s="30">
        <v>447872</v>
      </c>
      <c r="AQ63" s="30"/>
      <c r="AR63" s="30">
        <v>38291</v>
      </c>
      <c r="AS63" s="30"/>
      <c r="AT63" s="30"/>
      <c r="AU63" s="30"/>
      <c r="AV63" s="312"/>
      <c r="AW63" s="312"/>
      <c r="AX63" s="312"/>
      <c r="AY63" s="30"/>
      <c r="AZ63" s="30"/>
      <c r="BA63" s="312"/>
      <c r="BB63" s="312"/>
      <c r="BC63" s="312"/>
      <c r="BD63" s="312"/>
      <c r="BE63" s="30"/>
      <c r="BF63" s="312"/>
      <c r="BG63" s="312"/>
      <c r="BH63" s="312"/>
      <c r="BI63" s="312"/>
      <c r="BJ63" s="312"/>
      <c r="BK63" s="312">
        <v>39185</v>
      </c>
      <c r="BL63" s="312"/>
      <c r="BM63" s="312"/>
      <c r="BN63" s="312"/>
      <c r="BO63" s="312"/>
      <c r="BP63" s="312"/>
      <c r="BQ63" s="312"/>
      <c r="BR63" s="312">
        <v>200191</v>
      </c>
      <c r="BS63" s="312"/>
      <c r="BT63" s="312"/>
      <c r="BU63" s="312"/>
      <c r="BV63" s="312">
        <v>37225</v>
      </c>
      <c r="BW63" s="312"/>
      <c r="BX63" s="312"/>
      <c r="BY63" s="312">
        <v>9802</v>
      </c>
      <c r="BZ63" s="312"/>
      <c r="CA63" s="312"/>
      <c r="CB63" s="312"/>
      <c r="CC63" s="312">
        <v>475962</v>
      </c>
      <c r="CD63" s="29" t="s">
        <v>233</v>
      </c>
      <c r="CE63" s="32">
        <f t="shared" si="4"/>
        <v>6879971</v>
      </c>
    </row>
    <row r="64" spans="1:83" x14ac:dyDescent="0.25">
      <c r="A64" s="39" t="s">
        <v>250</v>
      </c>
      <c r="B64" s="20"/>
      <c r="C64" s="24">
        <v>70792</v>
      </c>
      <c r="D64" s="24"/>
      <c r="E64" s="24">
        <v>270359</v>
      </c>
      <c r="F64" s="24"/>
      <c r="G64" s="24"/>
      <c r="H64" s="24"/>
      <c r="I64" s="24"/>
      <c r="J64" s="24">
        <v>10764</v>
      </c>
      <c r="K64" s="24"/>
      <c r="L64" s="24">
        <v>6284</v>
      </c>
      <c r="M64" s="24">
        <v>6376</v>
      </c>
      <c r="N64" s="24"/>
      <c r="O64" s="24">
        <v>4145</v>
      </c>
      <c r="P64" s="30">
        <v>650362</v>
      </c>
      <c r="Q64" s="30">
        <v>35861</v>
      </c>
      <c r="R64" s="30">
        <v>79722</v>
      </c>
      <c r="S64" s="312">
        <v>3522620</v>
      </c>
      <c r="T64" s="312"/>
      <c r="U64" s="31">
        <v>2349575</v>
      </c>
      <c r="V64" s="30"/>
      <c r="W64" s="30">
        <v>23468</v>
      </c>
      <c r="X64" s="30">
        <v>67211</v>
      </c>
      <c r="Y64" s="30">
        <v>257562</v>
      </c>
      <c r="Z64" s="30"/>
      <c r="AA64" s="30">
        <v>4630</v>
      </c>
      <c r="AB64" s="313">
        <v>19824455</v>
      </c>
      <c r="AC64" s="30">
        <v>112110</v>
      </c>
      <c r="AD64" s="30"/>
      <c r="AE64" s="30">
        <v>90697</v>
      </c>
      <c r="AF64" s="30"/>
      <c r="AG64" s="30">
        <v>318707</v>
      </c>
      <c r="AH64" s="30"/>
      <c r="AI64" s="30"/>
      <c r="AJ64" s="30">
        <v>1945692</v>
      </c>
      <c r="AK64" s="30"/>
      <c r="AL64" s="30"/>
      <c r="AM64" s="30"/>
      <c r="AN64" s="30"/>
      <c r="AO64" s="30">
        <v>27544</v>
      </c>
      <c r="AP64" s="30">
        <v>1187614</v>
      </c>
      <c r="AQ64" s="30"/>
      <c r="AR64" s="30">
        <v>70549</v>
      </c>
      <c r="AS64" s="30"/>
      <c r="AT64" s="30"/>
      <c r="AU64" s="30"/>
      <c r="AV64" s="312">
        <v>330528</v>
      </c>
      <c r="AW64" s="312"/>
      <c r="AX64" s="312"/>
      <c r="AY64" s="30">
        <v>507439</v>
      </c>
      <c r="AZ64" s="30"/>
      <c r="BA64" s="312">
        <v>44954</v>
      </c>
      <c r="BB64" s="312"/>
      <c r="BC64" s="312"/>
      <c r="BD64" s="312"/>
      <c r="BE64" s="30">
        <v>50457</v>
      </c>
      <c r="BF64" s="312">
        <v>195897</v>
      </c>
      <c r="BG64" s="312">
        <v>14608</v>
      </c>
      <c r="BH64" s="312">
        <v>327018</v>
      </c>
      <c r="BI64" s="312"/>
      <c r="BJ64" s="312"/>
      <c r="BK64" s="312">
        <v>48243</v>
      </c>
      <c r="BL64" s="312">
        <v>16168</v>
      </c>
      <c r="BM64" s="312"/>
      <c r="BN64" s="312"/>
      <c r="BO64" s="312">
        <v>36904</v>
      </c>
      <c r="BP64" s="312"/>
      <c r="BQ64" s="312"/>
      <c r="BR64" s="312">
        <v>16461</v>
      </c>
      <c r="BS64" s="312"/>
      <c r="BT64" s="312"/>
      <c r="BU64" s="312"/>
      <c r="BV64" s="312">
        <v>13082</v>
      </c>
      <c r="BW64" s="312"/>
      <c r="BX64" s="312"/>
      <c r="BY64" s="312">
        <v>146019</v>
      </c>
      <c r="BZ64" s="312"/>
      <c r="CA64" s="312"/>
      <c r="CB64" s="312"/>
      <c r="CC64" s="312">
        <v>103669</v>
      </c>
      <c r="CD64" s="29" t="s">
        <v>233</v>
      </c>
      <c r="CE64" s="32">
        <f t="shared" si="4"/>
        <v>32788546</v>
      </c>
    </row>
    <row r="65" spans="1:83" x14ac:dyDescent="0.25">
      <c r="A65" s="39" t="s">
        <v>251</v>
      </c>
      <c r="B65" s="20"/>
      <c r="C65" s="24">
        <v>1745</v>
      </c>
      <c r="D65" s="24"/>
      <c r="E65" s="24">
        <v>0</v>
      </c>
      <c r="F65" s="24"/>
      <c r="G65" s="24"/>
      <c r="H65" s="24"/>
      <c r="I65" s="24"/>
      <c r="J65" s="24">
        <v>0</v>
      </c>
      <c r="K65" s="24"/>
      <c r="L65" s="24">
        <v>0</v>
      </c>
      <c r="M65" s="24">
        <v>0</v>
      </c>
      <c r="N65" s="24"/>
      <c r="O65" s="24">
        <v>0</v>
      </c>
      <c r="P65" s="30">
        <v>6179</v>
      </c>
      <c r="Q65" s="30">
        <v>0</v>
      </c>
      <c r="R65" s="30">
        <v>0</v>
      </c>
      <c r="S65" s="312">
        <v>3456</v>
      </c>
      <c r="T65" s="312"/>
      <c r="U65" s="31">
        <v>2056</v>
      </c>
      <c r="V65" s="30"/>
      <c r="W65" s="30">
        <v>0</v>
      </c>
      <c r="X65" s="30">
        <v>0</v>
      </c>
      <c r="Y65" s="30">
        <v>0</v>
      </c>
      <c r="Z65" s="30"/>
      <c r="AA65" s="30">
        <v>0</v>
      </c>
      <c r="AB65" s="313">
        <v>10764</v>
      </c>
      <c r="AC65" s="30">
        <v>75</v>
      </c>
      <c r="AD65" s="30"/>
      <c r="AE65" s="30"/>
      <c r="AF65" s="30"/>
      <c r="AG65" s="30"/>
      <c r="AH65" s="30"/>
      <c r="AI65" s="30"/>
      <c r="AJ65" s="30">
        <v>127047</v>
      </c>
      <c r="AK65" s="30"/>
      <c r="AL65" s="30"/>
      <c r="AM65" s="30"/>
      <c r="AN65" s="30"/>
      <c r="AO65" s="30">
        <v>0</v>
      </c>
      <c r="AP65" s="30">
        <v>10786</v>
      </c>
      <c r="AQ65" s="30"/>
      <c r="AR65" s="30">
        <v>1745</v>
      </c>
      <c r="AS65" s="30"/>
      <c r="AT65" s="30"/>
      <c r="AU65" s="30"/>
      <c r="AV65" s="312"/>
      <c r="AW65" s="312"/>
      <c r="AX65" s="312"/>
      <c r="AY65" s="30">
        <v>471</v>
      </c>
      <c r="AZ65" s="30"/>
      <c r="BA65" s="312">
        <v>3338</v>
      </c>
      <c r="BB65" s="312"/>
      <c r="BC65" s="312"/>
      <c r="BD65" s="312"/>
      <c r="BE65" s="30">
        <v>1109123</v>
      </c>
      <c r="BF65" s="312">
        <v>358</v>
      </c>
      <c r="BG65" s="312">
        <v>96667</v>
      </c>
      <c r="BH65" s="312">
        <v>3715</v>
      </c>
      <c r="BI65" s="312"/>
      <c r="BJ65" s="312"/>
      <c r="BK65" s="312">
        <v>4747</v>
      </c>
      <c r="BL65" s="312"/>
      <c r="BM65" s="312"/>
      <c r="BN65" s="312"/>
      <c r="BO65" s="312"/>
      <c r="BP65" s="312"/>
      <c r="BQ65" s="312"/>
      <c r="BR65" s="312">
        <v>3377</v>
      </c>
      <c r="BS65" s="312"/>
      <c r="BT65" s="312"/>
      <c r="BU65" s="312"/>
      <c r="BV65" s="312">
        <v>8818</v>
      </c>
      <c r="BW65" s="312"/>
      <c r="BX65" s="312"/>
      <c r="BY65" s="312">
        <v>1279</v>
      </c>
      <c r="BZ65" s="312"/>
      <c r="CA65" s="312"/>
      <c r="CB65" s="312"/>
      <c r="CC65" s="312">
        <v>8962</v>
      </c>
      <c r="CD65" s="29" t="s">
        <v>233</v>
      </c>
      <c r="CE65" s="32">
        <f t="shared" si="4"/>
        <v>1404708</v>
      </c>
    </row>
    <row r="66" spans="1:83" x14ac:dyDescent="0.25">
      <c r="A66" s="39" t="s">
        <v>252</v>
      </c>
      <c r="B66" s="20"/>
      <c r="C66" s="24">
        <v>3686</v>
      </c>
      <c r="D66" s="24"/>
      <c r="E66" s="24">
        <v>49106</v>
      </c>
      <c r="F66" s="24"/>
      <c r="G66" s="24"/>
      <c r="H66" s="24"/>
      <c r="I66" s="24"/>
      <c r="J66" s="24">
        <v>1955</v>
      </c>
      <c r="K66" s="24"/>
      <c r="L66" s="24">
        <v>1141</v>
      </c>
      <c r="M66" s="24">
        <v>228123</v>
      </c>
      <c r="N66" s="24"/>
      <c r="O66" s="24">
        <v>753</v>
      </c>
      <c r="P66" s="30">
        <v>28877</v>
      </c>
      <c r="Q66" s="30"/>
      <c r="R66" s="30">
        <v>5478</v>
      </c>
      <c r="S66" s="312">
        <v>312</v>
      </c>
      <c r="T66" s="312"/>
      <c r="U66" s="31">
        <v>1702743</v>
      </c>
      <c r="V66" s="30"/>
      <c r="W66" s="30">
        <v>43805</v>
      </c>
      <c r="X66" s="30">
        <v>125458</v>
      </c>
      <c r="Y66" s="30">
        <v>480769</v>
      </c>
      <c r="Z66" s="30"/>
      <c r="AA66" s="30">
        <v>8643</v>
      </c>
      <c r="AB66" s="313">
        <v>175850</v>
      </c>
      <c r="AC66" s="30">
        <v>4419</v>
      </c>
      <c r="AD66" s="30"/>
      <c r="AE66" s="30">
        <v>6888</v>
      </c>
      <c r="AF66" s="30"/>
      <c r="AG66" s="30">
        <v>61809</v>
      </c>
      <c r="AH66" s="30"/>
      <c r="AI66" s="30"/>
      <c r="AJ66" s="30">
        <v>430702</v>
      </c>
      <c r="AK66" s="30"/>
      <c r="AL66" s="30"/>
      <c r="AM66" s="30"/>
      <c r="AN66" s="30"/>
      <c r="AO66" s="30">
        <v>5003</v>
      </c>
      <c r="AP66" s="30">
        <v>476962</v>
      </c>
      <c r="AQ66" s="30"/>
      <c r="AR66" s="30">
        <v>47676</v>
      </c>
      <c r="AS66" s="30"/>
      <c r="AT66" s="30"/>
      <c r="AU66" s="30"/>
      <c r="AV66" s="312">
        <v>98766</v>
      </c>
      <c r="AW66" s="312"/>
      <c r="AX66" s="312"/>
      <c r="AY66" s="30">
        <v>6772</v>
      </c>
      <c r="AZ66" s="30"/>
      <c r="BA66" s="312">
        <v>295297</v>
      </c>
      <c r="BB66" s="312"/>
      <c r="BC66" s="312"/>
      <c r="BD66" s="312"/>
      <c r="BE66" s="30">
        <v>218190</v>
      </c>
      <c r="BF66" s="312">
        <v>40269</v>
      </c>
      <c r="BG66" s="312">
        <v>269073</v>
      </c>
      <c r="BH66" s="312">
        <v>2093857</v>
      </c>
      <c r="BI66" s="312"/>
      <c r="BJ66" s="312"/>
      <c r="BK66" s="312">
        <v>854287</v>
      </c>
      <c r="BL66" s="312">
        <v>2571</v>
      </c>
      <c r="BM66" s="312"/>
      <c r="BN66" s="312"/>
      <c r="BO66" s="312">
        <v>8470</v>
      </c>
      <c r="BP66" s="312"/>
      <c r="BQ66" s="312"/>
      <c r="BR66" s="312">
        <v>166850</v>
      </c>
      <c r="BS66" s="312"/>
      <c r="BT66" s="312"/>
      <c r="BU66" s="312"/>
      <c r="BV66" s="312">
        <v>94770</v>
      </c>
      <c r="BW66" s="312"/>
      <c r="BX66" s="312"/>
      <c r="BY66" s="312">
        <v>56784</v>
      </c>
      <c r="BZ66" s="312"/>
      <c r="CA66" s="312"/>
      <c r="CB66" s="312"/>
      <c r="CC66" s="312">
        <v>579422</v>
      </c>
      <c r="CD66" s="29" t="s">
        <v>233</v>
      </c>
      <c r="CE66" s="32">
        <f t="shared" si="4"/>
        <v>8675536</v>
      </c>
    </row>
    <row r="67" spans="1:83" x14ac:dyDescent="0.25">
      <c r="A67" s="39" t="s">
        <v>11</v>
      </c>
      <c r="B67" s="20"/>
      <c r="C67" s="32">
        <f t="shared" ref="C67:BN67" si="7">ROUND(C51+C52,0)</f>
        <v>87363</v>
      </c>
      <c r="D67" s="32">
        <f t="shared" si="7"/>
        <v>0</v>
      </c>
      <c r="E67" s="32">
        <f t="shared" si="7"/>
        <v>327049</v>
      </c>
      <c r="F67" s="32">
        <f t="shared" si="7"/>
        <v>0</v>
      </c>
      <c r="G67" s="32">
        <f t="shared" si="7"/>
        <v>0</v>
      </c>
      <c r="H67" s="32">
        <f t="shared" si="7"/>
        <v>0</v>
      </c>
      <c r="I67" s="32">
        <f t="shared" si="7"/>
        <v>0</v>
      </c>
      <c r="J67" s="32">
        <f t="shared" si="7"/>
        <v>13012</v>
      </c>
      <c r="K67" s="32">
        <f t="shared" si="7"/>
        <v>0</v>
      </c>
      <c r="L67" s="32">
        <f t="shared" si="7"/>
        <v>7613</v>
      </c>
      <c r="M67" s="32">
        <f t="shared" si="7"/>
        <v>0</v>
      </c>
      <c r="N67" s="32">
        <f t="shared" si="7"/>
        <v>0</v>
      </c>
      <c r="O67" s="32">
        <f t="shared" si="7"/>
        <v>5030</v>
      </c>
      <c r="P67" s="32">
        <f t="shared" si="7"/>
        <v>400829</v>
      </c>
      <c r="Q67" s="32">
        <f t="shared" si="7"/>
        <v>19753</v>
      </c>
      <c r="R67" s="32">
        <f t="shared" si="7"/>
        <v>4561</v>
      </c>
      <c r="S67" s="32">
        <f t="shared" si="7"/>
        <v>107585</v>
      </c>
      <c r="T67" s="32">
        <f t="shared" si="7"/>
        <v>0</v>
      </c>
      <c r="U67" s="32">
        <f t="shared" si="7"/>
        <v>132034</v>
      </c>
      <c r="V67" s="32">
        <f t="shared" si="7"/>
        <v>0</v>
      </c>
      <c r="W67" s="32">
        <f t="shared" si="7"/>
        <v>14723</v>
      </c>
      <c r="X67" s="32">
        <f t="shared" si="7"/>
        <v>42189</v>
      </c>
      <c r="Y67" s="32">
        <f t="shared" si="7"/>
        <v>161680</v>
      </c>
      <c r="Z67" s="32">
        <f t="shared" si="7"/>
        <v>0</v>
      </c>
      <c r="AA67" s="32">
        <f t="shared" si="7"/>
        <v>2918</v>
      </c>
      <c r="AB67" s="32">
        <f t="shared" si="7"/>
        <v>50540</v>
      </c>
      <c r="AC67" s="32">
        <f t="shared" si="7"/>
        <v>128110</v>
      </c>
      <c r="AD67" s="32">
        <f t="shared" si="7"/>
        <v>0</v>
      </c>
      <c r="AE67" s="32">
        <f t="shared" si="7"/>
        <v>217585</v>
      </c>
      <c r="AF67" s="32">
        <f t="shared" si="7"/>
        <v>0</v>
      </c>
      <c r="AG67" s="32">
        <f t="shared" si="7"/>
        <v>212957</v>
      </c>
      <c r="AH67" s="32">
        <f t="shared" si="7"/>
        <v>0</v>
      </c>
      <c r="AI67" s="32">
        <f t="shared" si="7"/>
        <v>0</v>
      </c>
      <c r="AJ67" s="32">
        <f t="shared" si="7"/>
        <v>1287905</v>
      </c>
      <c r="AK67" s="32">
        <f t="shared" si="7"/>
        <v>0</v>
      </c>
      <c r="AL67" s="32">
        <f t="shared" si="7"/>
        <v>0</v>
      </c>
      <c r="AM67" s="32">
        <f t="shared" si="7"/>
        <v>0</v>
      </c>
      <c r="AN67" s="32">
        <f t="shared" si="7"/>
        <v>0</v>
      </c>
      <c r="AO67" s="32">
        <f t="shared" si="7"/>
        <v>33335</v>
      </c>
      <c r="AP67" s="32">
        <f t="shared" si="7"/>
        <v>0</v>
      </c>
      <c r="AQ67" s="32">
        <f t="shared" si="7"/>
        <v>0</v>
      </c>
      <c r="AR67" s="32">
        <f t="shared" si="7"/>
        <v>0</v>
      </c>
      <c r="AS67" s="32">
        <f t="shared" si="7"/>
        <v>0</v>
      </c>
      <c r="AT67" s="32">
        <f t="shared" si="7"/>
        <v>0</v>
      </c>
      <c r="AU67" s="32">
        <f t="shared" si="7"/>
        <v>0</v>
      </c>
      <c r="AV67" s="32">
        <f t="shared" si="7"/>
        <v>130323</v>
      </c>
      <c r="AW67" s="32">
        <f t="shared" si="7"/>
        <v>0</v>
      </c>
      <c r="AX67" s="32">
        <f t="shared" si="7"/>
        <v>0</v>
      </c>
      <c r="AY67" s="32">
        <f t="shared" si="7"/>
        <v>0</v>
      </c>
      <c r="AZ67" s="32">
        <f t="shared" si="7"/>
        <v>143973</v>
      </c>
      <c r="BA67" s="32">
        <f t="shared" si="7"/>
        <v>0</v>
      </c>
      <c r="BB67" s="32">
        <f t="shared" si="7"/>
        <v>0</v>
      </c>
      <c r="BC67" s="32">
        <f t="shared" si="7"/>
        <v>0</v>
      </c>
      <c r="BD67" s="32">
        <f t="shared" si="7"/>
        <v>0</v>
      </c>
      <c r="BE67" s="32">
        <f t="shared" si="7"/>
        <v>428899</v>
      </c>
      <c r="BF67" s="32">
        <f t="shared" si="7"/>
        <v>108692</v>
      </c>
      <c r="BG67" s="32">
        <f t="shared" si="7"/>
        <v>0</v>
      </c>
      <c r="BH67" s="32">
        <f t="shared" si="7"/>
        <v>187905</v>
      </c>
      <c r="BI67" s="32">
        <f t="shared" si="7"/>
        <v>0</v>
      </c>
      <c r="BJ67" s="32">
        <f t="shared" si="7"/>
        <v>0</v>
      </c>
      <c r="BK67" s="32">
        <f t="shared" si="7"/>
        <v>55134</v>
      </c>
      <c r="BL67" s="32">
        <f t="shared" si="7"/>
        <v>66436</v>
      </c>
      <c r="BM67" s="32">
        <f t="shared" si="7"/>
        <v>0</v>
      </c>
      <c r="BN67" s="32">
        <f t="shared" si="7"/>
        <v>0</v>
      </c>
      <c r="BO67" s="32">
        <f t="shared" ref="BO67:CC67" si="8">ROUND(BO51+BO52,0)</f>
        <v>8149</v>
      </c>
      <c r="BP67" s="32">
        <f t="shared" si="8"/>
        <v>0</v>
      </c>
      <c r="BQ67" s="32">
        <f t="shared" si="8"/>
        <v>0</v>
      </c>
      <c r="BR67" s="32">
        <f t="shared" si="8"/>
        <v>45442</v>
      </c>
      <c r="BS67" s="32">
        <f t="shared" si="8"/>
        <v>0</v>
      </c>
      <c r="BT67" s="32">
        <f t="shared" si="8"/>
        <v>0</v>
      </c>
      <c r="BU67" s="32">
        <f t="shared" si="8"/>
        <v>0</v>
      </c>
      <c r="BV67" s="32">
        <f t="shared" si="8"/>
        <v>0</v>
      </c>
      <c r="BW67" s="32">
        <f t="shared" si="8"/>
        <v>0</v>
      </c>
      <c r="BX67" s="32">
        <f t="shared" si="8"/>
        <v>0</v>
      </c>
      <c r="BY67" s="32">
        <f t="shared" si="8"/>
        <v>59896</v>
      </c>
      <c r="BZ67" s="32">
        <f t="shared" si="8"/>
        <v>0</v>
      </c>
      <c r="CA67" s="32">
        <f t="shared" si="8"/>
        <v>0</v>
      </c>
      <c r="CB67" s="32">
        <f t="shared" si="8"/>
        <v>0</v>
      </c>
      <c r="CC67" s="32">
        <f t="shared" si="8"/>
        <v>513713</v>
      </c>
      <c r="CD67" s="29" t="s">
        <v>233</v>
      </c>
      <c r="CE67" s="32">
        <f t="shared" si="4"/>
        <v>5005333</v>
      </c>
    </row>
    <row r="68" spans="1:83" x14ac:dyDescent="0.25">
      <c r="A68" s="39" t="s">
        <v>253</v>
      </c>
      <c r="B68" s="32"/>
      <c r="C68" s="24">
        <v>0</v>
      </c>
      <c r="D68" s="24"/>
      <c r="E68" s="24">
        <v>538</v>
      </c>
      <c r="F68" s="24"/>
      <c r="G68" s="24"/>
      <c r="H68" s="24"/>
      <c r="I68" s="24"/>
      <c r="J68" s="24">
        <v>21</v>
      </c>
      <c r="K68" s="24"/>
      <c r="L68" s="24">
        <v>13</v>
      </c>
      <c r="M68" s="24">
        <v>26814</v>
      </c>
      <c r="N68" s="24"/>
      <c r="O68" s="24">
        <v>8</v>
      </c>
      <c r="P68" s="30">
        <v>5094</v>
      </c>
      <c r="Q68" s="30"/>
      <c r="R68" s="30">
        <v>2071</v>
      </c>
      <c r="S68" s="312">
        <v>4379</v>
      </c>
      <c r="T68" s="312"/>
      <c r="U68" s="31">
        <v>76763</v>
      </c>
      <c r="V68" s="30"/>
      <c r="W68" s="30">
        <v>13715</v>
      </c>
      <c r="X68" s="30">
        <v>39279</v>
      </c>
      <c r="Y68" s="30">
        <v>150524</v>
      </c>
      <c r="Z68" s="30"/>
      <c r="AA68" s="30">
        <v>2706</v>
      </c>
      <c r="AB68" s="313">
        <v>24984</v>
      </c>
      <c r="AC68" s="30">
        <v>37963</v>
      </c>
      <c r="AD68" s="30"/>
      <c r="AE68" s="30">
        <v>0</v>
      </c>
      <c r="AF68" s="30"/>
      <c r="AG68" s="30">
        <v>953</v>
      </c>
      <c r="AH68" s="30"/>
      <c r="AI68" s="30"/>
      <c r="AJ68" s="30">
        <v>27349</v>
      </c>
      <c r="AK68" s="30"/>
      <c r="AL68" s="30"/>
      <c r="AM68" s="30"/>
      <c r="AN68" s="30"/>
      <c r="AO68" s="30">
        <v>55</v>
      </c>
      <c r="AP68" s="30">
        <v>7370</v>
      </c>
      <c r="AQ68" s="30"/>
      <c r="AR68" s="30">
        <v>11422</v>
      </c>
      <c r="AS68" s="30"/>
      <c r="AT68" s="30"/>
      <c r="AU68" s="30"/>
      <c r="AV68" s="312">
        <v>0</v>
      </c>
      <c r="AW68" s="312"/>
      <c r="AX68" s="312"/>
      <c r="AY68" s="30">
        <v>4724</v>
      </c>
      <c r="AZ68" s="30"/>
      <c r="BA68" s="312"/>
      <c r="BB68" s="312"/>
      <c r="BC68" s="312"/>
      <c r="BD68" s="312"/>
      <c r="BE68" s="30">
        <v>3335</v>
      </c>
      <c r="BF68" s="312">
        <v>15390</v>
      </c>
      <c r="BG68" s="312"/>
      <c r="BH68" s="312"/>
      <c r="BI68" s="312"/>
      <c r="BJ68" s="312"/>
      <c r="BK68" s="312">
        <v>19727</v>
      </c>
      <c r="BL68" s="312"/>
      <c r="BM68" s="312"/>
      <c r="BN68" s="312"/>
      <c r="BO68" s="312"/>
      <c r="BP68" s="312"/>
      <c r="BQ68" s="312"/>
      <c r="BR68" s="312">
        <v>10</v>
      </c>
      <c r="BS68" s="312"/>
      <c r="BT68" s="312"/>
      <c r="BU68" s="312"/>
      <c r="BV68" s="312">
        <v>19727</v>
      </c>
      <c r="BW68" s="312"/>
      <c r="BX68" s="312"/>
      <c r="BY68" s="312">
        <v>249</v>
      </c>
      <c r="BZ68" s="312"/>
      <c r="CA68" s="312"/>
      <c r="CB68" s="312"/>
      <c r="CC68" s="312">
        <v>205063</v>
      </c>
      <c r="CD68" s="29" t="s">
        <v>233</v>
      </c>
      <c r="CE68" s="32">
        <f t="shared" si="4"/>
        <v>700246</v>
      </c>
    </row>
    <row r="69" spans="1:83" x14ac:dyDescent="0.25">
      <c r="A69" s="39" t="s">
        <v>254</v>
      </c>
      <c r="B69" s="20"/>
      <c r="C69" s="32">
        <f t="shared" ref="C69:BN69" si="9">SUM(C70:C83)</f>
        <v>7410</v>
      </c>
      <c r="D69" s="32">
        <f t="shared" si="9"/>
        <v>0</v>
      </c>
      <c r="E69" s="32">
        <f t="shared" si="9"/>
        <v>78420</v>
      </c>
      <c r="F69" s="32">
        <f t="shared" si="9"/>
        <v>0</v>
      </c>
      <c r="G69" s="32">
        <f t="shared" si="9"/>
        <v>0</v>
      </c>
      <c r="H69" s="32">
        <f t="shared" si="9"/>
        <v>0</v>
      </c>
      <c r="I69" s="32">
        <f t="shared" si="9"/>
        <v>0</v>
      </c>
      <c r="J69" s="32">
        <f t="shared" si="9"/>
        <v>3122</v>
      </c>
      <c r="K69" s="32">
        <f t="shared" si="9"/>
        <v>0</v>
      </c>
      <c r="L69" s="32">
        <f t="shared" si="9"/>
        <v>1823</v>
      </c>
      <c r="M69" s="32">
        <f t="shared" si="9"/>
        <v>34354</v>
      </c>
      <c r="N69" s="32">
        <f t="shared" si="9"/>
        <v>0</v>
      </c>
      <c r="O69" s="32">
        <f t="shared" si="9"/>
        <v>1202</v>
      </c>
      <c r="P69" s="32">
        <f t="shared" si="9"/>
        <v>77742</v>
      </c>
      <c r="Q69" s="32">
        <f t="shared" si="9"/>
        <v>0</v>
      </c>
      <c r="R69" s="32">
        <f t="shared" si="9"/>
        <v>44778</v>
      </c>
      <c r="S69" s="32">
        <f t="shared" si="9"/>
        <v>87822</v>
      </c>
      <c r="T69" s="32">
        <f t="shared" si="9"/>
        <v>0</v>
      </c>
      <c r="U69" s="32">
        <f t="shared" si="9"/>
        <v>165248</v>
      </c>
      <c r="V69" s="32">
        <f t="shared" si="9"/>
        <v>0</v>
      </c>
      <c r="W69" s="32">
        <f t="shared" si="9"/>
        <v>40267</v>
      </c>
      <c r="X69" s="32">
        <f t="shared" si="9"/>
        <v>115324</v>
      </c>
      <c r="Y69" s="32">
        <f t="shared" si="9"/>
        <v>441935</v>
      </c>
      <c r="Z69" s="32">
        <f t="shared" si="9"/>
        <v>0</v>
      </c>
      <c r="AA69" s="32">
        <f t="shared" si="9"/>
        <v>7945</v>
      </c>
      <c r="AB69" s="32">
        <f t="shared" si="9"/>
        <v>102761</v>
      </c>
      <c r="AC69" s="32">
        <f t="shared" si="9"/>
        <v>47677</v>
      </c>
      <c r="AD69" s="32">
        <f t="shared" si="9"/>
        <v>0</v>
      </c>
      <c r="AE69" s="32">
        <f t="shared" si="9"/>
        <v>26032</v>
      </c>
      <c r="AF69" s="32">
        <f t="shared" si="9"/>
        <v>0</v>
      </c>
      <c r="AG69" s="32">
        <f t="shared" si="9"/>
        <v>56474</v>
      </c>
      <c r="AH69" s="32">
        <f t="shared" si="9"/>
        <v>0</v>
      </c>
      <c r="AI69" s="32">
        <f t="shared" si="9"/>
        <v>0</v>
      </c>
      <c r="AJ69" s="32">
        <f t="shared" si="9"/>
        <v>339753</v>
      </c>
      <c r="AK69" s="32">
        <f t="shared" si="9"/>
        <v>0</v>
      </c>
      <c r="AL69" s="32">
        <f t="shared" si="9"/>
        <v>0</v>
      </c>
      <c r="AM69" s="32">
        <f t="shared" si="9"/>
        <v>0</v>
      </c>
      <c r="AN69" s="32">
        <f t="shared" si="9"/>
        <v>0</v>
      </c>
      <c r="AO69" s="32">
        <f t="shared" si="9"/>
        <v>7990</v>
      </c>
      <c r="AP69" s="32">
        <f t="shared" si="9"/>
        <v>35685</v>
      </c>
      <c r="AQ69" s="32">
        <f t="shared" si="9"/>
        <v>0</v>
      </c>
      <c r="AR69" s="32">
        <f t="shared" si="9"/>
        <v>61499</v>
      </c>
      <c r="AS69" s="32">
        <f t="shared" si="9"/>
        <v>0</v>
      </c>
      <c r="AT69" s="32">
        <f t="shared" si="9"/>
        <v>0</v>
      </c>
      <c r="AU69" s="32">
        <f t="shared" si="9"/>
        <v>0</v>
      </c>
      <c r="AV69" s="32">
        <f t="shared" si="9"/>
        <v>31217</v>
      </c>
      <c r="AW69" s="32">
        <f t="shared" si="9"/>
        <v>0</v>
      </c>
      <c r="AX69" s="32">
        <f t="shared" si="9"/>
        <v>0</v>
      </c>
      <c r="AY69" s="32">
        <f t="shared" si="9"/>
        <v>30221</v>
      </c>
      <c r="AZ69" s="32">
        <f t="shared" si="9"/>
        <v>0</v>
      </c>
      <c r="BA69" s="32">
        <f t="shared" si="9"/>
        <v>0</v>
      </c>
      <c r="BB69" s="32">
        <f t="shared" si="9"/>
        <v>0</v>
      </c>
      <c r="BC69" s="32">
        <f t="shared" si="9"/>
        <v>0</v>
      </c>
      <c r="BD69" s="32">
        <f t="shared" si="9"/>
        <v>0</v>
      </c>
      <c r="BE69" s="32">
        <f t="shared" si="9"/>
        <v>138892</v>
      </c>
      <c r="BF69" s="32">
        <f t="shared" si="9"/>
        <v>3916</v>
      </c>
      <c r="BG69" s="32">
        <f t="shared" si="9"/>
        <v>38845</v>
      </c>
      <c r="BH69" s="32">
        <f t="shared" si="9"/>
        <v>250474</v>
      </c>
      <c r="BI69" s="32">
        <f t="shared" si="9"/>
        <v>0</v>
      </c>
      <c r="BJ69" s="32">
        <f t="shared" si="9"/>
        <v>0</v>
      </c>
      <c r="BK69" s="32">
        <f t="shared" si="9"/>
        <v>257755</v>
      </c>
      <c r="BL69" s="32">
        <f t="shared" si="9"/>
        <v>1642</v>
      </c>
      <c r="BM69" s="32">
        <f t="shared" si="9"/>
        <v>0</v>
      </c>
      <c r="BN69" s="32">
        <f t="shared" si="9"/>
        <v>0</v>
      </c>
      <c r="BO69" s="32">
        <f t="shared" ref="BO69:CD69" si="10">SUM(BO70:BO83)</f>
        <v>8378</v>
      </c>
      <c r="BP69" s="32">
        <f t="shared" si="10"/>
        <v>0</v>
      </c>
      <c r="BQ69" s="32">
        <f t="shared" si="10"/>
        <v>0</v>
      </c>
      <c r="BR69" s="32">
        <f t="shared" si="10"/>
        <v>59252</v>
      </c>
      <c r="BS69" s="32">
        <f t="shared" si="10"/>
        <v>0</v>
      </c>
      <c r="BT69" s="32">
        <f t="shared" si="10"/>
        <v>0</v>
      </c>
      <c r="BU69" s="32">
        <f t="shared" si="10"/>
        <v>0</v>
      </c>
      <c r="BV69" s="32">
        <f t="shared" si="10"/>
        <v>5751</v>
      </c>
      <c r="BW69" s="32">
        <f t="shared" si="10"/>
        <v>0</v>
      </c>
      <c r="BX69" s="32">
        <f t="shared" si="10"/>
        <v>0</v>
      </c>
      <c r="BY69" s="32">
        <f t="shared" si="10"/>
        <v>163976</v>
      </c>
      <c r="BZ69" s="32">
        <f t="shared" si="10"/>
        <v>0</v>
      </c>
      <c r="CA69" s="32">
        <f t="shared" si="10"/>
        <v>0</v>
      </c>
      <c r="CB69" s="32">
        <f t="shared" si="10"/>
        <v>0</v>
      </c>
      <c r="CC69" s="32">
        <f>SUM(CC70:CC83)</f>
        <v>808569</v>
      </c>
      <c r="CD69" s="32">
        <f t="shared" si="10"/>
        <v>3379143</v>
      </c>
      <c r="CE69" s="32">
        <f>SUM(CE70:CE84)</f>
        <v>6963294</v>
      </c>
    </row>
    <row r="70" spans="1:83" x14ac:dyDescent="0.25">
      <c r="A70" s="33" t="s">
        <v>255</v>
      </c>
      <c r="B70" s="34"/>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32">
        <f>SUM(C70:CD70)</f>
        <v>0</v>
      </c>
    </row>
    <row r="71" spans="1:83" x14ac:dyDescent="0.25">
      <c r="A71" s="33" t="s">
        <v>256</v>
      </c>
      <c r="B71" s="34"/>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32">
        <f t="shared" ref="CE71:CE85" si="11">SUM(C71:CD71)</f>
        <v>0</v>
      </c>
    </row>
    <row r="72" spans="1:83" x14ac:dyDescent="0.25">
      <c r="A72" s="33" t="s">
        <v>257</v>
      </c>
      <c r="B72" s="34"/>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7"/>
      <c r="CD72" s="267"/>
      <c r="CE72" s="32">
        <f t="shared" si="11"/>
        <v>0</v>
      </c>
    </row>
    <row r="73" spans="1:83" x14ac:dyDescent="0.25">
      <c r="A73" s="33" t="s">
        <v>258</v>
      </c>
      <c r="B73" s="34"/>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v>1389602</v>
      </c>
      <c r="CE73" s="32">
        <f t="shared" si="11"/>
        <v>1389602</v>
      </c>
    </row>
    <row r="74" spans="1:83" x14ac:dyDescent="0.25">
      <c r="A74" s="33" t="s">
        <v>259</v>
      </c>
      <c r="B74" s="34"/>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32">
        <f t="shared" si="11"/>
        <v>0</v>
      </c>
    </row>
    <row r="75" spans="1:83" x14ac:dyDescent="0.25">
      <c r="A75" s="33" t="s">
        <v>260</v>
      </c>
      <c r="B75" s="34"/>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c r="CE75" s="32">
        <f t="shared" si="11"/>
        <v>0</v>
      </c>
    </row>
    <row r="76" spans="1:83" x14ac:dyDescent="0.25">
      <c r="A76" s="33" t="s">
        <v>261</v>
      </c>
      <c r="B76" s="226"/>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c r="CE76" s="32">
        <f t="shared" si="11"/>
        <v>0</v>
      </c>
    </row>
    <row r="77" spans="1:83" x14ac:dyDescent="0.25">
      <c r="A77" s="33" t="s">
        <v>262</v>
      </c>
      <c r="B77" s="34"/>
      <c r="C77" s="267">
        <v>5545</v>
      </c>
      <c r="D77" s="267">
        <v>0</v>
      </c>
      <c r="E77" s="267">
        <v>14994</v>
      </c>
      <c r="F77" s="267"/>
      <c r="G77" s="267"/>
      <c r="H77" s="267"/>
      <c r="I77" s="267"/>
      <c r="J77" s="267">
        <v>597</v>
      </c>
      <c r="K77" s="267"/>
      <c r="L77" s="267">
        <v>349</v>
      </c>
      <c r="M77" s="267">
        <v>103</v>
      </c>
      <c r="N77" s="267"/>
      <c r="O77" s="267">
        <v>230</v>
      </c>
      <c r="P77" s="267">
        <v>71944</v>
      </c>
      <c r="Q77" s="267"/>
      <c r="R77" s="267">
        <v>7184</v>
      </c>
      <c r="S77" s="267">
        <v>35932</v>
      </c>
      <c r="T77" s="267"/>
      <c r="U77" s="267">
        <v>129817</v>
      </c>
      <c r="V77" s="267"/>
      <c r="W77" s="267">
        <v>38422</v>
      </c>
      <c r="X77" s="267">
        <v>110040</v>
      </c>
      <c r="Y77" s="267">
        <v>421686</v>
      </c>
      <c r="Z77" s="267"/>
      <c r="AA77" s="267">
        <v>7581</v>
      </c>
      <c r="AB77" s="267">
        <v>1517</v>
      </c>
      <c r="AC77" s="267">
        <v>19385</v>
      </c>
      <c r="AD77" s="267"/>
      <c r="AE77" s="267">
        <v>3147</v>
      </c>
      <c r="AF77" s="267"/>
      <c r="AG77" s="267">
        <v>14508</v>
      </c>
      <c r="AH77" s="267"/>
      <c r="AI77" s="267"/>
      <c r="AJ77" s="267">
        <v>27489</v>
      </c>
      <c r="AK77" s="267"/>
      <c r="AL77" s="267"/>
      <c r="AM77" s="267"/>
      <c r="AN77" s="267"/>
      <c r="AO77" s="267">
        <v>1528</v>
      </c>
      <c r="AP77" s="267">
        <v>12219</v>
      </c>
      <c r="AQ77" s="267"/>
      <c r="AR77" s="267"/>
      <c r="AS77" s="267"/>
      <c r="AT77" s="267"/>
      <c r="AU77" s="267"/>
      <c r="AV77" s="267">
        <v>5084</v>
      </c>
      <c r="AW77" s="267"/>
      <c r="AX77" s="267"/>
      <c r="AY77" s="267">
        <v>7237</v>
      </c>
      <c r="AZ77" s="267"/>
      <c r="BA77" s="267"/>
      <c r="BB77" s="267"/>
      <c r="BC77" s="267"/>
      <c r="BD77" s="267"/>
      <c r="BE77" s="267">
        <v>135970</v>
      </c>
      <c r="BF77" s="267">
        <v>3088</v>
      </c>
      <c r="BG77" s="267"/>
      <c r="BH77" s="267">
        <v>509</v>
      </c>
      <c r="BI77" s="267"/>
      <c r="BJ77" s="267"/>
      <c r="BK77" s="267"/>
      <c r="BL77" s="267">
        <v>1582</v>
      </c>
      <c r="BM77" s="267"/>
      <c r="BN77" s="267"/>
      <c r="BO77" s="267">
        <v>3639</v>
      </c>
      <c r="BP77" s="267"/>
      <c r="BQ77" s="267"/>
      <c r="BR77" s="267"/>
      <c r="BS77" s="267"/>
      <c r="BT77" s="267"/>
      <c r="BU77" s="267"/>
      <c r="BV77" s="267">
        <v>147</v>
      </c>
      <c r="BW77" s="267"/>
      <c r="BX77" s="267"/>
      <c r="BY77" s="267">
        <v>13918</v>
      </c>
      <c r="BZ77" s="267"/>
      <c r="CA77" s="267"/>
      <c r="CB77" s="267"/>
      <c r="CC77" s="267">
        <v>3830</v>
      </c>
      <c r="CD77" s="267">
        <f>1123808-1099221</f>
        <v>24587</v>
      </c>
      <c r="CE77" s="32">
        <f t="shared" si="11"/>
        <v>1123808</v>
      </c>
    </row>
    <row r="78" spans="1:83" x14ac:dyDescent="0.25">
      <c r="A78" s="33" t="s">
        <v>263</v>
      </c>
      <c r="B78" s="20"/>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7"/>
      <c r="CD78" s="267"/>
      <c r="CE78" s="32">
        <f t="shared" si="11"/>
        <v>0</v>
      </c>
    </row>
    <row r="79" spans="1:83" x14ac:dyDescent="0.25">
      <c r="A79" s="33" t="s">
        <v>264</v>
      </c>
      <c r="B79" s="20"/>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c r="CE79" s="32">
        <f t="shared" si="11"/>
        <v>0</v>
      </c>
    </row>
    <row r="80" spans="1:83" x14ac:dyDescent="0.25">
      <c r="A80" s="33" t="s">
        <v>265</v>
      </c>
      <c r="B80" s="20"/>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32">
        <f t="shared" si="11"/>
        <v>0</v>
      </c>
    </row>
    <row r="81" spans="1:84" x14ac:dyDescent="0.25">
      <c r="A81" s="33" t="s">
        <v>266</v>
      </c>
      <c r="B81" s="20"/>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7"/>
      <c r="CD81" s="267"/>
      <c r="CE81" s="32">
        <f t="shared" si="11"/>
        <v>0</v>
      </c>
    </row>
    <row r="82" spans="1:84" x14ac:dyDescent="0.25">
      <c r="A82" s="33" t="s">
        <v>267</v>
      </c>
      <c r="B82" s="20"/>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7"/>
      <c r="CD82" s="267"/>
      <c r="CE82" s="32">
        <f t="shared" si="11"/>
        <v>0</v>
      </c>
    </row>
    <row r="83" spans="1:84" x14ac:dyDescent="0.25">
      <c r="A83" s="33" t="s">
        <v>268</v>
      </c>
      <c r="B83" s="20"/>
      <c r="C83" s="24">
        <v>1865</v>
      </c>
      <c r="D83" s="24"/>
      <c r="E83" s="30">
        <f>63426</f>
        <v>63426</v>
      </c>
      <c r="F83" s="30"/>
      <c r="G83" s="24"/>
      <c r="H83" s="24"/>
      <c r="I83" s="30"/>
      <c r="J83" s="30">
        <v>2525</v>
      </c>
      <c r="K83" s="30"/>
      <c r="L83" s="30">
        <v>1474</v>
      </c>
      <c r="M83" s="24">
        <v>34251</v>
      </c>
      <c r="N83" s="24"/>
      <c r="O83" s="24">
        <v>972</v>
      </c>
      <c r="P83" s="30">
        <v>5798</v>
      </c>
      <c r="Q83" s="30"/>
      <c r="R83" s="31">
        <v>37594</v>
      </c>
      <c r="S83" s="30">
        <v>51890</v>
      </c>
      <c r="T83" s="24"/>
      <c r="U83" s="30">
        <v>35431</v>
      </c>
      <c r="V83" s="30"/>
      <c r="W83" s="24">
        <v>1845</v>
      </c>
      <c r="X83" s="30">
        <v>5284</v>
      </c>
      <c r="Y83" s="30">
        <v>20249</v>
      </c>
      <c r="Z83" s="30"/>
      <c r="AA83" s="30">
        <v>364</v>
      </c>
      <c r="AB83" s="30">
        <v>101244</v>
      </c>
      <c r="AC83" s="30">
        <v>28292</v>
      </c>
      <c r="AD83" s="30"/>
      <c r="AE83" s="30">
        <v>22885</v>
      </c>
      <c r="AF83" s="30"/>
      <c r="AG83" s="30">
        <v>41966</v>
      </c>
      <c r="AH83" s="30"/>
      <c r="AI83" s="30"/>
      <c r="AJ83" s="30">
        <v>312264</v>
      </c>
      <c r="AK83" s="30"/>
      <c r="AL83" s="30"/>
      <c r="AM83" s="30"/>
      <c r="AN83" s="30"/>
      <c r="AO83" s="24">
        <v>6462</v>
      </c>
      <c r="AP83" s="30">
        <v>23466</v>
      </c>
      <c r="AQ83" s="24"/>
      <c r="AR83" s="24">
        <v>61499</v>
      </c>
      <c r="AS83" s="24"/>
      <c r="AT83" s="24"/>
      <c r="AU83" s="30"/>
      <c r="AV83" s="30">
        <v>26133</v>
      </c>
      <c r="AW83" s="30"/>
      <c r="AX83" s="30"/>
      <c r="AY83" s="30">
        <v>22984</v>
      </c>
      <c r="AZ83" s="30"/>
      <c r="BA83" s="30"/>
      <c r="BB83" s="30"/>
      <c r="BC83" s="30"/>
      <c r="BD83" s="30"/>
      <c r="BE83" s="30">
        <v>2922</v>
      </c>
      <c r="BF83" s="30">
        <v>828</v>
      </c>
      <c r="BG83" s="30">
        <v>38845</v>
      </c>
      <c r="BH83" s="31">
        <v>249965</v>
      </c>
      <c r="BI83" s="30"/>
      <c r="BJ83" s="30"/>
      <c r="BK83" s="30">
        <v>257755</v>
      </c>
      <c r="BL83" s="30">
        <v>60</v>
      </c>
      <c r="BM83" s="30"/>
      <c r="BN83" s="30"/>
      <c r="BO83" s="30">
        <v>4739</v>
      </c>
      <c r="BP83" s="30"/>
      <c r="BQ83" s="30"/>
      <c r="BR83" s="30">
        <v>59252</v>
      </c>
      <c r="BS83" s="30"/>
      <c r="BT83" s="30"/>
      <c r="BU83" s="30"/>
      <c r="BV83" s="30">
        <v>5604</v>
      </c>
      <c r="BW83" s="30"/>
      <c r="BX83" s="30"/>
      <c r="BY83" s="30">
        <v>150058</v>
      </c>
      <c r="BZ83" s="30"/>
      <c r="CA83" s="30"/>
      <c r="CB83" s="30"/>
      <c r="CC83" s="30">
        <v>804739</v>
      </c>
      <c r="CD83" s="35">
        <f>90+950558+1014306</f>
        <v>1964954</v>
      </c>
      <c r="CE83" s="32">
        <f t="shared" si="11"/>
        <v>4449884</v>
      </c>
    </row>
    <row r="84" spans="1:84" x14ac:dyDescent="0.25">
      <c r="A84" s="39" t="s">
        <v>269</v>
      </c>
      <c r="B84" s="20"/>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35"/>
      <c r="CE84" s="32">
        <f t="shared" si="11"/>
        <v>0</v>
      </c>
    </row>
    <row r="85" spans="1:84" x14ac:dyDescent="0.25">
      <c r="A85" s="39" t="s">
        <v>270</v>
      </c>
      <c r="B85" s="32"/>
      <c r="C85" s="32">
        <f>SUM(C61:C69)-C84</f>
        <v>2140524</v>
      </c>
      <c r="D85" s="32">
        <f t="shared" ref="D85:BO85" si="12">SUM(D61:D69)-D84</f>
        <v>0</v>
      </c>
      <c r="E85" s="32">
        <f t="shared" si="12"/>
        <v>7970387</v>
      </c>
      <c r="F85" s="32">
        <f t="shared" si="12"/>
        <v>0</v>
      </c>
      <c r="G85" s="32">
        <f t="shared" si="12"/>
        <v>0</v>
      </c>
      <c r="H85" s="32">
        <f t="shared" si="12"/>
        <v>0</v>
      </c>
      <c r="I85" s="32">
        <f t="shared" si="12"/>
        <v>0</v>
      </c>
      <c r="J85" s="32">
        <f t="shared" si="12"/>
        <v>317309</v>
      </c>
      <c r="K85" s="32">
        <f t="shared" si="12"/>
        <v>0</v>
      </c>
      <c r="L85" s="32">
        <f t="shared" si="12"/>
        <v>185277</v>
      </c>
      <c r="M85" s="32">
        <f t="shared" si="12"/>
        <v>1638935</v>
      </c>
      <c r="N85" s="32">
        <f t="shared" si="12"/>
        <v>0</v>
      </c>
      <c r="O85" s="32">
        <f t="shared" si="12"/>
        <v>122212</v>
      </c>
      <c r="P85" s="32">
        <f t="shared" si="12"/>
        <v>3304883</v>
      </c>
      <c r="Q85" s="32">
        <f t="shared" si="12"/>
        <v>837913</v>
      </c>
      <c r="R85" s="32">
        <f t="shared" si="12"/>
        <v>1676219</v>
      </c>
      <c r="S85" s="32">
        <f t="shared" si="12"/>
        <v>3956837</v>
      </c>
      <c r="T85" s="32">
        <f t="shared" si="12"/>
        <v>0</v>
      </c>
      <c r="U85" s="32">
        <f t="shared" si="12"/>
        <v>7064355</v>
      </c>
      <c r="V85" s="32">
        <f t="shared" si="12"/>
        <v>0</v>
      </c>
      <c r="W85" s="32">
        <f t="shared" si="12"/>
        <v>381746</v>
      </c>
      <c r="X85" s="32">
        <f t="shared" si="12"/>
        <v>1093334</v>
      </c>
      <c r="Y85" s="32">
        <f t="shared" si="12"/>
        <v>4189796</v>
      </c>
      <c r="Z85" s="32">
        <f t="shared" si="12"/>
        <v>0</v>
      </c>
      <c r="AA85" s="32">
        <f t="shared" si="12"/>
        <v>75333</v>
      </c>
      <c r="AB85" s="32">
        <f t="shared" si="12"/>
        <v>22712689</v>
      </c>
      <c r="AC85" s="32">
        <f t="shared" si="12"/>
        <v>2387299</v>
      </c>
      <c r="AD85" s="32">
        <f t="shared" si="12"/>
        <v>0</v>
      </c>
      <c r="AE85" s="32">
        <f t="shared" si="12"/>
        <v>4177132</v>
      </c>
      <c r="AF85" s="32">
        <f t="shared" si="12"/>
        <v>0</v>
      </c>
      <c r="AG85" s="32">
        <f t="shared" si="12"/>
        <v>7444947</v>
      </c>
      <c r="AH85" s="32">
        <f t="shared" si="12"/>
        <v>0</v>
      </c>
      <c r="AI85" s="32">
        <f t="shared" si="12"/>
        <v>0</v>
      </c>
      <c r="AJ85" s="32">
        <f t="shared" si="12"/>
        <v>36627655</v>
      </c>
      <c r="AK85" s="32">
        <f t="shared" si="12"/>
        <v>0</v>
      </c>
      <c r="AL85" s="32">
        <f t="shared" si="12"/>
        <v>0</v>
      </c>
      <c r="AM85" s="32">
        <f t="shared" si="12"/>
        <v>0</v>
      </c>
      <c r="AN85" s="32">
        <f t="shared" si="12"/>
        <v>0</v>
      </c>
      <c r="AO85" s="32">
        <f t="shared" si="12"/>
        <v>812034</v>
      </c>
      <c r="AP85" s="32">
        <f t="shared" si="12"/>
        <v>2523999</v>
      </c>
      <c r="AQ85" s="32">
        <f t="shared" si="12"/>
        <v>0</v>
      </c>
      <c r="AR85" s="32">
        <f t="shared" si="12"/>
        <v>3286719</v>
      </c>
      <c r="AS85" s="32">
        <f t="shared" si="12"/>
        <v>0</v>
      </c>
      <c r="AT85" s="32">
        <f t="shared" si="12"/>
        <v>0</v>
      </c>
      <c r="AU85" s="32">
        <f t="shared" si="12"/>
        <v>0</v>
      </c>
      <c r="AV85" s="32">
        <f t="shared" si="12"/>
        <v>3394701</v>
      </c>
      <c r="AW85" s="32">
        <f t="shared" si="12"/>
        <v>0</v>
      </c>
      <c r="AX85" s="32">
        <f t="shared" si="12"/>
        <v>0</v>
      </c>
      <c r="AY85" s="32">
        <f t="shared" si="12"/>
        <v>1680447</v>
      </c>
      <c r="AZ85" s="32">
        <f t="shared" si="12"/>
        <v>143973</v>
      </c>
      <c r="BA85" s="32">
        <f t="shared" si="12"/>
        <v>343589</v>
      </c>
      <c r="BB85" s="32">
        <f t="shared" si="12"/>
        <v>0</v>
      </c>
      <c r="BC85" s="32">
        <f t="shared" si="12"/>
        <v>0</v>
      </c>
      <c r="BD85" s="32">
        <f t="shared" si="12"/>
        <v>484268</v>
      </c>
      <c r="BE85" s="32">
        <f t="shared" si="12"/>
        <v>3022789</v>
      </c>
      <c r="BF85" s="32">
        <f t="shared" si="12"/>
        <v>1727807</v>
      </c>
      <c r="BG85" s="32">
        <f t="shared" si="12"/>
        <v>419193</v>
      </c>
      <c r="BH85" s="32">
        <f t="shared" si="12"/>
        <v>4942289</v>
      </c>
      <c r="BI85" s="32">
        <f t="shared" si="12"/>
        <v>0</v>
      </c>
      <c r="BJ85" s="32">
        <f t="shared" si="12"/>
        <v>0</v>
      </c>
      <c r="BK85" s="32">
        <f t="shared" si="12"/>
        <v>2787744</v>
      </c>
      <c r="BL85" s="32">
        <f t="shared" si="12"/>
        <v>1110024</v>
      </c>
      <c r="BM85" s="32">
        <f t="shared" si="12"/>
        <v>0</v>
      </c>
      <c r="BN85" s="32">
        <f t="shared" si="12"/>
        <v>0</v>
      </c>
      <c r="BO85" s="32">
        <f t="shared" si="12"/>
        <v>286711</v>
      </c>
      <c r="BP85" s="32">
        <f t="shared" ref="BP85:CD85" si="13">SUM(BP61:BP69)-BP84</f>
        <v>0</v>
      </c>
      <c r="BQ85" s="32">
        <f t="shared" si="13"/>
        <v>0</v>
      </c>
      <c r="BR85" s="32">
        <f t="shared" si="13"/>
        <v>1524067</v>
      </c>
      <c r="BS85" s="32">
        <f t="shared" si="13"/>
        <v>0</v>
      </c>
      <c r="BT85" s="32">
        <f t="shared" si="13"/>
        <v>0</v>
      </c>
      <c r="BU85" s="32">
        <f t="shared" si="13"/>
        <v>0</v>
      </c>
      <c r="BV85" s="32">
        <f t="shared" si="13"/>
        <v>909911</v>
      </c>
      <c r="BW85" s="32">
        <f t="shared" si="13"/>
        <v>0</v>
      </c>
      <c r="BX85" s="32">
        <f t="shared" si="13"/>
        <v>0</v>
      </c>
      <c r="BY85" s="32">
        <f t="shared" si="13"/>
        <v>3176969</v>
      </c>
      <c r="BZ85" s="32">
        <f t="shared" si="13"/>
        <v>0</v>
      </c>
      <c r="CA85" s="32">
        <f t="shared" si="13"/>
        <v>0</v>
      </c>
      <c r="CB85" s="32">
        <f t="shared" si="13"/>
        <v>0</v>
      </c>
      <c r="CC85" s="32">
        <f t="shared" si="13"/>
        <v>8237999</v>
      </c>
      <c r="CD85" s="32">
        <f t="shared" si="13"/>
        <v>3379143</v>
      </c>
      <c r="CE85" s="32">
        <f t="shared" si="11"/>
        <v>152499158</v>
      </c>
    </row>
    <row r="86" spans="1:84" x14ac:dyDescent="0.25">
      <c r="A86" s="39" t="s">
        <v>271</v>
      </c>
      <c r="B86" s="32"/>
      <c r="C86" s="29" t="s">
        <v>233</v>
      </c>
      <c r="D86" s="29" t="s">
        <v>233</v>
      </c>
      <c r="E86" s="29" t="s">
        <v>233</v>
      </c>
      <c r="F86" s="29" t="s">
        <v>233</v>
      </c>
      <c r="G86" s="29" t="s">
        <v>233</v>
      </c>
      <c r="H86" s="29" t="s">
        <v>233</v>
      </c>
      <c r="I86" s="29" t="s">
        <v>233</v>
      </c>
      <c r="J86" s="29" t="s">
        <v>233</v>
      </c>
      <c r="K86" s="36" t="s">
        <v>233</v>
      </c>
      <c r="L86" s="29" t="s">
        <v>233</v>
      </c>
      <c r="M86" s="29" t="s">
        <v>233</v>
      </c>
      <c r="N86" s="29" t="s">
        <v>233</v>
      </c>
      <c r="O86" s="29" t="s">
        <v>233</v>
      </c>
      <c r="P86" s="29" t="s">
        <v>233</v>
      </c>
      <c r="Q86" s="29" t="s">
        <v>233</v>
      </c>
      <c r="R86" s="29" t="s">
        <v>233</v>
      </c>
      <c r="S86" s="29" t="s">
        <v>233</v>
      </c>
      <c r="T86" s="29" t="s">
        <v>233</v>
      </c>
      <c r="U86" s="29" t="s">
        <v>233</v>
      </c>
      <c r="V86" s="29" t="s">
        <v>233</v>
      </c>
      <c r="W86" s="29" t="s">
        <v>233</v>
      </c>
      <c r="X86" s="29" t="s">
        <v>233</v>
      </c>
      <c r="Y86" s="29" t="s">
        <v>233</v>
      </c>
      <c r="Z86" s="29" t="s">
        <v>233</v>
      </c>
      <c r="AA86" s="29" t="s">
        <v>233</v>
      </c>
      <c r="AB86" s="29" t="s">
        <v>233</v>
      </c>
      <c r="AC86" s="29" t="s">
        <v>233</v>
      </c>
      <c r="AD86" s="29" t="s">
        <v>233</v>
      </c>
      <c r="AE86" s="29" t="s">
        <v>233</v>
      </c>
      <c r="AF86" s="29" t="s">
        <v>233</v>
      </c>
      <c r="AG86" s="29" t="s">
        <v>233</v>
      </c>
      <c r="AH86" s="29" t="s">
        <v>233</v>
      </c>
      <c r="AI86" s="29" t="s">
        <v>233</v>
      </c>
      <c r="AJ86" s="29" t="s">
        <v>233</v>
      </c>
      <c r="AK86" s="29" t="s">
        <v>233</v>
      </c>
      <c r="AL86" s="29" t="s">
        <v>233</v>
      </c>
      <c r="AM86" s="29" t="s">
        <v>233</v>
      </c>
      <c r="AN86" s="29" t="s">
        <v>233</v>
      </c>
      <c r="AO86" s="29" t="s">
        <v>233</v>
      </c>
      <c r="AP86" s="29" t="s">
        <v>233</v>
      </c>
      <c r="AQ86" s="29" t="s">
        <v>233</v>
      </c>
      <c r="AR86" s="29" t="s">
        <v>233</v>
      </c>
      <c r="AS86" s="29" t="s">
        <v>233</v>
      </c>
      <c r="AT86" s="29" t="s">
        <v>233</v>
      </c>
      <c r="AU86" s="29" t="s">
        <v>233</v>
      </c>
      <c r="AV86" s="29" t="s">
        <v>233</v>
      </c>
      <c r="AW86" s="29" t="s">
        <v>233</v>
      </c>
      <c r="AX86" s="29" t="s">
        <v>233</v>
      </c>
      <c r="AY86" s="29" t="s">
        <v>233</v>
      </c>
      <c r="AZ86" s="29" t="s">
        <v>233</v>
      </c>
      <c r="BA86" s="29" t="s">
        <v>233</v>
      </c>
      <c r="BB86" s="29" t="s">
        <v>233</v>
      </c>
      <c r="BC86" s="29" t="s">
        <v>233</v>
      </c>
      <c r="BD86" s="29" t="s">
        <v>233</v>
      </c>
      <c r="BE86" s="29" t="s">
        <v>233</v>
      </c>
      <c r="BF86" s="29" t="s">
        <v>233</v>
      </c>
      <c r="BG86" s="29" t="s">
        <v>233</v>
      </c>
      <c r="BH86" s="29" t="s">
        <v>233</v>
      </c>
      <c r="BI86" s="29" t="s">
        <v>233</v>
      </c>
      <c r="BJ86" s="29" t="s">
        <v>233</v>
      </c>
      <c r="BK86" s="29" t="s">
        <v>233</v>
      </c>
      <c r="BL86" s="29" t="s">
        <v>233</v>
      </c>
      <c r="BM86" s="29" t="s">
        <v>233</v>
      </c>
      <c r="BN86" s="29" t="s">
        <v>233</v>
      </c>
      <c r="BO86" s="29" t="s">
        <v>233</v>
      </c>
      <c r="BP86" s="29" t="s">
        <v>233</v>
      </c>
      <c r="BQ86" s="29" t="s">
        <v>233</v>
      </c>
      <c r="BR86" s="29" t="s">
        <v>233</v>
      </c>
      <c r="BS86" s="29" t="s">
        <v>233</v>
      </c>
      <c r="BT86" s="29" t="s">
        <v>233</v>
      </c>
      <c r="BU86" s="29" t="s">
        <v>233</v>
      </c>
      <c r="BV86" s="29" t="s">
        <v>233</v>
      </c>
      <c r="BW86" s="29" t="s">
        <v>233</v>
      </c>
      <c r="BX86" s="29" t="s">
        <v>233</v>
      </c>
      <c r="BY86" s="29" t="s">
        <v>233</v>
      </c>
      <c r="BZ86" s="29" t="s">
        <v>233</v>
      </c>
      <c r="CA86" s="29" t="s">
        <v>233</v>
      </c>
      <c r="CB86" s="29" t="s">
        <v>233</v>
      </c>
      <c r="CC86" s="29" t="s">
        <v>233</v>
      </c>
      <c r="CD86" s="29" t="s">
        <v>233</v>
      </c>
      <c r="CE86" s="35">
        <v>0</v>
      </c>
    </row>
    <row r="87" spans="1:84" x14ac:dyDescent="0.25">
      <c r="A87" s="26" t="s">
        <v>272</v>
      </c>
      <c r="B87" s="20"/>
      <c r="C87" s="24">
        <v>4016316</v>
      </c>
      <c r="D87" s="24"/>
      <c r="E87" s="24">
        <v>11493553</v>
      </c>
      <c r="F87" s="24"/>
      <c r="G87" s="24"/>
      <c r="H87" s="24"/>
      <c r="I87" s="24"/>
      <c r="J87" s="24">
        <v>266939</v>
      </c>
      <c r="K87" s="24"/>
      <c r="L87" s="24">
        <v>171093</v>
      </c>
      <c r="M87" s="24">
        <v>3316315</v>
      </c>
      <c r="N87" s="24"/>
      <c r="O87" s="24">
        <v>820696</v>
      </c>
      <c r="P87" s="24">
        <v>6784779</v>
      </c>
      <c r="Q87" s="24">
        <v>458317</v>
      </c>
      <c r="R87" s="24">
        <v>2390611</v>
      </c>
      <c r="S87" s="24">
        <v>3775</v>
      </c>
      <c r="T87" s="24"/>
      <c r="U87" s="24">
        <v>2185967</v>
      </c>
      <c r="V87" s="24"/>
      <c r="W87" s="24">
        <v>339763</v>
      </c>
      <c r="X87" s="24">
        <v>1454051</v>
      </c>
      <c r="Y87" s="24">
        <v>1408086</v>
      </c>
      <c r="Z87" s="24"/>
      <c r="AA87" s="24"/>
      <c r="AB87" s="24">
        <v>4247800</v>
      </c>
      <c r="AC87" s="24">
        <v>2333502</v>
      </c>
      <c r="AD87" s="24"/>
      <c r="AE87" s="24">
        <v>595538</v>
      </c>
      <c r="AF87" s="24"/>
      <c r="AG87" s="24">
        <v>1552035</v>
      </c>
      <c r="AH87" s="24"/>
      <c r="AI87" s="24"/>
      <c r="AJ87" s="24">
        <v>1689049</v>
      </c>
      <c r="AK87" s="24"/>
      <c r="AL87" s="24"/>
      <c r="AM87" s="24"/>
      <c r="AN87" s="24"/>
      <c r="AO87" s="24">
        <v>175950</v>
      </c>
      <c r="AP87" s="24">
        <v>29500</v>
      </c>
      <c r="AQ87" s="24"/>
      <c r="AR87" s="24"/>
      <c r="AS87" s="24"/>
      <c r="AT87" s="24"/>
      <c r="AU87" s="24"/>
      <c r="AV87" s="24">
        <v>7709</v>
      </c>
      <c r="AW87" s="29" t="s">
        <v>233</v>
      </c>
      <c r="AX87" s="29" t="s">
        <v>233</v>
      </c>
      <c r="AY87" s="29" t="s">
        <v>233</v>
      </c>
      <c r="AZ87" s="29" t="s">
        <v>233</v>
      </c>
      <c r="BA87" s="29" t="s">
        <v>233</v>
      </c>
      <c r="BB87" s="29" t="s">
        <v>233</v>
      </c>
      <c r="BC87" s="29" t="s">
        <v>233</v>
      </c>
      <c r="BD87" s="29" t="s">
        <v>233</v>
      </c>
      <c r="BE87" s="29" t="s">
        <v>233</v>
      </c>
      <c r="BF87" s="29" t="s">
        <v>233</v>
      </c>
      <c r="BG87" s="29" t="s">
        <v>233</v>
      </c>
      <c r="BH87" s="29" t="s">
        <v>233</v>
      </c>
      <c r="BI87" s="29" t="s">
        <v>233</v>
      </c>
      <c r="BJ87" s="29" t="s">
        <v>233</v>
      </c>
      <c r="BK87" s="29" t="s">
        <v>233</v>
      </c>
      <c r="BL87" s="29" t="s">
        <v>233</v>
      </c>
      <c r="BM87" s="29" t="s">
        <v>233</v>
      </c>
      <c r="BN87" s="29" t="s">
        <v>233</v>
      </c>
      <c r="BO87" s="29" t="s">
        <v>233</v>
      </c>
      <c r="BP87" s="29" t="s">
        <v>233</v>
      </c>
      <c r="BQ87" s="29" t="s">
        <v>233</v>
      </c>
      <c r="BR87" s="29" t="s">
        <v>233</v>
      </c>
      <c r="BS87" s="29" t="s">
        <v>233</v>
      </c>
      <c r="BT87" s="29" t="s">
        <v>233</v>
      </c>
      <c r="BU87" s="29" t="s">
        <v>233</v>
      </c>
      <c r="BV87" s="29" t="s">
        <v>233</v>
      </c>
      <c r="BW87" s="29" t="s">
        <v>233</v>
      </c>
      <c r="BX87" s="29" t="s">
        <v>233</v>
      </c>
      <c r="BY87" s="29" t="s">
        <v>233</v>
      </c>
      <c r="BZ87" s="29" t="s">
        <v>233</v>
      </c>
      <c r="CA87" s="29" t="s">
        <v>233</v>
      </c>
      <c r="CB87" s="29" t="s">
        <v>233</v>
      </c>
      <c r="CC87" s="29" t="s">
        <v>233</v>
      </c>
      <c r="CD87" s="29" t="s">
        <v>233</v>
      </c>
      <c r="CE87" s="32">
        <f t="shared" ref="CE87:CE94" si="14">SUM(C87:CD87)</f>
        <v>45741344</v>
      </c>
    </row>
    <row r="88" spans="1:84" x14ac:dyDescent="0.25">
      <c r="A88" s="26" t="s">
        <v>273</v>
      </c>
      <c r="B88" s="20"/>
      <c r="C88" s="24">
        <v>14083</v>
      </c>
      <c r="D88" s="24"/>
      <c r="E88" s="24">
        <v>1562425</v>
      </c>
      <c r="F88" s="24"/>
      <c r="G88" s="24"/>
      <c r="H88" s="24"/>
      <c r="I88" s="24"/>
      <c r="J88" s="24">
        <v>811</v>
      </c>
      <c r="K88" s="24"/>
      <c r="L88" s="24">
        <v>0</v>
      </c>
      <c r="M88" s="24">
        <v>0</v>
      </c>
      <c r="N88" s="24"/>
      <c r="O88" s="24">
        <v>159320</v>
      </c>
      <c r="P88" s="24">
        <v>25442736</v>
      </c>
      <c r="Q88" s="24">
        <v>5010471</v>
      </c>
      <c r="R88" s="24">
        <v>9120346</v>
      </c>
      <c r="S88" s="24">
        <v>546620</v>
      </c>
      <c r="T88" s="24"/>
      <c r="U88" s="24">
        <v>21375265</v>
      </c>
      <c r="V88" s="24"/>
      <c r="W88" s="24">
        <v>6006226</v>
      </c>
      <c r="X88" s="24">
        <v>17427629</v>
      </c>
      <c r="Y88" s="24">
        <v>16904901</v>
      </c>
      <c r="Z88" s="24"/>
      <c r="AA88" s="24"/>
      <c r="AB88" s="24">
        <v>56016350</v>
      </c>
      <c r="AC88" s="24">
        <v>5010719</v>
      </c>
      <c r="AD88" s="24"/>
      <c r="AE88" s="24">
        <v>10610018</v>
      </c>
      <c r="AF88" s="24"/>
      <c r="AG88" s="24">
        <v>39955851</v>
      </c>
      <c r="AH88" s="24"/>
      <c r="AI88" s="24"/>
      <c r="AJ88" s="24">
        <v>44505624</v>
      </c>
      <c r="AK88" s="24"/>
      <c r="AL88" s="24"/>
      <c r="AM88" s="24"/>
      <c r="AN88" s="24"/>
      <c r="AO88" s="24">
        <v>1025092</v>
      </c>
      <c r="AP88" s="24">
        <v>3329472</v>
      </c>
      <c r="AQ88" s="24"/>
      <c r="AR88" s="24">
        <v>2584946</v>
      </c>
      <c r="AS88" s="24"/>
      <c r="AT88" s="24"/>
      <c r="AU88" s="24"/>
      <c r="AV88" s="24">
        <v>7675598</v>
      </c>
      <c r="AW88" s="29" t="s">
        <v>233</v>
      </c>
      <c r="AX88" s="29" t="s">
        <v>233</v>
      </c>
      <c r="AY88" s="29" t="s">
        <v>233</v>
      </c>
      <c r="AZ88" s="29" t="s">
        <v>233</v>
      </c>
      <c r="BA88" s="29" t="s">
        <v>233</v>
      </c>
      <c r="BB88" s="29" t="s">
        <v>233</v>
      </c>
      <c r="BC88" s="29" t="s">
        <v>233</v>
      </c>
      <c r="BD88" s="29" t="s">
        <v>233</v>
      </c>
      <c r="BE88" s="29" t="s">
        <v>233</v>
      </c>
      <c r="BF88" s="29" t="s">
        <v>233</v>
      </c>
      <c r="BG88" s="29" t="s">
        <v>233</v>
      </c>
      <c r="BH88" s="29" t="s">
        <v>233</v>
      </c>
      <c r="BI88" s="29" t="s">
        <v>233</v>
      </c>
      <c r="BJ88" s="29" t="s">
        <v>233</v>
      </c>
      <c r="BK88" s="29" t="s">
        <v>233</v>
      </c>
      <c r="BL88" s="29" t="s">
        <v>233</v>
      </c>
      <c r="BM88" s="29" t="s">
        <v>233</v>
      </c>
      <c r="BN88" s="29" t="s">
        <v>233</v>
      </c>
      <c r="BO88" s="29" t="s">
        <v>233</v>
      </c>
      <c r="BP88" s="29" t="s">
        <v>233</v>
      </c>
      <c r="BQ88" s="29" t="s">
        <v>233</v>
      </c>
      <c r="BR88" s="29" t="s">
        <v>233</v>
      </c>
      <c r="BS88" s="29" t="s">
        <v>233</v>
      </c>
      <c r="BT88" s="29" t="s">
        <v>233</v>
      </c>
      <c r="BU88" s="29" t="s">
        <v>233</v>
      </c>
      <c r="BV88" s="29" t="s">
        <v>233</v>
      </c>
      <c r="BW88" s="29" t="s">
        <v>233</v>
      </c>
      <c r="BX88" s="29" t="s">
        <v>233</v>
      </c>
      <c r="BY88" s="29" t="s">
        <v>233</v>
      </c>
      <c r="BZ88" s="29" t="s">
        <v>233</v>
      </c>
      <c r="CA88" s="29" t="s">
        <v>233</v>
      </c>
      <c r="CB88" s="29" t="s">
        <v>233</v>
      </c>
      <c r="CC88" s="29" t="s">
        <v>233</v>
      </c>
      <c r="CD88" s="29" t="s">
        <v>233</v>
      </c>
      <c r="CE88" s="32">
        <f t="shared" si="14"/>
        <v>274284503</v>
      </c>
    </row>
    <row r="89" spans="1:84" x14ac:dyDescent="0.25">
      <c r="A89" s="26" t="s">
        <v>274</v>
      </c>
      <c r="B89" s="20"/>
      <c r="C89" s="32">
        <f>C87+C88</f>
        <v>4030399</v>
      </c>
      <c r="D89" s="32">
        <f t="shared" ref="D89:AV89" si="15">D87+D88</f>
        <v>0</v>
      </c>
      <c r="E89" s="32">
        <f t="shared" si="15"/>
        <v>13055978</v>
      </c>
      <c r="F89" s="32">
        <f t="shared" si="15"/>
        <v>0</v>
      </c>
      <c r="G89" s="32">
        <f t="shared" si="15"/>
        <v>0</v>
      </c>
      <c r="H89" s="32">
        <f t="shared" si="15"/>
        <v>0</v>
      </c>
      <c r="I89" s="32">
        <f t="shared" si="15"/>
        <v>0</v>
      </c>
      <c r="J89" s="32">
        <f t="shared" si="15"/>
        <v>267750</v>
      </c>
      <c r="K89" s="32">
        <f t="shared" si="15"/>
        <v>0</v>
      </c>
      <c r="L89" s="32">
        <f t="shared" si="15"/>
        <v>171093</v>
      </c>
      <c r="M89" s="32">
        <f t="shared" si="15"/>
        <v>3316315</v>
      </c>
      <c r="N89" s="32">
        <f t="shared" si="15"/>
        <v>0</v>
      </c>
      <c r="O89" s="32">
        <f t="shared" si="15"/>
        <v>980016</v>
      </c>
      <c r="P89" s="32">
        <f t="shared" si="15"/>
        <v>32227515</v>
      </c>
      <c r="Q89" s="32">
        <f t="shared" si="15"/>
        <v>5468788</v>
      </c>
      <c r="R89" s="32">
        <f t="shared" si="15"/>
        <v>11510957</v>
      </c>
      <c r="S89" s="32">
        <f t="shared" si="15"/>
        <v>550395</v>
      </c>
      <c r="T89" s="32">
        <f t="shared" si="15"/>
        <v>0</v>
      </c>
      <c r="U89" s="32">
        <f t="shared" si="15"/>
        <v>23561232</v>
      </c>
      <c r="V89" s="32">
        <f t="shared" si="15"/>
        <v>0</v>
      </c>
      <c r="W89" s="32">
        <f t="shared" si="15"/>
        <v>6345989</v>
      </c>
      <c r="X89" s="32">
        <f t="shared" si="15"/>
        <v>18881680</v>
      </c>
      <c r="Y89" s="32">
        <f t="shared" si="15"/>
        <v>18312987</v>
      </c>
      <c r="Z89" s="32">
        <f t="shared" si="15"/>
        <v>0</v>
      </c>
      <c r="AA89" s="32">
        <f t="shared" si="15"/>
        <v>0</v>
      </c>
      <c r="AB89" s="32">
        <f t="shared" si="15"/>
        <v>60264150</v>
      </c>
      <c r="AC89" s="32">
        <f t="shared" si="15"/>
        <v>7344221</v>
      </c>
      <c r="AD89" s="32">
        <f t="shared" si="15"/>
        <v>0</v>
      </c>
      <c r="AE89" s="32">
        <f t="shared" si="15"/>
        <v>11205556</v>
      </c>
      <c r="AF89" s="32">
        <f t="shared" si="15"/>
        <v>0</v>
      </c>
      <c r="AG89" s="32">
        <f t="shared" si="15"/>
        <v>41507886</v>
      </c>
      <c r="AH89" s="32">
        <f t="shared" si="15"/>
        <v>0</v>
      </c>
      <c r="AI89" s="32">
        <f t="shared" si="15"/>
        <v>0</v>
      </c>
      <c r="AJ89" s="32">
        <f t="shared" si="15"/>
        <v>46194673</v>
      </c>
      <c r="AK89" s="32">
        <f t="shared" si="15"/>
        <v>0</v>
      </c>
      <c r="AL89" s="32">
        <f t="shared" si="15"/>
        <v>0</v>
      </c>
      <c r="AM89" s="32">
        <f t="shared" si="15"/>
        <v>0</v>
      </c>
      <c r="AN89" s="32">
        <f t="shared" si="15"/>
        <v>0</v>
      </c>
      <c r="AO89" s="32">
        <f t="shared" si="15"/>
        <v>1201042</v>
      </c>
      <c r="AP89" s="32">
        <f t="shared" si="15"/>
        <v>3358972</v>
      </c>
      <c r="AQ89" s="32">
        <f t="shared" si="15"/>
        <v>0</v>
      </c>
      <c r="AR89" s="32">
        <f t="shared" si="15"/>
        <v>2584946</v>
      </c>
      <c r="AS89" s="32">
        <f t="shared" si="15"/>
        <v>0</v>
      </c>
      <c r="AT89" s="32">
        <f t="shared" si="15"/>
        <v>0</v>
      </c>
      <c r="AU89" s="32">
        <f t="shared" si="15"/>
        <v>0</v>
      </c>
      <c r="AV89" s="32">
        <f t="shared" si="15"/>
        <v>7683307</v>
      </c>
      <c r="AW89" s="29" t="s">
        <v>233</v>
      </c>
      <c r="AX89" s="29" t="s">
        <v>233</v>
      </c>
      <c r="AY89" s="29" t="s">
        <v>233</v>
      </c>
      <c r="AZ89" s="29" t="s">
        <v>233</v>
      </c>
      <c r="BA89" s="29" t="s">
        <v>233</v>
      </c>
      <c r="BB89" s="29" t="s">
        <v>233</v>
      </c>
      <c r="BC89" s="29" t="s">
        <v>233</v>
      </c>
      <c r="BD89" s="29" t="s">
        <v>233</v>
      </c>
      <c r="BE89" s="29" t="s">
        <v>233</v>
      </c>
      <c r="BF89" s="29" t="s">
        <v>233</v>
      </c>
      <c r="BG89" s="29" t="s">
        <v>233</v>
      </c>
      <c r="BH89" s="29" t="s">
        <v>233</v>
      </c>
      <c r="BI89" s="29" t="s">
        <v>233</v>
      </c>
      <c r="BJ89" s="29" t="s">
        <v>233</v>
      </c>
      <c r="BK89" s="29" t="s">
        <v>233</v>
      </c>
      <c r="BL89" s="29" t="s">
        <v>233</v>
      </c>
      <c r="BM89" s="29" t="s">
        <v>233</v>
      </c>
      <c r="BN89" s="29" t="s">
        <v>233</v>
      </c>
      <c r="BO89" s="29" t="s">
        <v>233</v>
      </c>
      <c r="BP89" s="29" t="s">
        <v>233</v>
      </c>
      <c r="BQ89" s="29" t="s">
        <v>233</v>
      </c>
      <c r="BR89" s="29" t="s">
        <v>233</v>
      </c>
      <c r="BS89" s="29" t="s">
        <v>233</v>
      </c>
      <c r="BT89" s="29" t="s">
        <v>233</v>
      </c>
      <c r="BU89" s="29" t="s">
        <v>233</v>
      </c>
      <c r="BV89" s="29" t="s">
        <v>233</v>
      </c>
      <c r="BW89" s="29" t="s">
        <v>233</v>
      </c>
      <c r="BX89" s="29" t="s">
        <v>233</v>
      </c>
      <c r="BY89" s="29" t="s">
        <v>233</v>
      </c>
      <c r="BZ89" s="29" t="s">
        <v>233</v>
      </c>
      <c r="CA89" s="29" t="s">
        <v>233</v>
      </c>
      <c r="CB89" s="29" t="s">
        <v>233</v>
      </c>
      <c r="CC89" s="29" t="s">
        <v>233</v>
      </c>
      <c r="CD89" s="29" t="s">
        <v>233</v>
      </c>
      <c r="CE89" s="32">
        <f t="shared" si="14"/>
        <v>320025847</v>
      </c>
    </row>
    <row r="90" spans="1:84" x14ac:dyDescent="0.25">
      <c r="A90" s="39" t="s">
        <v>275</v>
      </c>
      <c r="B90" s="32"/>
      <c r="C90" s="24">
        <v>2605</v>
      </c>
      <c r="D90" s="24"/>
      <c r="E90" s="24">
        <v>9752</v>
      </c>
      <c r="F90" s="24"/>
      <c r="G90" s="24"/>
      <c r="H90" s="24"/>
      <c r="I90" s="24"/>
      <c r="J90" s="24">
        <v>388</v>
      </c>
      <c r="K90" s="24"/>
      <c r="L90" s="24">
        <v>227</v>
      </c>
      <c r="M90" s="24"/>
      <c r="N90" s="24"/>
      <c r="O90" s="24">
        <v>150</v>
      </c>
      <c r="P90" s="24">
        <v>11952</v>
      </c>
      <c r="Q90" s="24">
        <v>589</v>
      </c>
      <c r="R90" s="24">
        <v>136</v>
      </c>
      <c r="S90" s="24">
        <v>3208</v>
      </c>
      <c r="T90" s="24"/>
      <c r="U90" s="24">
        <v>3937</v>
      </c>
      <c r="V90" s="24"/>
      <c r="W90" s="24">
        <v>439</v>
      </c>
      <c r="X90" s="24">
        <v>1258</v>
      </c>
      <c r="Y90" s="24">
        <v>4821</v>
      </c>
      <c r="Z90" s="24"/>
      <c r="AA90" s="24">
        <v>87</v>
      </c>
      <c r="AB90" s="24">
        <v>1507</v>
      </c>
      <c r="AC90" s="24">
        <v>3820</v>
      </c>
      <c r="AD90" s="24"/>
      <c r="AE90" s="24">
        <v>6488</v>
      </c>
      <c r="AF90" s="24"/>
      <c r="AG90" s="24">
        <v>6350</v>
      </c>
      <c r="AH90" s="24"/>
      <c r="AI90" s="24"/>
      <c r="AJ90" s="24">
        <v>38403</v>
      </c>
      <c r="AK90" s="24"/>
      <c r="AL90" s="24"/>
      <c r="AM90" s="24"/>
      <c r="AN90" s="24"/>
      <c r="AO90" s="24">
        <v>994</v>
      </c>
      <c r="AP90" s="24"/>
      <c r="AQ90" s="24"/>
      <c r="AR90" s="24"/>
      <c r="AS90" s="24"/>
      <c r="AT90" s="24"/>
      <c r="AU90" s="24"/>
      <c r="AV90" s="24">
        <v>3886</v>
      </c>
      <c r="AW90" s="24"/>
      <c r="AX90" s="24"/>
      <c r="AY90" s="24"/>
      <c r="AZ90" s="24">
        <v>4293</v>
      </c>
      <c r="BA90" s="24"/>
      <c r="BB90" s="24"/>
      <c r="BC90" s="24"/>
      <c r="BD90" s="24"/>
      <c r="BE90" s="24">
        <v>12789</v>
      </c>
      <c r="BF90" s="24">
        <v>3241</v>
      </c>
      <c r="BG90" s="24"/>
      <c r="BH90" s="24">
        <v>5603</v>
      </c>
      <c r="BI90" s="24"/>
      <c r="BJ90" s="24"/>
      <c r="BK90" s="24">
        <v>1644</v>
      </c>
      <c r="BL90" s="24">
        <v>1981</v>
      </c>
      <c r="BM90" s="24"/>
      <c r="BN90" s="24"/>
      <c r="BO90" s="24">
        <v>243</v>
      </c>
      <c r="BP90" s="24"/>
      <c r="BQ90" s="24"/>
      <c r="BR90" s="24">
        <v>1355</v>
      </c>
      <c r="BS90" s="24"/>
      <c r="BT90" s="24"/>
      <c r="BU90" s="24"/>
      <c r="BV90" s="24"/>
      <c r="BW90" s="24"/>
      <c r="BX90" s="24"/>
      <c r="BY90" s="24">
        <v>1786</v>
      </c>
      <c r="BZ90" s="24"/>
      <c r="CA90" s="24"/>
      <c r="CB90" s="24"/>
      <c r="CC90" s="24">
        <v>15318</v>
      </c>
      <c r="CD90" s="257" t="s">
        <v>233</v>
      </c>
      <c r="CE90" s="32">
        <f t="shared" si="14"/>
        <v>149250</v>
      </c>
      <c r="CF90" s="32">
        <f>BE59-CE90</f>
        <v>-2</v>
      </c>
    </row>
    <row r="91" spans="1:84" x14ac:dyDescent="0.25">
      <c r="A91" s="26" t="s">
        <v>276</v>
      </c>
      <c r="B91" s="20"/>
      <c r="C91" s="24">
        <v>1234</v>
      </c>
      <c r="D91" s="24"/>
      <c r="E91" s="24">
        <v>15263</v>
      </c>
      <c r="F91" s="24"/>
      <c r="G91" s="24"/>
      <c r="H91" s="24"/>
      <c r="I91" s="24"/>
      <c r="J91" s="24"/>
      <c r="K91" s="24"/>
      <c r="L91" s="24">
        <v>355</v>
      </c>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314" t="s">
        <v>233</v>
      </c>
      <c r="AY91" s="314" t="s">
        <v>233</v>
      </c>
      <c r="AZ91" s="24"/>
      <c r="BA91" s="24"/>
      <c r="BB91" s="24"/>
      <c r="BC91" s="24"/>
      <c r="BD91" s="29" t="s">
        <v>233</v>
      </c>
      <c r="BE91" s="29" t="s">
        <v>233</v>
      </c>
      <c r="BF91" s="24"/>
      <c r="BG91" s="29" t="s">
        <v>233</v>
      </c>
      <c r="BH91" s="24"/>
      <c r="BI91" s="24"/>
      <c r="BJ91" s="29" t="s">
        <v>233</v>
      </c>
      <c r="BK91" s="24"/>
      <c r="BL91" s="24"/>
      <c r="BM91" s="24"/>
      <c r="BN91" s="29" t="s">
        <v>233</v>
      </c>
      <c r="BO91" s="29" t="s">
        <v>233</v>
      </c>
      <c r="BP91" s="29" t="s">
        <v>233</v>
      </c>
      <c r="BQ91" s="29" t="s">
        <v>233</v>
      </c>
      <c r="BR91" s="24"/>
      <c r="BS91" s="24"/>
      <c r="BT91" s="24"/>
      <c r="BU91" s="24"/>
      <c r="BV91" s="24"/>
      <c r="BW91" s="24"/>
      <c r="BX91" s="24"/>
      <c r="BY91" s="24"/>
      <c r="BZ91" s="24"/>
      <c r="CA91" s="24"/>
      <c r="CB91" s="24"/>
      <c r="CC91" s="29" t="s">
        <v>233</v>
      </c>
      <c r="CD91" s="29" t="s">
        <v>233</v>
      </c>
      <c r="CE91" s="32">
        <f t="shared" si="14"/>
        <v>16852</v>
      </c>
      <c r="CF91" s="32">
        <f>AY59-CE91</f>
        <v>0</v>
      </c>
    </row>
    <row r="92" spans="1:84" x14ac:dyDescent="0.25">
      <c r="A92" s="26" t="s">
        <v>277</v>
      </c>
      <c r="B92" s="20"/>
      <c r="C92" s="24">
        <v>190</v>
      </c>
      <c r="D92" s="24"/>
      <c r="E92" s="24">
        <v>660</v>
      </c>
      <c r="F92" s="24"/>
      <c r="G92" s="24"/>
      <c r="H92" s="24"/>
      <c r="I92" s="24"/>
      <c r="J92" s="24">
        <v>26</v>
      </c>
      <c r="K92" s="24"/>
      <c r="L92" s="24">
        <v>15</v>
      </c>
      <c r="M92" s="24"/>
      <c r="N92" s="24"/>
      <c r="O92" s="24">
        <v>10</v>
      </c>
      <c r="P92" s="24">
        <v>440</v>
      </c>
      <c r="Q92" s="24">
        <v>107</v>
      </c>
      <c r="R92" s="24">
        <v>0</v>
      </c>
      <c r="S92" s="24">
        <v>30</v>
      </c>
      <c r="T92" s="24"/>
      <c r="U92" s="24">
        <v>105</v>
      </c>
      <c r="V92" s="24"/>
      <c r="W92" s="24">
        <v>10</v>
      </c>
      <c r="X92" s="24">
        <v>29</v>
      </c>
      <c r="Y92" s="24">
        <v>112</v>
      </c>
      <c r="Z92" s="24"/>
      <c r="AA92" s="24">
        <v>2</v>
      </c>
      <c r="AB92" s="24">
        <v>80</v>
      </c>
      <c r="AC92" s="24">
        <v>125</v>
      </c>
      <c r="AD92" s="24"/>
      <c r="AE92" s="24">
        <v>160</v>
      </c>
      <c r="AF92" s="24"/>
      <c r="AG92" s="24">
        <v>240</v>
      </c>
      <c r="AH92" s="24"/>
      <c r="AI92" s="24"/>
      <c r="AJ92" s="24">
        <v>433</v>
      </c>
      <c r="AK92" s="24"/>
      <c r="AL92" s="24"/>
      <c r="AM92" s="24"/>
      <c r="AN92" s="24"/>
      <c r="AO92" s="24">
        <v>67</v>
      </c>
      <c r="AP92" s="24">
        <v>0</v>
      </c>
      <c r="AQ92" s="24"/>
      <c r="AR92" s="24"/>
      <c r="AS92" s="24"/>
      <c r="AT92" s="24"/>
      <c r="AU92" s="24"/>
      <c r="AV92" s="24">
        <v>200</v>
      </c>
      <c r="AW92" s="24"/>
      <c r="AX92" s="314" t="s">
        <v>233</v>
      </c>
      <c r="AY92" s="314" t="s">
        <v>233</v>
      </c>
      <c r="AZ92" s="29" t="s">
        <v>233</v>
      </c>
      <c r="BA92" s="24"/>
      <c r="BB92" s="24"/>
      <c r="BC92" s="24"/>
      <c r="BD92" s="29" t="s">
        <v>233</v>
      </c>
      <c r="BE92" s="29" t="s">
        <v>233</v>
      </c>
      <c r="BF92" s="29" t="s">
        <v>233</v>
      </c>
      <c r="BG92" s="29" t="s">
        <v>233</v>
      </c>
      <c r="BH92" s="24">
        <v>12</v>
      </c>
      <c r="BI92" s="24"/>
      <c r="BJ92" s="29" t="s">
        <v>233</v>
      </c>
      <c r="BK92" s="24">
        <v>15</v>
      </c>
      <c r="BL92" s="24">
        <v>15</v>
      </c>
      <c r="BM92" s="24"/>
      <c r="BN92" s="29" t="s">
        <v>233</v>
      </c>
      <c r="BO92" s="29" t="s">
        <v>233</v>
      </c>
      <c r="BP92" s="29" t="s">
        <v>233</v>
      </c>
      <c r="BQ92" s="29" t="s">
        <v>233</v>
      </c>
      <c r="BR92" s="29" t="s">
        <v>233</v>
      </c>
      <c r="BS92" s="24"/>
      <c r="BT92" s="24"/>
      <c r="BU92" s="24"/>
      <c r="BV92" s="24"/>
      <c r="BW92" s="24"/>
      <c r="BX92" s="24"/>
      <c r="BY92" s="24">
        <v>4</v>
      </c>
      <c r="BZ92" s="24"/>
      <c r="CA92" s="24"/>
      <c r="CB92" s="24"/>
      <c r="CC92" s="29" t="s">
        <v>233</v>
      </c>
      <c r="CD92" s="29" t="s">
        <v>233</v>
      </c>
      <c r="CE92" s="32">
        <f t="shared" si="14"/>
        <v>3087</v>
      </c>
      <c r="CF92" s="20"/>
    </row>
    <row r="93" spans="1:84" x14ac:dyDescent="0.25">
      <c r="A93" s="26" t="s">
        <v>278</v>
      </c>
      <c r="B93" s="20"/>
      <c r="C93" s="24">
        <v>13901</v>
      </c>
      <c r="D93" s="24"/>
      <c r="E93" s="24">
        <v>47825</v>
      </c>
      <c r="F93" s="24"/>
      <c r="G93" s="24"/>
      <c r="H93" s="24"/>
      <c r="I93" s="24"/>
      <c r="J93" s="24">
        <v>1904</v>
      </c>
      <c r="K93" s="24"/>
      <c r="L93" s="24">
        <v>1112</v>
      </c>
      <c r="M93" s="24"/>
      <c r="N93" s="24"/>
      <c r="O93" s="24">
        <v>733</v>
      </c>
      <c r="P93" s="24">
        <v>37239</v>
      </c>
      <c r="Q93" s="24">
        <v>8069</v>
      </c>
      <c r="R93" s="24">
        <v>8381</v>
      </c>
      <c r="S93" s="24"/>
      <c r="T93" s="24"/>
      <c r="U93" s="24">
        <v>52</v>
      </c>
      <c r="V93" s="24"/>
      <c r="W93" s="24">
        <v>2193</v>
      </c>
      <c r="X93" s="24">
        <v>6282</v>
      </c>
      <c r="Y93" s="24">
        <v>24073</v>
      </c>
      <c r="Z93" s="24"/>
      <c r="AA93" s="24">
        <v>433</v>
      </c>
      <c r="AB93" s="24"/>
      <c r="AC93" s="24">
        <v>4915</v>
      </c>
      <c r="AD93" s="24"/>
      <c r="AE93" s="24">
        <v>25647</v>
      </c>
      <c r="AF93" s="24"/>
      <c r="AG93" s="24">
        <v>63339</v>
      </c>
      <c r="AH93" s="24"/>
      <c r="AI93" s="24"/>
      <c r="AJ93" s="24">
        <v>25122</v>
      </c>
      <c r="AK93" s="24"/>
      <c r="AL93" s="24"/>
      <c r="AM93" s="24"/>
      <c r="AN93" s="24"/>
      <c r="AO93" s="24">
        <v>4872</v>
      </c>
      <c r="AP93" s="24"/>
      <c r="AQ93" s="24"/>
      <c r="AR93" s="24"/>
      <c r="AS93" s="24"/>
      <c r="AT93" s="24"/>
      <c r="AU93" s="24"/>
      <c r="AV93" s="24"/>
      <c r="AW93" s="24"/>
      <c r="AX93" s="314" t="s">
        <v>233</v>
      </c>
      <c r="AY93" s="314" t="s">
        <v>233</v>
      </c>
      <c r="AZ93" s="29" t="s">
        <v>233</v>
      </c>
      <c r="BA93" s="29" t="s">
        <v>233</v>
      </c>
      <c r="BB93" s="24"/>
      <c r="BC93" s="24"/>
      <c r="BD93" s="29" t="s">
        <v>233</v>
      </c>
      <c r="BE93" s="29" t="s">
        <v>233</v>
      </c>
      <c r="BF93" s="29" t="s">
        <v>233</v>
      </c>
      <c r="BG93" s="29" t="s">
        <v>233</v>
      </c>
      <c r="BH93" s="24">
        <v>3116</v>
      </c>
      <c r="BI93" s="24"/>
      <c r="BJ93" s="29" t="s">
        <v>233</v>
      </c>
      <c r="BK93" s="24"/>
      <c r="BL93" s="24"/>
      <c r="BM93" s="24"/>
      <c r="BN93" s="29" t="s">
        <v>233</v>
      </c>
      <c r="BO93" s="29" t="s">
        <v>233</v>
      </c>
      <c r="BP93" s="29" t="s">
        <v>233</v>
      </c>
      <c r="BQ93" s="29" t="s">
        <v>233</v>
      </c>
      <c r="BR93" s="29" t="s">
        <v>233</v>
      </c>
      <c r="BS93" s="24"/>
      <c r="BT93" s="24"/>
      <c r="BU93" s="24"/>
      <c r="BV93" s="24"/>
      <c r="BW93" s="24"/>
      <c r="BX93" s="24"/>
      <c r="BY93" s="24"/>
      <c r="BZ93" s="24"/>
      <c r="CA93" s="24"/>
      <c r="CB93" s="24"/>
      <c r="CC93" s="29" t="s">
        <v>233</v>
      </c>
      <c r="CD93" s="29" t="s">
        <v>233</v>
      </c>
      <c r="CE93" s="32">
        <f t="shared" si="14"/>
        <v>279208</v>
      </c>
      <c r="CF93" s="32">
        <f>BA59-CE93</f>
        <v>0</v>
      </c>
    </row>
    <row r="94" spans="1:84" x14ac:dyDescent="0.25">
      <c r="A94" s="26" t="s">
        <v>279</v>
      </c>
      <c r="B94" s="20"/>
      <c r="C94" s="308">
        <v>6.93</v>
      </c>
      <c r="D94" s="308"/>
      <c r="E94" s="308">
        <v>35.590000000000003</v>
      </c>
      <c r="F94" s="308"/>
      <c r="G94" s="308"/>
      <c r="H94" s="308"/>
      <c r="I94" s="308"/>
      <c r="J94" s="308">
        <v>1.42</v>
      </c>
      <c r="K94" s="308"/>
      <c r="L94" s="308">
        <v>0.83</v>
      </c>
      <c r="M94" s="308">
        <v>0</v>
      </c>
      <c r="N94" s="308">
        <v>0</v>
      </c>
      <c r="O94" s="308">
        <v>0.55000000000000004</v>
      </c>
      <c r="P94" s="309">
        <v>7.22</v>
      </c>
      <c r="Q94" s="309">
        <v>5.0999999999999996</v>
      </c>
      <c r="R94" s="309">
        <v>11.05</v>
      </c>
      <c r="S94" s="310"/>
      <c r="T94" s="310"/>
      <c r="U94" s="311"/>
      <c r="V94" s="309"/>
      <c r="W94" s="309"/>
      <c r="X94" s="309"/>
      <c r="Y94" s="309"/>
      <c r="Z94" s="309"/>
      <c r="AA94" s="309"/>
      <c r="AB94" s="310"/>
      <c r="AC94" s="309">
        <v>0.39</v>
      </c>
      <c r="AD94" s="309"/>
      <c r="AE94" s="309"/>
      <c r="AF94" s="309"/>
      <c r="AG94" s="309">
        <v>15.57</v>
      </c>
      <c r="AH94" s="309"/>
      <c r="AI94" s="309"/>
      <c r="AJ94" s="309">
        <v>3.02</v>
      </c>
      <c r="AK94" s="309"/>
      <c r="AL94" s="309"/>
      <c r="AM94" s="309"/>
      <c r="AN94" s="309"/>
      <c r="AO94" s="309">
        <v>3.63</v>
      </c>
      <c r="AP94" s="309"/>
      <c r="AQ94" s="309"/>
      <c r="AR94" s="309"/>
      <c r="AS94" s="309"/>
      <c r="AT94" s="309"/>
      <c r="AU94" s="309"/>
      <c r="AV94" s="310">
        <v>1.46</v>
      </c>
      <c r="AW94" s="314" t="s">
        <v>233</v>
      </c>
      <c r="AX94" s="314" t="s">
        <v>233</v>
      </c>
      <c r="AY94" s="314" t="s">
        <v>233</v>
      </c>
      <c r="AZ94" s="29" t="s">
        <v>233</v>
      </c>
      <c r="BA94" s="29" t="s">
        <v>233</v>
      </c>
      <c r="BB94" s="29" t="s">
        <v>233</v>
      </c>
      <c r="BC94" s="29" t="s">
        <v>233</v>
      </c>
      <c r="BD94" s="29" t="s">
        <v>233</v>
      </c>
      <c r="BE94" s="29" t="s">
        <v>233</v>
      </c>
      <c r="BF94" s="29" t="s">
        <v>233</v>
      </c>
      <c r="BG94" s="29" t="s">
        <v>233</v>
      </c>
      <c r="BH94" s="29" t="s">
        <v>233</v>
      </c>
      <c r="BI94" s="29" t="s">
        <v>233</v>
      </c>
      <c r="BJ94" s="29" t="s">
        <v>233</v>
      </c>
      <c r="BK94" s="29" t="s">
        <v>233</v>
      </c>
      <c r="BL94" s="29" t="s">
        <v>233</v>
      </c>
      <c r="BM94" s="29" t="s">
        <v>233</v>
      </c>
      <c r="BN94" s="29" t="s">
        <v>233</v>
      </c>
      <c r="BO94" s="29" t="s">
        <v>233</v>
      </c>
      <c r="BP94" s="29" t="s">
        <v>233</v>
      </c>
      <c r="BQ94" s="29" t="s">
        <v>233</v>
      </c>
      <c r="BR94" s="29" t="s">
        <v>233</v>
      </c>
      <c r="BS94" s="29" t="s">
        <v>233</v>
      </c>
      <c r="BT94" s="29" t="s">
        <v>233</v>
      </c>
      <c r="BU94" s="315"/>
      <c r="BV94" s="315"/>
      <c r="BW94" s="315"/>
      <c r="BX94" s="315"/>
      <c r="BY94" s="315"/>
      <c r="BZ94" s="315"/>
      <c r="CA94" s="315"/>
      <c r="CB94" s="315"/>
      <c r="CC94" s="29" t="s">
        <v>233</v>
      </c>
      <c r="CD94" s="29" t="s">
        <v>233</v>
      </c>
      <c r="CE94" s="260">
        <f t="shared" si="14"/>
        <v>92.759999999999991</v>
      </c>
      <c r="CF94" s="37"/>
    </row>
    <row r="95" spans="1:84" x14ac:dyDescent="0.25">
      <c r="A95" s="38" t="s">
        <v>280</v>
      </c>
      <c r="B95" s="38"/>
      <c r="C95" s="38"/>
      <c r="D95" s="38"/>
      <c r="E95" s="38"/>
    </row>
    <row r="96" spans="1:84" x14ac:dyDescent="0.25">
      <c r="A96" s="39" t="s">
        <v>281</v>
      </c>
      <c r="B96" s="40"/>
      <c r="C96" s="316" t="s">
        <v>1372</v>
      </c>
      <c r="D96" s="42"/>
      <c r="E96" s="43"/>
      <c r="F96" s="16"/>
    </row>
    <row r="97" spans="1:6" x14ac:dyDescent="0.25">
      <c r="A97" s="32" t="s">
        <v>283</v>
      </c>
      <c r="B97" s="40" t="s">
        <v>284</v>
      </c>
      <c r="C97" s="317" t="s">
        <v>1361</v>
      </c>
      <c r="D97" s="42"/>
      <c r="E97" s="43"/>
      <c r="F97" s="16"/>
    </row>
    <row r="98" spans="1:6" x14ac:dyDescent="0.25">
      <c r="A98" s="32" t="s">
        <v>285</v>
      </c>
      <c r="B98" s="40" t="s">
        <v>284</v>
      </c>
      <c r="C98" s="41" t="s">
        <v>1362</v>
      </c>
      <c r="D98" s="42"/>
      <c r="E98" s="43"/>
      <c r="F98" s="16"/>
    </row>
    <row r="99" spans="1:6" x14ac:dyDescent="0.25">
      <c r="A99" s="32" t="s">
        <v>286</v>
      </c>
      <c r="B99" s="40" t="s">
        <v>284</v>
      </c>
      <c r="C99" s="335" t="s">
        <v>1363</v>
      </c>
      <c r="D99" s="42"/>
      <c r="E99" s="43"/>
      <c r="F99" s="16"/>
    </row>
    <row r="100" spans="1:6" x14ac:dyDescent="0.25">
      <c r="A100" s="32" t="s">
        <v>287</v>
      </c>
      <c r="B100" s="40" t="s">
        <v>284</v>
      </c>
      <c r="C100" s="335" t="s">
        <v>1364</v>
      </c>
      <c r="D100" s="42"/>
      <c r="E100" s="43"/>
      <c r="F100" s="16"/>
    </row>
    <row r="101" spans="1:6" x14ac:dyDescent="0.25">
      <c r="A101" s="32" t="s">
        <v>288</v>
      </c>
      <c r="B101" s="40" t="s">
        <v>284</v>
      </c>
      <c r="C101" s="41" t="s">
        <v>1365</v>
      </c>
      <c r="D101" s="42"/>
      <c r="E101" s="43"/>
      <c r="F101" s="16"/>
    </row>
    <row r="102" spans="1:6" x14ac:dyDescent="0.25">
      <c r="A102" s="32" t="s">
        <v>289</v>
      </c>
      <c r="B102" s="40" t="s">
        <v>284</v>
      </c>
      <c r="C102" s="318">
        <v>98368</v>
      </c>
      <c r="D102" s="42"/>
      <c r="E102" s="43"/>
      <c r="F102" s="16"/>
    </row>
    <row r="103" spans="1:6" x14ac:dyDescent="0.25">
      <c r="A103" s="32" t="s">
        <v>290</v>
      </c>
      <c r="B103" s="40" t="s">
        <v>284</v>
      </c>
      <c r="C103" s="41" t="s">
        <v>1375</v>
      </c>
      <c r="D103" s="42"/>
      <c r="E103" s="43"/>
      <c r="F103" s="16"/>
    </row>
    <row r="104" spans="1:6" x14ac:dyDescent="0.25">
      <c r="A104" s="32" t="s">
        <v>291</v>
      </c>
      <c r="B104" s="40" t="s">
        <v>284</v>
      </c>
      <c r="C104" s="213" t="s">
        <v>1367</v>
      </c>
      <c r="D104" s="42"/>
      <c r="E104" s="43"/>
      <c r="F104" s="16"/>
    </row>
    <row r="105" spans="1:6" x14ac:dyDescent="0.25">
      <c r="A105" s="32" t="s">
        <v>292</v>
      </c>
      <c r="B105" s="40" t="s">
        <v>284</v>
      </c>
      <c r="C105" s="213" t="s">
        <v>1368</v>
      </c>
      <c r="D105" s="42"/>
      <c r="E105" s="43"/>
      <c r="F105" s="16"/>
    </row>
    <row r="106" spans="1:6" x14ac:dyDescent="0.25">
      <c r="A106" s="32" t="s">
        <v>293</v>
      </c>
      <c r="B106" s="40" t="s">
        <v>284</v>
      </c>
      <c r="C106" s="213" t="s">
        <v>1369</v>
      </c>
      <c r="D106" s="42"/>
      <c r="E106" s="43"/>
      <c r="F106" s="16"/>
    </row>
    <row r="107" spans="1:6" x14ac:dyDescent="0.25">
      <c r="A107" s="32" t="s">
        <v>294</v>
      </c>
      <c r="B107" s="40" t="s">
        <v>284</v>
      </c>
      <c r="C107" s="337" t="s">
        <v>1370</v>
      </c>
      <c r="D107" s="42"/>
      <c r="E107" s="43"/>
      <c r="F107" s="16"/>
    </row>
    <row r="108" spans="1:6" x14ac:dyDescent="0.25">
      <c r="A108" s="32" t="s">
        <v>295</v>
      </c>
      <c r="B108" s="40" t="s">
        <v>284</v>
      </c>
      <c r="C108" s="338" t="s">
        <v>1371</v>
      </c>
      <c r="D108" s="42"/>
      <c r="E108" s="43"/>
      <c r="F108" s="16"/>
    </row>
    <row r="109" spans="1:6" x14ac:dyDescent="0.25">
      <c r="A109" s="44" t="s">
        <v>296</v>
      </c>
      <c r="B109" s="40" t="s">
        <v>284</v>
      </c>
      <c r="C109" s="41" t="s">
        <v>1373</v>
      </c>
      <c r="D109" s="42"/>
      <c r="E109" s="43"/>
      <c r="F109" s="16"/>
    </row>
    <row r="110" spans="1:6" x14ac:dyDescent="0.25">
      <c r="A110" s="44" t="s">
        <v>297</v>
      </c>
      <c r="B110" s="40" t="s">
        <v>284</v>
      </c>
      <c r="C110" s="336" t="s">
        <v>1374</v>
      </c>
      <c r="D110" s="42"/>
      <c r="E110" s="43"/>
      <c r="F110" s="16"/>
    </row>
    <row r="111" spans="1:6" x14ac:dyDescent="0.25">
      <c r="A111" s="38" t="s">
        <v>298</v>
      </c>
      <c r="B111" s="38"/>
      <c r="C111" s="38"/>
      <c r="D111" s="38"/>
      <c r="E111" s="38"/>
    </row>
    <row r="112" spans="1:6" x14ac:dyDescent="0.25">
      <c r="A112" s="45" t="s">
        <v>299</v>
      </c>
      <c r="B112" s="45"/>
      <c r="C112" s="45"/>
      <c r="D112" s="45"/>
      <c r="E112" s="45"/>
    </row>
    <row r="113" spans="1:5" x14ac:dyDescent="0.25">
      <c r="A113" s="20" t="s">
        <v>288</v>
      </c>
      <c r="B113" s="46" t="s">
        <v>284</v>
      </c>
      <c r="C113" s="47"/>
      <c r="D113" s="20"/>
      <c r="E113" s="20"/>
    </row>
    <row r="114" spans="1:5" x14ac:dyDescent="0.25">
      <c r="A114" s="20" t="s">
        <v>290</v>
      </c>
      <c r="B114" s="46" t="s">
        <v>284</v>
      </c>
      <c r="C114" s="47"/>
      <c r="D114" s="20"/>
      <c r="E114" s="20"/>
    </row>
    <row r="115" spans="1:5" x14ac:dyDescent="0.25">
      <c r="A115" s="20" t="s">
        <v>300</v>
      </c>
      <c r="B115" s="46" t="s">
        <v>284</v>
      </c>
      <c r="C115" s="47">
        <v>1</v>
      </c>
      <c r="D115" s="20"/>
      <c r="E115" s="20"/>
    </row>
    <row r="116" spans="1:5" x14ac:dyDescent="0.25">
      <c r="A116" s="45" t="s">
        <v>301</v>
      </c>
      <c r="B116" s="45"/>
      <c r="C116" s="45"/>
      <c r="D116" s="45"/>
      <c r="E116" s="45"/>
    </row>
    <row r="117" spans="1:5" x14ac:dyDescent="0.25">
      <c r="A117" s="20" t="s">
        <v>302</v>
      </c>
      <c r="B117" s="46" t="s">
        <v>284</v>
      </c>
      <c r="C117" s="47"/>
      <c r="D117" s="20"/>
      <c r="E117" s="20"/>
    </row>
    <row r="118" spans="1:5" x14ac:dyDescent="0.25">
      <c r="A118" s="20" t="s">
        <v>144</v>
      </c>
      <c r="B118" s="46" t="s">
        <v>284</v>
      </c>
      <c r="C118" s="228"/>
      <c r="D118" s="20"/>
      <c r="E118" s="20"/>
    </row>
    <row r="119" spans="1:5" x14ac:dyDescent="0.25">
      <c r="A119" s="45" t="s">
        <v>303</v>
      </c>
      <c r="B119" s="45"/>
      <c r="C119" s="45"/>
      <c r="D119" s="45"/>
      <c r="E119" s="45"/>
    </row>
    <row r="120" spans="1:5" x14ac:dyDescent="0.25">
      <c r="A120" s="20" t="s">
        <v>304</v>
      </c>
      <c r="B120" s="46" t="s">
        <v>284</v>
      </c>
      <c r="C120" s="47"/>
      <c r="D120" s="20"/>
      <c r="E120" s="20"/>
    </row>
    <row r="121" spans="1:5" x14ac:dyDescent="0.25">
      <c r="A121" s="20" t="s">
        <v>305</v>
      </c>
      <c r="B121" s="46" t="s">
        <v>284</v>
      </c>
      <c r="C121" s="47"/>
      <c r="D121" s="20"/>
      <c r="E121" s="20"/>
    </row>
    <row r="122" spans="1:5" x14ac:dyDescent="0.25">
      <c r="A122" s="20" t="s">
        <v>306</v>
      </c>
      <c r="B122" s="46" t="s">
        <v>284</v>
      </c>
      <c r="C122" s="47"/>
      <c r="D122" s="20"/>
      <c r="E122" s="20"/>
    </row>
    <row r="123" spans="1:5" x14ac:dyDescent="0.25">
      <c r="A123" s="20"/>
      <c r="B123" s="46"/>
      <c r="C123" s="48"/>
      <c r="D123" s="20"/>
      <c r="E123" s="20"/>
    </row>
    <row r="124" spans="1:5" x14ac:dyDescent="0.25">
      <c r="A124" s="49" t="s">
        <v>307</v>
      </c>
      <c r="B124" s="38"/>
      <c r="C124" s="38"/>
      <c r="D124" s="38"/>
      <c r="E124" s="38"/>
    </row>
    <row r="125" spans="1:5" x14ac:dyDescent="0.25">
      <c r="A125" s="20"/>
      <c r="B125" s="46"/>
      <c r="C125" s="48"/>
      <c r="D125" s="20"/>
      <c r="E125" s="20"/>
    </row>
    <row r="126" spans="1:5" x14ac:dyDescent="0.25">
      <c r="A126" s="26" t="s">
        <v>308</v>
      </c>
      <c r="B126" s="20"/>
      <c r="C126" s="21" t="s">
        <v>309</v>
      </c>
      <c r="D126" s="22" t="s">
        <v>227</v>
      </c>
      <c r="E126" s="20"/>
    </row>
    <row r="127" spans="1:5" x14ac:dyDescent="0.25">
      <c r="A127" s="20" t="s">
        <v>310</v>
      </c>
      <c r="B127" s="46" t="s">
        <v>284</v>
      </c>
      <c r="C127" s="47">
        <f>1339</f>
        <v>1339</v>
      </c>
      <c r="D127" s="50">
        <f>4044+327</f>
        <v>4371</v>
      </c>
      <c r="E127" s="20"/>
    </row>
    <row r="128" spans="1:5" x14ac:dyDescent="0.25">
      <c r="A128" s="20" t="s">
        <v>311</v>
      </c>
      <c r="B128" s="46" t="s">
        <v>284</v>
      </c>
      <c r="C128" s="47">
        <v>9</v>
      </c>
      <c r="D128" s="50">
        <f>31+63</f>
        <v>94</v>
      </c>
      <c r="E128" s="20"/>
    </row>
    <row r="129" spans="1:5" x14ac:dyDescent="0.25">
      <c r="A129" s="20" t="s">
        <v>312</v>
      </c>
      <c r="B129" s="46" t="s">
        <v>284</v>
      </c>
      <c r="C129" s="47"/>
      <c r="D129" s="50">
        <v>0</v>
      </c>
      <c r="E129" s="20"/>
    </row>
    <row r="130" spans="1:5" x14ac:dyDescent="0.25">
      <c r="A130" s="20" t="s">
        <v>313</v>
      </c>
      <c r="B130" s="46" t="s">
        <v>284</v>
      </c>
      <c r="C130" s="47">
        <v>96</v>
      </c>
      <c r="D130" s="50">
        <v>161</v>
      </c>
      <c r="E130" s="20"/>
    </row>
    <row r="131" spans="1:5" x14ac:dyDescent="0.25">
      <c r="A131" s="26" t="s">
        <v>314</v>
      </c>
      <c r="B131" s="20"/>
      <c r="C131" s="21" t="s">
        <v>179</v>
      </c>
      <c r="D131" s="20"/>
      <c r="E131" s="20"/>
    </row>
    <row r="132" spans="1:5" x14ac:dyDescent="0.25">
      <c r="A132" s="20" t="s">
        <v>315</v>
      </c>
      <c r="B132" s="46" t="s">
        <v>284</v>
      </c>
      <c r="C132" s="47">
        <v>6</v>
      </c>
      <c r="D132" s="20"/>
      <c r="E132" s="20"/>
    </row>
    <row r="133" spans="1:5" x14ac:dyDescent="0.25">
      <c r="A133" s="20" t="s">
        <v>316</v>
      </c>
      <c r="B133" s="46" t="s">
        <v>284</v>
      </c>
      <c r="C133" s="47"/>
      <c r="D133" s="20"/>
      <c r="E133" s="20"/>
    </row>
    <row r="134" spans="1:5" x14ac:dyDescent="0.25">
      <c r="A134" s="20" t="s">
        <v>317</v>
      </c>
      <c r="B134" s="46" t="s">
        <v>284</v>
      </c>
      <c r="C134" s="47">
        <v>19</v>
      </c>
      <c r="D134" s="20"/>
      <c r="E134" s="20"/>
    </row>
    <row r="135" spans="1:5" x14ac:dyDescent="0.25">
      <c r="A135" s="20" t="s">
        <v>318</v>
      </c>
      <c r="B135" s="46" t="s">
        <v>284</v>
      </c>
      <c r="C135" s="47"/>
      <c r="D135" s="20"/>
      <c r="E135" s="20"/>
    </row>
    <row r="136" spans="1:5" x14ac:dyDescent="0.25">
      <c r="A136" s="20" t="s">
        <v>319</v>
      </c>
      <c r="B136" s="46" t="s">
        <v>284</v>
      </c>
      <c r="C136" s="47"/>
      <c r="D136" s="20"/>
      <c r="E136" s="20"/>
    </row>
    <row r="137" spans="1:5" x14ac:dyDescent="0.25">
      <c r="A137" s="20" t="s">
        <v>320</v>
      </c>
      <c r="B137" s="46" t="s">
        <v>284</v>
      </c>
      <c r="C137" s="47"/>
      <c r="D137" s="20"/>
      <c r="E137" s="20"/>
    </row>
    <row r="138" spans="1:5" x14ac:dyDescent="0.25">
      <c r="A138" s="20" t="s">
        <v>108</v>
      </c>
      <c r="B138" s="46" t="s">
        <v>284</v>
      </c>
      <c r="C138" s="47"/>
      <c r="D138" s="20"/>
      <c r="E138" s="20"/>
    </row>
    <row r="139" spans="1:5" x14ac:dyDescent="0.25">
      <c r="A139" s="20" t="s">
        <v>321</v>
      </c>
      <c r="B139" s="46" t="s">
        <v>284</v>
      </c>
      <c r="C139" s="47"/>
      <c r="D139" s="20"/>
      <c r="E139" s="20"/>
    </row>
    <row r="140" spans="1:5" x14ac:dyDescent="0.25">
      <c r="A140" s="20" t="s">
        <v>322</v>
      </c>
      <c r="B140" s="46"/>
      <c r="C140" s="47"/>
      <c r="D140" s="20"/>
      <c r="E140" s="20"/>
    </row>
    <row r="141" spans="1:5" x14ac:dyDescent="0.25">
      <c r="A141" s="20" t="s">
        <v>312</v>
      </c>
      <c r="B141" s="46" t="s">
        <v>284</v>
      </c>
      <c r="C141" s="47"/>
      <c r="D141" s="20"/>
      <c r="E141" s="20"/>
    </row>
    <row r="142" spans="1:5" x14ac:dyDescent="0.25">
      <c r="A142" s="20" t="s">
        <v>323</v>
      </c>
      <c r="B142" s="46" t="s">
        <v>284</v>
      </c>
      <c r="C142" s="47"/>
      <c r="D142" s="20"/>
      <c r="E142" s="20"/>
    </row>
    <row r="143" spans="1:5" x14ac:dyDescent="0.25">
      <c r="A143" s="20" t="s">
        <v>324</v>
      </c>
      <c r="B143" s="20"/>
      <c r="C143" s="27"/>
      <c r="D143" s="20"/>
      <c r="E143" s="32">
        <f>SUM(C132:C142)</f>
        <v>25</v>
      </c>
    </row>
    <row r="144" spans="1:5" x14ac:dyDescent="0.25">
      <c r="A144" s="20" t="s">
        <v>325</v>
      </c>
      <c r="B144" s="46" t="s">
        <v>284</v>
      </c>
      <c r="C144" s="47">
        <v>25</v>
      </c>
      <c r="D144" s="20"/>
      <c r="E144" s="20"/>
    </row>
    <row r="145" spans="1:6" x14ac:dyDescent="0.25">
      <c r="A145" s="20" t="s">
        <v>326</v>
      </c>
      <c r="B145" s="46" t="s">
        <v>284</v>
      </c>
      <c r="C145" s="47">
        <v>4</v>
      </c>
      <c r="D145" s="20"/>
      <c r="E145" s="20"/>
    </row>
    <row r="146" spans="1:6" x14ac:dyDescent="0.25">
      <c r="A146" s="20"/>
      <c r="B146" s="20"/>
      <c r="C146" s="27"/>
      <c r="D146" s="20"/>
      <c r="E146" s="20"/>
    </row>
    <row r="147" spans="1:6" x14ac:dyDescent="0.25">
      <c r="A147" s="20" t="s">
        <v>327</v>
      </c>
      <c r="B147" s="46" t="s">
        <v>284</v>
      </c>
      <c r="C147" s="47"/>
      <c r="D147" s="20"/>
      <c r="E147" s="20"/>
    </row>
    <row r="148" spans="1:6" x14ac:dyDescent="0.25">
      <c r="A148" s="20"/>
      <c r="B148" s="20"/>
      <c r="C148" s="27"/>
      <c r="D148" s="20"/>
      <c r="E148" s="20"/>
    </row>
    <row r="149" spans="1:6" x14ac:dyDescent="0.25">
      <c r="A149" s="20"/>
      <c r="B149" s="20"/>
      <c r="C149" s="27"/>
      <c r="D149" s="20"/>
      <c r="E149" s="20"/>
    </row>
    <row r="150" spans="1:6" x14ac:dyDescent="0.25">
      <c r="A150" s="20"/>
      <c r="B150" s="20"/>
      <c r="C150" s="27"/>
      <c r="D150" s="20"/>
      <c r="E150" s="20"/>
    </row>
    <row r="151" spans="1:6" x14ac:dyDescent="0.25">
      <c r="A151" s="20"/>
      <c r="B151" s="20"/>
      <c r="C151" s="27"/>
      <c r="D151" s="20"/>
      <c r="E151" s="20"/>
    </row>
    <row r="152" spans="1:6" x14ac:dyDescent="0.25">
      <c r="A152" s="38" t="s">
        <v>328</v>
      </c>
      <c r="B152" s="49"/>
      <c r="C152" s="49"/>
      <c r="D152" s="49"/>
      <c r="E152" s="49"/>
    </row>
    <row r="153" spans="1:6" x14ac:dyDescent="0.25">
      <c r="A153" s="51" t="s">
        <v>329</v>
      </c>
      <c r="B153" s="52" t="s">
        <v>330</v>
      </c>
      <c r="C153" s="53" t="s">
        <v>331</v>
      </c>
      <c r="D153" s="52" t="s">
        <v>144</v>
      </c>
      <c r="E153" s="52" t="s">
        <v>215</v>
      </c>
    </row>
    <row r="154" spans="1:6" x14ac:dyDescent="0.25">
      <c r="A154" s="20" t="s">
        <v>309</v>
      </c>
      <c r="B154" s="50">
        <v>804</v>
      </c>
      <c r="C154" s="50">
        <v>247</v>
      </c>
      <c r="D154" s="50">
        <f>1339+96-C154-B154</f>
        <v>384</v>
      </c>
      <c r="E154" s="32">
        <f>SUM(B154:D154)</f>
        <v>1435</v>
      </c>
    </row>
    <row r="155" spans="1:6" x14ac:dyDescent="0.25">
      <c r="A155" s="20" t="s">
        <v>227</v>
      </c>
      <c r="B155" s="50">
        <f>2577+188</f>
        <v>2765</v>
      </c>
      <c r="C155" s="50">
        <f>13+4+6</f>
        <v>23</v>
      </c>
      <c r="D155" s="50">
        <f>4044+327+161-C155-B155</f>
        <v>1744</v>
      </c>
      <c r="E155" s="32">
        <f>SUM(B155:D155)</f>
        <v>4532</v>
      </c>
    </row>
    <row r="156" spans="1:6" x14ac:dyDescent="0.25">
      <c r="A156" s="20" t="s">
        <v>332</v>
      </c>
      <c r="B156" s="50"/>
      <c r="C156" s="50"/>
      <c r="D156" s="50"/>
      <c r="E156" s="32">
        <f>SUM(B156:D156)</f>
        <v>0</v>
      </c>
    </row>
    <row r="157" spans="1:6" x14ac:dyDescent="0.25">
      <c r="A157" s="20" t="s">
        <v>272</v>
      </c>
      <c r="B157" s="50">
        <v>26219926</v>
      </c>
      <c r="C157" s="50">
        <v>7703861</v>
      </c>
      <c r="D157" s="50">
        <v>8330148</v>
      </c>
      <c r="E157" s="32">
        <f>SUM(B157:D157)</f>
        <v>42253935</v>
      </c>
      <c r="F157" s="18"/>
    </row>
    <row r="158" spans="1:6" x14ac:dyDescent="0.25">
      <c r="A158" s="20" t="s">
        <v>273</v>
      </c>
      <c r="B158" s="50">
        <v>170851069</v>
      </c>
      <c r="C158" s="50">
        <v>34429469</v>
      </c>
      <c r="D158" s="50">
        <f>277600821-C158-B158</f>
        <v>72320283</v>
      </c>
      <c r="E158" s="32">
        <f>SUM(B158:D158)</f>
        <v>277600821</v>
      </c>
      <c r="F158" s="18"/>
    </row>
    <row r="159" spans="1:6" x14ac:dyDescent="0.25">
      <c r="A159" s="51" t="s">
        <v>333</v>
      </c>
      <c r="B159" s="52" t="s">
        <v>330</v>
      </c>
      <c r="C159" s="53" t="s">
        <v>331</v>
      </c>
      <c r="D159" s="52" t="s">
        <v>144</v>
      </c>
      <c r="E159" s="52" t="s">
        <v>215</v>
      </c>
    </row>
    <row r="160" spans="1:6" x14ac:dyDescent="0.25">
      <c r="A160" s="20" t="s">
        <v>309</v>
      </c>
      <c r="B160" s="50">
        <v>4</v>
      </c>
      <c r="C160" s="50">
        <v>5</v>
      </c>
      <c r="D160" s="50"/>
      <c r="E160" s="32">
        <f>SUM(B160:D160)</f>
        <v>9</v>
      </c>
    </row>
    <row r="161" spans="1:5" x14ac:dyDescent="0.25">
      <c r="A161" s="20" t="s">
        <v>227</v>
      </c>
      <c r="B161" s="50">
        <v>31</v>
      </c>
      <c r="C161" s="50">
        <v>63</v>
      </c>
      <c r="D161" s="50">
        <v>0</v>
      </c>
      <c r="E161" s="32">
        <f>SUM(B161:D161)</f>
        <v>94</v>
      </c>
    </row>
    <row r="162" spans="1:5" x14ac:dyDescent="0.25">
      <c r="A162" s="20" t="s">
        <v>332</v>
      </c>
      <c r="B162" s="50"/>
      <c r="C162" s="50"/>
      <c r="D162" s="50"/>
      <c r="E162" s="32">
        <f>SUM(B162:D162)</f>
        <v>0</v>
      </c>
    </row>
    <row r="163" spans="1:5" x14ac:dyDescent="0.25">
      <c r="A163" s="20" t="s">
        <v>272</v>
      </c>
      <c r="B163" s="50">
        <v>56424</v>
      </c>
      <c r="C163" s="50">
        <v>114669</v>
      </c>
      <c r="D163" s="50">
        <v>0</v>
      </c>
      <c r="E163" s="32">
        <f>SUM(B163:D163)</f>
        <v>171093</v>
      </c>
    </row>
    <row r="164" spans="1:5" x14ac:dyDescent="0.25">
      <c r="A164" s="20" t="s">
        <v>273</v>
      </c>
      <c r="B164" s="50"/>
      <c r="C164" s="50"/>
      <c r="D164" s="50"/>
      <c r="E164" s="32">
        <f>SUM(B164:D164)</f>
        <v>0</v>
      </c>
    </row>
    <row r="165" spans="1:5" x14ac:dyDescent="0.25">
      <c r="A165" s="51" t="s">
        <v>334</v>
      </c>
      <c r="B165" s="52" t="s">
        <v>330</v>
      </c>
      <c r="C165" s="53" t="s">
        <v>331</v>
      </c>
      <c r="D165" s="52" t="s">
        <v>144</v>
      </c>
      <c r="E165" s="52" t="s">
        <v>215</v>
      </c>
    </row>
    <row r="166" spans="1:5" x14ac:dyDescent="0.25">
      <c r="A166" s="20" t="s">
        <v>309</v>
      </c>
      <c r="B166" s="50"/>
      <c r="C166" s="50"/>
      <c r="D166" s="50"/>
      <c r="E166" s="32">
        <f>SUM(B166:D166)</f>
        <v>0</v>
      </c>
    </row>
    <row r="167" spans="1:5" x14ac:dyDescent="0.25">
      <c r="A167" s="20" t="s">
        <v>227</v>
      </c>
      <c r="B167" s="50"/>
      <c r="C167" s="50"/>
      <c r="D167" s="50"/>
      <c r="E167" s="32">
        <f>SUM(B167:D167)</f>
        <v>0</v>
      </c>
    </row>
    <row r="168" spans="1:5" x14ac:dyDescent="0.25">
      <c r="A168" s="20" t="s">
        <v>332</v>
      </c>
      <c r="B168" s="50"/>
      <c r="C168" s="50"/>
      <c r="D168" s="50"/>
      <c r="E168" s="32">
        <f>SUM(B168:D168)</f>
        <v>0</v>
      </c>
    </row>
    <row r="169" spans="1:5" x14ac:dyDescent="0.25">
      <c r="A169" s="20" t="s">
        <v>272</v>
      </c>
      <c r="B169" s="50"/>
      <c r="C169" s="50"/>
      <c r="D169" s="50"/>
      <c r="E169" s="32">
        <f>SUM(B169:D169)</f>
        <v>0</v>
      </c>
    </row>
    <row r="170" spans="1:5" x14ac:dyDescent="0.25">
      <c r="A170" s="20" t="s">
        <v>273</v>
      </c>
      <c r="B170" s="50"/>
      <c r="C170" s="50"/>
      <c r="D170" s="50"/>
      <c r="E170" s="32">
        <f>SUM(B170:D170)</f>
        <v>0</v>
      </c>
    </row>
    <row r="171" spans="1:5" x14ac:dyDescent="0.25">
      <c r="A171" s="25"/>
      <c r="B171" s="25"/>
      <c r="C171" s="54"/>
      <c r="D171" s="55"/>
      <c r="E171" s="20"/>
    </row>
    <row r="172" spans="1:5" x14ac:dyDescent="0.25">
      <c r="A172" s="51" t="s">
        <v>335</v>
      </c>
      <c r="B172" s="52" t="s">
        <v>336</v>
      </c>
      <c r="C172" s="53" t="s">
        <v>337</v>
      </c>
      <c r="D172" s="20"/>
      <c r="E172" s="20"/>
    </row>
    <row r="173" spans="1:5" x14ac:dyDescent="0.25">
      <c r="A173" s="25" t="s">
        <v>338</v>
      </c>
      <c r="B173" s="50">
        <v>39193843</v>
      </c>
      <c r="C173" s="50">
        <v>14884096</v>
      </c>
      <c r="D173" s="20"/>
      <c r="E173" s="20"/>
    </row>
    <row r="174" spans="1:5" x14ac:dyDescent="0.25">
      <c r="A174" s="25"/>
      <c r="B174" s="55"/>
      <c r="C174" s="54"/>
      <c r="D174" s="20"/>
      <c r="E174" s="20"/>
    </row>
    <row r="175" spans="1:5" x14ac:dyDescent="0.25">
      <c r="A175" s="25"/>
      <c r="B175" s="25"/>
      <c r="C175" s="54"/>
      <c r="D175" s="55"/>
      <c r="E175" s="20"/>
    </row>
    <row r="176" spans="1:5" x14ac:dyDescent="0.25">
      <c r="A176" s="25"/>
      <c r="B176" s="25"/>
      <c r="C176" s="54"/>
      <c r="D176" s="55"/>
      <c r="E176" s="20"/>
    </row>
    <row r="177" spans="1:5" x14ac:dyDescent="0.25">
      <c r="A177" s="25"/>
      <c r="B177" s="25"/>
      <c r="C177" s="54"/>
      <c r="D177" s="55"/>
      <c r="E177" s="20"/>
    </row>
    <row r="178" spans="1:5" x14ac:dyDescent="0.25">
      <c r="A178" s="25"/>
      <c r="B178" s="25"/>
      <c r="C178" s="54"/>
      <c r="D178" s="55"/>
      <c r="E178" s="20"/>
    </row>
    <row r="179" spans="1:5" x14ac:dyDescent="0.25">
      <c r="A179" s="49" t="s">
        <v>339</v>
      </c>
      <c r="B179" s="38"/>
      <c r="C179" s="38"/>
      <c r="D179" s="38"/>
      <c r="E179" s="38"/>
    </row>
    <row r="180" spans="1:5" x14ac:dyDescent="0.25">
      <c r="A180" s="45" t="s">
        <v>340</v>
      </c>
      <c r="B180" s="45"/>
      <c r="C180" s="45"/>
      <c r="D180" s="45"/>
      <c r="E180" s="45"/>
    </row>
    <row r="181" spans="1:5" x14ac:dyDescent="0.25">
      <c r="A181" s="20" t="s">
        <v>341</v>
      </c>
      <c r="B181" s="46" t="s">
        <v>284</v>
      </c>
      <c r="C181" s="47">
        <v>5031859</v>
      </c>
      <c r="D181" s="20"/>
      <c r="E181" s="20"/>
    </row>
    <row r="182" spans="1:5" x14ac:dyDescent="0.25">
      <c r="A182" s="20" t="s">
        <v>342</v>
      </c>
      <c r="B182" s="46" t="s">
        <v>284</v>
      </c>
      <c r="C182" s="47">
        <v>278740</v>
      </c>
      <c r="D182" s="20"/>
      <c r="E182" s="20"/>
    </row>
    <row r="183" spans="1:5" x14ac:dyDescent="0.25">
      <c r="A183" s="25" t="s">
        <v>343</v>
      </c>
      <c r="B183" s="46" t="s">
        <v>284</v>
      </c>
      <c r="C183" s="47">
        <v>456119</v>
      </c>
      <c r="D183" s="20"/>
      <c r="E183" s="20"/>
    </row>
    <row r="184" spans="1:5" x14ac:dyDescent="0.25">
      <c r="A184" s="20" t="s">
        <v>344</v>
      </c>
      <c r="B184" s="46" t="s">
        <v>284</v>
      </c>
      <c r="C184" s="47">
        <v>7394553</v>
      </c>
      <c r="D184" s="20"/>
      <c r="E184" s="20"/>
    </row>
    <row r="185" spans="1:5" x14ac:dyDescent="0.25">
      <c r="A185" s="20" t="s">
        <v>345</v>
      </c>
      <c r="B185" s="46" t="s">
        <v>284</v>
      </c>
      <c r="C185" s="47">
        <v>0</v>
      </c>
      <c r="D185" s="20"/>
      <c r="E185" s="20"/>
    </row>
    <row r="186" spans="1:5" x14ac:dyDescent="0.25">
      <c r="A186" s="20" t="s">
        <v>346</v>
      </c>
      <c r="B186" s="46" t="s">
        <v>284</v>
      </c>
      <c r="C186" s="47">
        <v>2981927</v>
      </c>
      <c r="D186" s="20"/>
      <c r="E186" s="20"/>
    </row>
    <row r="187" spans="1:5" x14ac:dyDescent="0.25">
      <c r="A187" s="20" t="s">
        <v>347</v>
      </c>
      <c r="B187" s="46" t="s">
        <v>284</v>
      </c>
      <c r="C187" s="47">
        <v>105076</v>
      </c>
      <c r="D187" s="20"/>
      <c r="E187" s="20"/>
    </row>
    <row r="188" spans="1:5" x14ac:dyDescent="0.25">
      <c r="A188" s="20" t="s">
        <v>347</v>
      </c>
      <c r="B188" s="46" t="s">
        <v>284</v>
      </c>
      <c r="C188" s="47">
        <v>0</v>
      </c>
      <c r="D188" s="20"/>
      <c r="E188" s="20"/>
    </row>
    <row r="189" spans="1:5" x14ac:dyDescent="0.25">
      <c r="A189" s="20" t="s">
        <v>215</v>
      </c>
      <c r="B189" s="20"/>
      <c r="C189" s="27"/>
      <c r="D189" s="32">
        <f>SUM(C181:C188)</f>
        <v>16248274</v>
      </c>
      <c r="E189" s="20"/>
    </row>
    <row r="190" spans="1:5" x14ac:dyDescent="0.25">
      <c r="A190" s="45" t="s">
        <v>348</v>
      </c>
      <c r="B190" s="45"/>
      <c r="C190" s="45"/>
      <c r="D190" s="45"/>
      <c r="E190" s="45"/>
    </row>
    <row r="191" spans="1:5" x14ac:dyDescent="0.25">
      <c r="A191" s="20" t="s">
        <v>349</v>
      </c>
      <c r="B191" s="46" t="s">
        <v>284</v>
      </c>
      <c r="C191" s="47">
        <v>285332</v>
      </c>
      <c r="D191" s="20"/>
      <c r="E191" s="20"/>
    </row>
    <row r="192" spans="1:5" x14ac:dyDescent="0.25">
      <c r="A192" s="20" t="s">
        <v>350</v>
      </c>
      <c r="B192" s="46" t="s">
        <v>284</v>
      </c>
      <c r="C192" s="47">
        <v>414914</v>
      </c>
      <c r="D192" s="20"/>
      <c r="E192" s="20"/>
    </row>
    <row r="193" spans="1:5" x14ac:dyDescent="0.25">
      <c r="A193" s="20" t="s">
        <v>215</v>
      </c>
      <c r="B193" s="20"/>
      <c r="C193" s="27"/>
      <c r="D193" s="32">
        <f>SUM(C191:C192)</f>
        <v>700246</v>
      </c>
      <c r="E193" s="20"/>
    </row>
    <row r="194" spans="1:5" x14ac:dyDescent="0.25">
      <c r="A194" s="45" t="s">
        <v>351</v>
      </c>
      <c r="B194" s="45"/>
      <c r="C194" s="45"/>
      <c r="D194" s="45"/>
      <c r="E194" s="45"/>
    </row>
    <row r="195" spans="1:5" x14ac:dyDescent="0.25">
      <c r="A195" s="20" t="s">
        <v>352</v>
      </c>
      <c r="B195" s="46" t="s">
        <v>284</v>
      </c>
      <c r="C195" s="47">
        <v>1215125</v>
      </c>
      <c r="D195" s="20"/>
      <c r="E195" s="20"/>
    </row>
    <row r="196" spans="1:5" x14ac:dyDescent="0.25">
      <c r="A196" s="20" t="s">
        <v>353</v>
      </c>
      <c r="B196" s="46" t="s">
        <v>284</v>
      </c>
      <c r="C196" s="47">
        <v>174477</v>
      </c>
      <c r="D196" s="20"/>
      <c r="E196" s="20"/>
    </row>
    <row r="197" spans="1:5" x14ac:dyDescent="0.25">
      <c r="A197" s="20" t="s">
        <v>215</v>
      </c>
      <c r="B197" s="20"/>
      <c r="C197" s="27"/>
      <c r="D197" s="32">
        <f>SUM(C195:C196)</f>
        <v>1389602</v>
      </c>
      <c r="E197" s="20"/>
    </row>
    <row r="198" spans="1:5" x14ac:dyDescent="0.25">
      <c r="A198" s="45" t="s">
        <v>354</v>
      </c>
      <c r="B198" s="45"/>
      <c r="C198" s="45"/>
      <c r="D198" s="45"/>
      <c r="E198" s="45"/>
    </row>
    <row r="199" spans="1:5" x14ac:dyDescent="0.25">
      <c r="A199" s="20" t="s">
        <v>355</v>
      </c>
      <c r="B199" s="46" t="s">
        <v>284</v>
      </c>
      <c r="C199" s="47">
        <v>1014306</v>
      </c>
      <c r="D199" s="20"/>
      <c r="E199" s="20"/>
    </row>
    <row r="200" spans="1:5" x14ac:dyDescent="0.25">
      <c r="A200" s="20" t="s">
        <v>356</v>
      </c>
      <c r="B200" s="46" t="s">
        <v>284</v>
      </c>
      <c r="C200" s="47"/>
      <c r="D200" s="20"/>
      <c r="E200" s="20"/>
    </row>
    <row r="201" spans="1:5" x14ac:dyDescent="0.25">
      <c r="A201" s="20" t="s">
        <v>144</v>
      </c>
      <c r="B201" s="46" t="s">
        <v>284</v>
      </c>
      <c r="C201" s="47"/>
      <c r="D201" s="20"/>
      <c r="E201" s="20"/>
    </row>
    <row r="202" spans="1:5" x14ac:dyDescent="0.25">
      <c r="A202" s="20" t="s">
        <v>215</v>
      </c>
      <c r="B202" s="20"/>
      <c r="C202" s="27"/>
      <c r="D202" s="32">
        <f>SUM(C199:C201)</f>
        <v>1014306</v>
      </c>
      <c r="E202" s="20"/>
    </row>
    <row r="203" spans="1:5" x14ac:dyDescent="0.25">
      <c r="A203" s="45" t="s">
        <v>357</v>
      </c>
      <c r="B203" s="45"/>
      <c r="C203" s="45"/>
      <c r="D203" s="45"/>
      <c r="E203" s="45"/>
    </row>
    <row r="204" spans="1:5" x14ac:dyDescent="0.25">
      <c r="A204" s="20" t="s">
        <v>358</v>
      </c>
      <c r="B204" s="46" t="s">
        <v>284</v>
      </c>
      <c r="C204" s="47">
        <v>90</v>
      </c>
      <c r="D204" s="20"/>
      <c r="E204" s="20"/>
    </row>
    <row r="205" spans="1:5" x14ac:dyDescent="0.25">
      <c r="A205" s="20" t="s">
        <v>359</v>
      </c>
      <c r="B205" s="46" t="s">
        <v>284</v>
      </c>
      <c r="C205" s="47">
        <v>950558</v>
      </c>
      <c r="D205" s="20"/>
      <c r="E205" s="20"/>
    </row>
    <row r="206" spans="1:5" x14ac:dyDescent="0.25">
      <c r="A206" s="20" t="s">
        <v>215</v>
      </c>
      <c r="B206" s="20"/>
      <c r="C206" s="27"/>
      <c r="D206" s="32">
        <f>SUM(C204:C205)</f>
        <v>950648</v>
      </c>
      <c r="E206" s="20"/>
    </row>
    <row r="207" spans="1:5" x14ac:dyDescent="0.25">
      <c r="A207" s="20"/>
      <c r="B207" s="20"/>
      <c r="C207" s="27"/>
      <c r="D207" s="20"/>
      <c r="E207" s="20"/>
    </row>
    <row r="208" spans="1:5" x14ac:dyDescent="0.25">
      <c r="A208" s="38" t="s">
        <v>360</v>
      </c>
      <c r="B208" s="38"/>
      <c r="C208" s="38"/>
      <c r="D208" s="38"/>
      <c r="E208" s="38"/>
    </row>
    <row r="209" spans="1:5" x14ac:dyDescent="0.25">
      <c r="A209" s="49" t="s">
        <v>361</v>
      </c>
      <c r="B209" s="38"/>
      <c r="C209" s="38"/>
      <c r="D209" s="38"/>
      <c r="E209" s="38"/>
    </row>
    <row r="210" spans="1:5" x14ac:dyDescent="0.25">
      <c r="A210" s="26"/>
      <c r="B210" s="22" t="s">
        <v>362</v>
      </c>
      <c r="C210" s="21" t="s">
        <v>363</v>
      </c>
      <c r="D210" s="22" t="s">
        <v>364</v>
      </c>
      <c r="E210" s="22" t="s">
        <v>365</v>
      </c>
    </row>
    <row r="211" spans="1:5" x14ac:dyDescent="0.25">
      <c r="A211" s="20" t="s">
        <v>366</v>
      </c>
      <c r="B211" s="50">
        <v>1722171</v>
      </c>
      <c r="C211" s="47">
        <v>442081</v>
      </c>
      <c r="D211" s="50"/>
      <c r="E211" s="32">
        <f t="shared" ref="E211:E219" si="16">SUM(B211:C211)-D211</f>
        <v>2164252</v>
      </c>
    </row>
    <row r="212" spans="1:5" x14ac:dyDescent="0.25">
      <c r="A212" s="20" t="s">
        <v>367</v>
      </c>
      <c r="B212" s="50">
        <v>4028158</v>
      </c>
      <c r="C212" s="47">
        <v>0</v>
      </c>
      <c r="D212" s="50"/>
      <c r="E212" s="32">
        <f t="shared" si="16"/>
        <v>4028158</v>
      </c>
    </row>
    <row r="213" spans="1:5" x14ac:dyDescent="0.25">
      <c r="A213" s="20" t="s">
        <v>368</v>
      </c>
      <c r="B213" s="50">
        <v>49251245</v>
      </c>
      <c r="C213" s="47">
        <f>1207137+2920204+2504571</f>
        <v>6631912</v>
      </c>
      <c r="D213" s="50"/>
      <c r="E213" s="32">
        <f t="shared" si="16"/>
        <v>55883157</v>
      </c>
    </row>
    <row r="214" spans="1:5" x14ac:dyDescent="0.25">
      <c r="A214" s="20" t="s">
        <v>369</v>
      </c>
      <c r="B214" s="50">
        <v>0</v>
      </c>
      <c r="C214" s="47">
        <v>0</v>
      </c>
      <c r="D214" s="50"/>
      <c r="E214" s="32">
        <f t="shared" si="16"/>
        <v>0</v>
      </c>
    </row>
    <row r="215" spans="1:5" x14ac:dyDescent="0.25">
      <c r="A215" s="20" t="s">
        <v>370</v>
      </c>
      <c r="B215" s="50">
        <v>22413231</v>
      </c>
      <c r="C215" s="47">
        <f>43622+315905</f>
        <v>359527</v>
      </c>
      <c r="D215" s="50"/>
      <c r="E215" s="32">
        <f t="shared" si="16"/>
        <v>22772758</v>
      </c>
    </row>
    <row r="216" spans="1:5" x14ac:dyDescent="0.25">
      <c r="A216" s="20" t="s">
        <v>371</v>
      </c>
      <c r="B216" s="50">
        <v>10736103</v>
      </c>
      <c r="C216" s="47">
        <f>81469+337945</f>
        <v>419414</v>
      </c>
      <c r="D216" s="50"/>
      <c r="E216" s="32">
        <f t="shared" si="16"/>
        <v>11155517</v>
      </c>
    </row>
    <row r="217" spans="1:5" x14ac:dyDescent="0.25">
      <c r="A217" s="20" t="s">
        <v>372</v>
      </c>
      <c r="B217" s="50">
        <v>0</v>
      </c>
      <c r="C217" s="47">
        <v>0</v>
      </c>
      <c r="D217" s="50"/>
      <c r="E217" s="32">
        <f t="shared" si="16"/>
        <v>0</v>
      </c>
    </row>
    <row r="218" spans="1:5" x14ac:dyDescent="0.25">
      <c r="A218" s="20" t="s">
        <v>373</v>
      </c>
      <c r="B218" s="50">
        <v>1361180</v>
      </c>
      <c r="C218" s="47">
        <v>8106</v>
      </c>
      <c r="D218" s="50"/>
      <c r="E218" s="32">
        <f t="shared" si="16"/>
        <v>1369286</v>
      </c>
    </row>
    <row r="219" spans="1:5" x14ac:dyDescent="0.25">
      <c r="A219" s="20" t="s">
        <v>374</v>
      </c>
      <c r="B219" s="50">
        <v>1394976</v>
      </c>
      <c r="C219" s="47">
        <v>3355794</v>
      </c>
      <c r="D219" s="50">
        <v>653850</v>
      </c>
      <c r="E219" s="32">
        <f t="shared" si="16"/>
        <v>4096920</v>
      </c>
    </row>
    <row r="220" spans="1:5" x14ac:dyDescent="0.25">
      <c r="A220" s="20" t="s">
        <v>215</v>
      </c>
      <c r="B220" s="32">
        <f>SUM(B211:B219)</f>
        <v>90907064</v>
      </c>
      <c r="C220" s="259">
        <f>SUM(C211:C219)</f>
        <v>11216834</v>
      </c>
      <c r="D220" s="32">
        <f>SUM(D211:D219)</f>
        <v>653850</v>
      </c>
      <c r="E220" s="32">
        <f>SUM(E211:E219)</f>
        <v>101470048</v>
      </c>
    </row>
    <row r="221" spans="1:5" x14ac:dyDescent="0.25">
      <c r="A221" s="20"/>
      <c r="B221" s="20"/>
      <c r="C221" s="27"/>
      <c r="D221" s="20"/>
      <c r="E221" s="20"/>
    </row>
    <row r="222" spans="1:5" x14ac:dyDescent="0.25">
      <c r="A222" s="49" t="s">
        <v>375</v>
      </c>
      <c r="B222" s="49"/>
      <c r="C222" s="49"/>
      <c r="D222" s="49"/>
      <c r="E222" s="49"/>
    </row>
    <row r="223" spans="1:5" x14ac:dyDescent="0.25">
      <c r="A223" s="26"/>
      <c r="B223" s="22" t="s">
        <v>362</v>
      </c>
      <c r="C223" s="21" t="s">
        <v>363</v>
      </c>
      <c r="D223" s="22" t="s">
        <v>364</v>
      </c>
      <c r="E223" s="22" t="s">
        <v>365</v>
      </c>
    </row>
    <row r="224" spans="1:5" x14ac:dyDescent="0.25">
      <c r="A224" s="20" t="s">
        <v>366</v>
      </c>
      <c r="B224" s="55"/>
      <c r="C224" s="54"/>
      <c r="D224" s="55"/>
      <c r="E224" s="20"/>
    </row>
    <row r="225" spans="1:5" x14ac:dyDescent="0.25">
      <c r="A225" s="20" t="s">
        <v>367</v>
      </c>
      <c r="B225" s="50">
        <v>2013984</v>
      </c>
      <c r="C225" s="47">
        <v>245336</v>
      </c>
      <c r="D225" s="50">
        <v>0</v>
      </c>
      <c r="E225" s="32">
        <f t="shared" ref="E225:E232" si="17">SUM(B225:C225)-D225</f>
        <v>2259320</v>
      </c>
    </row>
    <row r="226" spans="1:5" x14ac:dyDescent="0.25">
      <c r="A226" s="20" t="s">
        <v>368</v>
      </c>
      <c r="B226" s="50">
        <v>23433158</v>
      </c>
      <c r="C226" s="47">
        <f>1559722+1855383</f>
        <v>3415105</v>
      </c>
      <c r="D226" s="50">
        <v>0</v>
      </c>
      <c r="E226" s="32">
        <f t="shared" si="17"/>
        <v>26848263</v>
      </c>
    </row>
    <row r="227" spans="1:5" x14ac:dyDescent="0.25">
      <c r="A227" s="20" t="s">
        <v>369</v>
      </c>
      <c r="B227" s="50">
        <v>0</v>
      </c>
      <c r="C227" s="47">
        <v>0</v>
      </c>
      <c r="D227" s="50">
        <v>0</v>
      </c>
      <c r="E227" s="32">
        <f t="shared" si="17"/>
        <v>0</v>
      </c>
    </row>
    <row r="228" spans="1:5" x14ac:dyDescent="0.25">
      <c r="A228" s="20" t="s">
        <v>370</v>
      </c>
      <c r="B228" s="50">
        <v>11721768</v>
      </c>
      <c r="C228" s="47">
        <v>1250957</v>
      </c>
      <c r="D228" s="50">
        <v>0</v>
      </c>
      <c r="E228" s="32">
        <f t="shared" si="17"/>
        <v>12972725</v>
      </c>
    </row>
    <row r="229" spans="1:5" x14ac:dyDescent="0.25">
      <c r="A229" s="20" t="s">
        <v>371</v>
      </c>
      <c r="B229" s="50">
        <v>15988664</v>
      </c>
      <c r="C229" s="47">
        <f>701035+1671665</f>
        <v>2372700</v>
      </c>
      <c r="D229" s="50">
        <v>0</v>
      </c>
      <c r="E229" s="32">
        <f t="shared" si="17"/>
        <v>18361364</v>
      </c>
    </row>
    <row r="230" spans="1:5" x14ac:dyDescent="0.25">
      <c r="A230" s="20" t="s">
        <v>372</v>
      </c>
      <c r="B230" s="50">
        <v>0</v>
      </c>
      <c r="C230" s="47">
        <v>0</v>
      </c>
      <c r="D230" s="50">
        <v>0</v>
      </c>
      <c r="E230" s="32">
        <f t="shared" si="17"/>
        <v>0</v>
      </c>
    </row>
    <row r="231" spans="1:5" x14ac:dyDescent="0.25">
      <c r="A231" s="20" t="s">
        <v>373</v>
      </c>
      <c r="B231" s="50">
        <v>1008024</v>
      </c>
      <c r="C231" s="47">
        <v>80938</v>
      </c>
      <c r="D231" s="50">
        <v>0</v>
      </c>
      <c r="E231" s="32">
        <f t="shared" si="17"/>
        <v>1088962</v>
      </c>
    </row>
    <row r="232" spans="1:5" x14ac:dyDescent="0.25">
      <c r="A232" s="20" t="s">
        <v>374</v>
      </c>
      <c r="B232" s="50">
        <v>0</v>
      </c>
      <c r="C232" s="47">
        <v>0</v>
      </c>
      <c r="D232" s="50">
        <v>0</v>
      </c>
      <c r="E232" s="32">
        <f t="shared" si="17"/>
        <v>0</v>
      </c>
    </row>
    <row r="233" spans="1:5" x14ac:dyDescent="0.25">
      <c r="A233" s="20" t="s">
        <v>215</v>
      </c>
      <c r="B233" s="32">
        <f>SUM(B224:B232)</f>
        <v>54165598</v>
      </c>
      <c r="C233" s="259">
        <f>SUM(C224:C232)</f>
        <v>7365036</v>
      </c>
      <c r="D233" s="32">
        <f>SUM(D224:D232)</f>
        <v>0</v>
      </c>
      <c r="E233" s="32">
        <f>SUM(E224:E232)</f>
        <v>61530634</v>
      </c>
    </row>
    <row r="234" spans="1:5" x14ac:dyDescent="0.25">
      <c r="A234" s="20"/>
      <c r="B234" s="20"/>
      <c r="C234" s="27"/>
      <c r="D234" s="20"/>
      <c r="E234" s="20"/>
    </row>
    <row r="235" spans="1:5" x14ac:dyDescent="0.25">
      <c r="A235" s="38" t="s">
        <v>376</v>
      </c>
      <c r="B235" s="38"/>
      <c r="C235" s="38"/>
      <c r="D235" s="38"/>
      <c r="E235" s="38"/>
    </row>
    <row r="236" spans="1:5" x14ac:dyDescent="0.25">
      <c r="A236" s="38"/>
      <c r="B236" s="402" t="s">
        <v>377</v>
      </c>
      <c r="C236" s="402"/>
      <c r="D236" s="38"/>
      <c r="E236" s="38"/>
    </row>
    <row r="237" spans="1:5" x14ac:dyDescent="0.25">
      <c r="A237" s="56" t="s">
        <v>377</v>
      </c>
      <c r="B237" s="38"/>
      <c r="C237" s="47">
        <v>3772732</v>
      </c>
      <c r="D237" s="40">
        <f>C237</f>
        <v>3772732</v>
      </c>
      <c r="E237" s="38"/>
    </row>
    <row r="238" spans="1:5" x14ac:dyDescent="0.25">
      <c r="A238" s="45" t="s">
        <v>378</v>
      </c>
      <c r="B238" s="45"/>
      <c r="C238" s="45"/>
      <c r="D238" s="45"/>
      <c r="E238" s="45"/>
    </row>
    <row r="239" spans="1:5" x14ac:dyDescent="0.25">
      <c r="A239" s="20" t="s">
        <v>379</v>
      </c>
      <c r="B239" s="46" t="s">
        <v>284</v>
      </c>
      <c r="C239" s="47">
        <v>108917668</v>
      </c>
      <c r="D239" s="20"/>
      <c r="E239" s="20"/>
    </row>
    <row r="240" spans="1:5" x14ac:dyDescent="0.25">
      <c r="A240" s="20" t="s">
        <v>380</v>
      </c>
      <c r="B240" s="46" t="s">
        <v>284</v>
      </c>
      <c r="C240" s="47">
        <v>24561790</v>
      </c>
      <c r="D240" s="20"/>
      <c r="E240" s="20"/>
    </row>
    <row r="241" spans="1:5" x14ac:dyDescent="0.25">
      <c r="A241" s="20" t="s">
        <v>381</v>
      </c>
      <c r="B241" s="46" t="s">
        <v>284</v>
      </c>
      <c r="C241" s="47"/>
      <c r="D241" s="20"/>
      <c r="E241" s="20"/>
    </row>
    <row r="242" spans="1:5" x14ac:dyDescent="0.25">
      <c r="A242" s="20" t="s">
        <v>382</v>
      </c>
      <c r="B242" s="46" t="s">
        <v>284</v>
      </c>
      <c r="C242" s="47"/>
      <c r="D242" s="20"/>
      <c r="E242" s="20"/>
    </row>
    <row r="243" spans="1:5" x14ac:dyDescent="0.25">
      <c r="A243" s="20" t="s">
        <v>383</v>
      </c>
      <c r="B243" s="46" t="s">
        <v>284</v>
      </c>
      <c r="C243" s="47"/>
      <c r="D243" s="20"/>
      <c r="E243" s="20"/>
    </row>
    <row r="244" spans="1:5" x14ac:dyDescent="0.25">
      <c r="A244" s="20" t="s">
        <v>384</v>
      </c>
      <c r="B244" s="46" t="s">
        <v>284</v>
      </c>
      <c r="C244" s="47">
        <v>29079742</v>
      </c>
      <c r="D244" s="20"/>
      <c r="E244" s="20"/>
    </row>
    <row r="245" spans="1:5" x14ac:dyDescent="0.25">
      <c r="A245" s="20" t="s">
        <v>385</v>
      </c>
      <c r="B245" s="20"/>
      <c r="C245" s="27"/>
      <c r="D245" s="32">
        <f>SUM(C239:C244)</f>
        <v>162559200</v>
      </c>
      <c r="E245" s="20"/>
    </row>
    <row r="246" spans="1:5" x14ac:dyDescent="0.25">
      <c r="A246" s="45" t="s">
        <v>386</v>
      </c>
      <c r="B246" s="45"/>
      <c r="C246" s="45"/>
      <c r="D246" s="45"/>
      <c r="E246" s="45"/>
    </row>
    <row r="247" spans="1:5" x14ac:dyDescent="0.25">
      <c r="A247" s="26" t="s">
        <v>387</v>
      </c>
      <c r="B247" s="46" t="s">
        <v>284</v>
      </c>
      <c r="C247" s="47">
        <v>744</v>
      </c>
      <c r="D247" s="20"/>
      <c r="E247" s="20"/>
    </row>
    <row r="248" spans="1:5" x14ac:dyDescent="0.25">
      <c r="A248" s="26"/>
      <c r="B248" s="46"/>
      <c r="C248" s="27"/>
      <c r="D248" s="20"/>
      <c r="E248" s="20"/>
    </row>
    <row r="249" spans="1:5" x14ac:dyDescent="0.25">
      <c r="A249" s="26" t="s">
        <v>388</v>
      </c>
      <c r="B249" s="46" t="s">
        <v>284</v>
      </c>
      <c r="C249" s="47">
        <v>252260</v>
      </c>
      <c r="D249" s="20"/>
      <c r="E249" s="20"/>
    </row>
    <row r="250" spans="1:5" x14ac:dyDescent="0.25">
      <c r="A250" s="26" t="s">
        <v>389</v>
      </c>
      <c r="B250" s="46" t="s">
        <v>284</v>
      </c>
      <c r="C250" s="47">
        <f>3280565-C249</f>
        <v>3028305</v>
      </c>
      <c r="D250" s="20"/>
      <c r="E250" s="20"/>
    </row>
    <row r="251" spans="1:5" x14ac:dyDescent="0.25">
      <c r="A251" s="20"/>
      <c r="B251" s="20"/>
      <c r="C251" s="27"/>
      <c r="D251" s="20"/>
      <c r="E251" s="20"/>
    </row>
    <row r="252" spans="1:5" x14ac:dyDescent="0.25">
      <c r="A252" s="26" t="s">
        <v>390</v>
      </c>
      <c r="B252" s="20"/>
      <c r="C252" s="27"/>
      <c r="D252" s="32">
        <f>SUM(C249:C251)</f>
        <v>3280565</v>
      </c>
      <c r="E252" s="20"/>
    </row>
    <row r="253" spans="1:5" x14ac:dyDescent="0.25">
      <c r="A253" s="45" t="s">
        <v>391</v>
      </c>
      <c r="B253" s="45"/>
      <c r="C253" s="45"/>
      <c r="D253" s="45"/>
      <c r="E253" s="45"/>
    </row>
    <row r="254" spans="1:5" x14ac:dyDescent="0.25">
      <c r="A254" s="20" t="s">
        <v>392</v>
      </c>
      <c r="B254" s="46" t="s">
        <v>284</v>
      </c>
      <c r="C254" s="47"/>
      <c r="D254" s="20"/>
      <c r="E254" s="20"/>
    </row>
    <row r="255" spans="1:5" x14ac:dyDescent="0.25">
      <c r="A255" s="20" t="s">
        <v>391</v>
      </c>
      <c r="B255" s="46" t="s">
        <v>284</v>
      </c>
      <c r="C255" s="47"/>
      <c r="D255" s="20"/>
      <c r="E255" s="20"/>
    </row>
    <row r="256" spans="1:5" x14ac:dyDescent="0.25">
      <c r="A256" s="20" t="s">
        <v>393</v>
      </c>
      <c r="B256" s="20"/>
      <c r="C256" s="27"/>
      <c r="D256" s="32">
        <f>SUM(C254:C255)</f>
        <v>0</v>
      </c>
      <c r="E256" s="20"/>
    </row>
    <row r="257" spans="1:5" x14ac:dyDescent="0.25">
      <c r="A257" s="20"/>
      <c r="B257" s="20"/>
      <c r="C257" s="27"/>
      <c r="D257" s="20"/>
      <c r="E257" s="20"/>
    </row>
    <row r="258" spans="1:5" x14ac:dyDescent="0.25">
      <c r="A258" s="20" t="s">
        <v>394</v>
      </c>
      <c r="B258" s="20"/>
      <c r="C258" s="27"/>
      <c r="D258" s="32">
        <f>D237+D245+D252+D256</f>
        <v>169612497</v>
      </c>
      <c r="E258" s="20"/>
    </row>
    <row r="259" spans="1:5" x14ac:dyDescent="0.25">
      <c r="A259" s="20"/>
      <c r="B259" s="20"/>
      <c r="C259" s="27"/>
      <c r="D259" s="20"/>
      <c r="E259" s="20"/>
    </row>
    <row r="260" spans="1:5" x14ac:dyDescent="0.25">
      <c r="A260" s="20"/>
      <c r="B260" s="20"/>
      <c r="C260" s="27"/>
      <c r="D260" s="20"/>
      <c r="E260" s="20"/>
    </row>
    <row r="261" spans="1:5" x14ac:dyDescent="0.25">
      <c r="A261" s="20"/>
      <c r="B261" s="20"/>
      <c r="C261" s="27"/>
      <c r="D261" s="20"/>
      <c r="E261" s="20"/>
    </row>
    <row r="262" spans="1:5" x14ac:dyDescent="0.25">
      <c r="A262" s="20"/>
      <c r="B262" s="20"/>
      <c r="C262" s="27"/>
      <c r="D262" s="20"/>
      <c r="E262" s="20"/>
    </row>
    <row r="263" spans="1:5" x14ac:dyDescent="0.25">
      <c r="A263" s="20"/>
      <c r="B263" s="20"/>
      <c r="C263" s="27"/>
      <c r="D263" s="20"/>
      <c r="E263" s="20"/>
    </row>
    <row r="264" spans="1:5" x14ac:dyDescent="0.25">
      <c r="A264" s="38" t="s">
        <v>395</v>
      </c>
      <c r="B264" s="38"/>
      <c r="C264" s="38"/>
      <c r="D264" s="38"/>
      <c r="E264" s="38"/>
    </row>
    <row r="265" spans="1:5" x14ac:dyDescent="0.25">
      <c r="A265" s="45" t="s">
        <v>396</v>
      </c>
      <c r="B265" s="45"/>
      <c r="C265" s="45"/>
      <c r="D265" s="45"/>
      <c r="E265" s="45"/>
    </row>
    <row r="266" spans="1:5" x14ac:dyDescent="0.25">
      <c r="A266" s="20" t="s">
        <v>397</v>
      </c>
      <c r="B266" s="46" t="s">
        <v>284</v>
      </c>
      <c r="C266" s="47">
        <v>46848800</v>
      </c>
      <c r="D266" s="20"/>
      <c r="E266" s="20"/>
    </row>
    <row r="267" spans="1:5" x14ac:dyDescent="0.25">
      <c r="A267" s="20" t="s">
        <v>398</v>
      </c>
      <c r="B267" s="46" t="s">
        <v>284</v>
      </c>
      <c r="C267" s="47">
        <v>0</v>
      </c>
      <c r="D267" s="20"/>
      <c r="E267" s="20"/>
    </row>
    <row r="268" spans="1:5" x14ac:dyDescent="0.25">
      <c r="A268" s="20" t="s">
        <v>399</v>
      </c>
      <c r="B268" s="46" t="s">
        <v>284</v>
      </c>
      <c r="C268" s="47">
        <v>44692200</v>
      </c>
      <c r="D268" s="20"/>
      <c r="E268" s="20"/>
    </row>
    <row r="269" spans="1:5" x14ac:dyDescent="0.25">
      <c r="A269" s="20" t="s">
        <v>400</v>
      </c>
      <c r="B269" s="46" t="s">
        <v>284</v>
      </c>
      <c r="C269" s="47">
        <v>26317000</v>
      </c>
      <c r="D269" s="20"/>
      <c r="E269" s="20"/>
    </row>
    <row r="270" spans="1:5" x14ac:dyDescent="0.25">
      <c r="A270" s="20" t="s">
        <v>401</v>
      </c>
      <c r="B270" s="46" t="s">
        <v>284</v>
      </c>
      <c r="C270" s="47">
        <v>3019074</v>
      </c>
      <c r="D270" s="20"/>
      <c r="E270" s="20"/>
    </row>
    <row r="271" spans="1:5" x14ac:dyDescent="0.25">
      <c r="A271" s="20" t="s">
        <v>402</v>
      </c>
      <c r="B271" s="46" t="s">
        <v>284</v>
      </c>
      <c r="C271" s="47">
        <v>1130587</v>
      </c>
      <c r="D271" s="20"/>
      <c r="E271" s="20"/>
    </row>
    <row r="272" spans="1:5" x14ac:dyDescent="0.25">
      <c r="A272" s="20" t="s">
        <v>403</v>
      </c>
      <c r="B272" s="46" t="s">
        <v>284</v>
      </c>
      <c r="C272" s="47">
        <v>0</v>
      </c>
      <c r="D272" s="20"/>
      <c r="E272" s="20"/>
    </row>
    <row r="273" spans="1:5" x14ac:dyDescent="0.25">
      <c r="A273" s="20" t="s">
        <v>404</v>
      </c>
      <c r="B273" s="46" t="s">
        <v>284</v>
      </c>
      <c r="C273" s="47">
        <v>5940865</v>
      </c>
      <c r="D273" s="20"/>
      <c r="E273" s="20"/>
    </row>
    <row r="274" spans="1:5" x14ac:dyDescent="0.25">
      <c r="A274" s="20" t="s">
        <v>405</v>
      </c>
      <c r="B274" s="46" t="s">
        <v>284</v>
      </c>
      <c r="C274" s="47">
        <v>1956750</v>
      </c>
      <c r="D274" s="20"/>
      <c r="E274" s="20"/>
    </row>
    <row r="275" spans="1:5" x14ac:dyDescent="0.25">
      <c r="A275" s="20" t="s">
        <v>406</v>
      </c>
      <c r="B275" s="46" t="s">
        <v>284</v>
      </c>
      <c r="C275" s="47"/>
      <c r="D275" s="20"/>
      <c r="E275" s="20"/>
    </row>
    <row r="276" spans="1:5" x14ac:dyDescent="0.25">
      <c r="A276" s="20" t="s">
        <v>407</v>
      </c>
      <c r="B276" s="20"/>
      <c r="C276" s="27"/>
      <c r="D276" s="32">
        <f>SUM(C266:C268)-C269+SUM(C270:C275)</f>
        <v>77271276</v>
      </c>
      <c r="E276" s="20"/>
    </row>
    <row r="277" spans="1:5" x14ac:dyDescent="0.25">
      <c r="A277" s="45" t="s">
        <v>408</v>
      </c>
      <c r="B277" s="45"/>
      <c r="C277" s="45"/>
      <c r="D277" s="45"/>
      <c r="E277" s="45"/>
    </row>
    <row r="278" spans="1:5" x14ac:dyDescent="0.25">
      <c r="A278" s="20" t="s">
        <v>397</v>
      </c>
      <c r="B278" s="46" t="s">
        <v>284</v>
      </c>
      <c r="C278" s="47">
        <v>0</v>
      </c>
      <c r="D278" s="20"/>
      <c r="E278" s="20"/>
    </row>
    <row r="279" spans="1:5" x14ac:dyDescent="0.25">
      <c r="A279" s="20" t="s">
        <v>398</v>
      </c>
      <c r="B279" s="46" t="s">
        <v>284</v>
      </c>
      <c r="C279" s="47">
        <v>0</v>
      </c>
      <c r="D279" s="20"/>
      <c r="E279" s="20"/>
    </row>
    <row r="280" spans="1:5" x14ac:dyDescent="0.25">
      <c r="A280" s="20" t="s">
        <v>409</v>
      </c>
      <c r="B280" s="46" t="s">
        <v>284</v>
      </c>
      <c r="C280" s="47">
        <v>0</v>
      </c>
      <c r="D280" s="20"/>
      <c r="E280" s="20"/>
    </row>
    <row r="281" spans="1:5" x14ac:dyDescent="0.25">
      <c r="A281" s="20" t="s">
        <v>410</v>
      </c>
      <c r="B281" s="20"/>
      <c r="C281" s="27"/>
      <c r="D281" s="32">
        <f>SUM(C278:C280)</f>
        <v>0</v>
      </c>
      <c r="E281" s="20"/>
    </row>
    <row r="282" spans="1:5" x14ac:dyDescent="0.25">
      <c r="A282" s="45" t="s">
        <v>411</v>
      </c>
      <c r="B282" s="45"/>
      <c r="C282" s="45"/>
      <c r="D282" s="45"/>
      <c r="E282" s="45"/>
    </row>
    <row r="283" spans="1:5" x14ac:dyDescent="0.25">
      <c r="A283" s="20" t="s">
        <v>366</v>
      </c>
      <c r="B283" s="46" t="s">
        <v>284</v>
      </c>
      <c r="C283" s="47">
        <v>2164252</v>
      </c>
      <c r="D283" s="20"/>
      <c r="E283" s="20"/>
    </row>
    <row r="284" spans="1:5" x14ac:dyDescent="0.25">
      <c r="A284" s="20" t="s">
        <v>367</v>
      </c>
      <c r="B284" s="46" t="s">
        <v>284</v>
      </c>
      <c r="C284" s="47">
        <v>4028158</v>
      </c>
      <c r="D284" s="20"/>
      <c r="E284" s="20"/>
    </row>
    <row r="285" spans="1:5" x14ac:dyDescent="0.25">
      <c r="A285" s="20" t="s">
        <v>368</v>
      </c>
      <c r="B285" s="46" t="s">
        <v>284</v>
      </c>
      <c r="C285" s="47">
        <f>41964380+7493199</f>
        <v>49457579</v>
      </c>
      <c r="D285" s="20"/>
      <c r="E285" s="20"/>
    </row>
    <row r="286" spans="1:5" x14ac:dyDescent="0.25">
      <c r="A286" s="20" t="s">
        <v>412</v>
      </c>
      <c r="B286" s="46" t="s">
        <v>284</v>
      </c>
      <c r="C286" s="47">
        <v>0</v>
      </c>
      <c r="D286" s="20"/>
      <c r="E286" s="20"/>
    </row>
    <row r="287" spans="1:5" x14ac:dyDescent="0.25">
      <c r="A287" s="20" t="s">
        <v>413</v>
      </c>
      <c r="B287" s="46" t="s">
        <v>284</v>
      </c>
      <c r="C287" s="47">
        <v>22772758</v>
      </c>
      <c r="D287" s="20"/>
      <c r="E287" s="20"/>
    </row>
    <row r="288" spans="1:5" x14ac:dyDescent="0.25">
      <c r="A288" s="20" t="s">
        <v>414</v>
      </c>
      <c r="B288" s="46" t="s">
        <v>284</v>
      </c>
      <c r="C288" s="47">
        <f>11155517+6425578</f>
        <v>17581095</v>
      </c>
      <c r="D288" s="20"/>
      <c r="E288" s="20"/>
    </row>
    <row r="289" spans="1:5" x14ac:dyDescent="0.25">
      <c r="A289" s="20" t="s">
        <v>373</v>
      </c>
      <c r="B289" s="46" t="s">
        <v>284</v>
      </c>
      <c r="C289" s="47">
        <v>1369286</v>
      </c>
      <c r="D289" s="20"/>
      <c r="E289" s="20"/>
    </row>
    <row r="290" spans="1:5" x14ac:dyDescent="0.25">
      <c r="A290" s="20" t="s">
        <v>374</v>
      </c>
      <c r="B290" s="46" t="s">
        <v>284</v>
      </c>
      <c r="C290" s="47">
        <v>4096920</v>
      </c>
      <c r="D290" s="20"/>
      <c r="E290" s="20"/>
    </row>
    <row r="291" spans="1:5" x14ac:dyDescent="0.25">
      <c r="A291" s="20" t="s">
        <v>415</v>
      </c>
      <c r="B291" s="20"/>
      <c r="C291" s="27"/>
      <c r="D291" s="32">
        <f>SUM(C283:C290)</f>
        <v>101470048</v>
      </c>
      <c r="E291" s="20"/>
    </row>
    <row r="292" spans="1:5" x14ac:dyDescent="0.25">
      <c r="A292" s="20" t="s">
        <v>416</v>
      </c>
      <c r="B292" s="46" t="s">
        <v>284</v>
      </c>
      <c r="C292" s="47">
        <v>61536453</v>
      </c>
      <c r="D292" s="20"/>
      <c r="E292" s="20"/>
    </row>
    <row r="293" spans="1:5" x14ac:dyDescent="0.25">
      <c r="A293" s="20" t="s">
        <v>417</v>
      </c>
      <c r="B293" s="20"/>
      <c r="C293" s="27"/>
      <c r="D293" s="32">
        <f>D291-C292</f>
        <v>39933595</v>
      </c>
      <c r="E293" s="20"/>
    </row>
    <row r="294" spans="1:5" x14ac:dyDescent="0.25">
      <c r="A294" s="45" t="s">
        <v>418</v>
      </c>
      <c r="B294" s="45"/>
      <c r="C294" s="45"/>
      <c r="D294" s="45"/>
      <c r="E294" s="45"/>
    </row>
    <row r="295" spans="1:5" x14ac:dyDescent="0.25">
      <c r="A295" s="20" t="s">
        <v>419</v>
      </c>
      <c r="B295" s="46" t="s">
        <v>284</v>
      </c>
      <c r="C295" s="47"/>
      <c r="D295" s="20"/>
      <c r="E295" s="20"/>
    </row>
    <row r="296" spans="1:5" x14ac:dyDescent="0.25">
      <c r="A296" s="20" t="s">
        <v>420</v>
      </c>
      <c r="B296" s="46" t="s">
        <v>284</v>
      </c>
      <c r="C296" s="47"/>
      <c r="D296" s="20"/>
      <c r="E296" s="20"/>
    </row>
    <row r="297" spans="1:5" x14ac:dyDescent="0.25">
      <c r="A297" s="20" t="s">
        <v>421</v>
      </c>
      <c r="B297" s="46" t="s">
        <v>284</v>
      </c>
      <c r="C297" s="47"/>
      <c r="D297" s="20"/>
      <c r="E297" s="20"/>
    </row>
    <row r="298" spans="1:5" x14ac:dyDescent="0.25">
      <c r="A298" s="20" t="s">
        <v>409</v>
      </c>
      <c r="B298" s="46" t="s">
        <v>284</v>
      </c>
      <c r="C298" s="47"/>
      <c r="D298" s="20"/>
      <c r="E298" s="20"/>
    </row>
    <row r="299" spans="1:5" x14ac:dyDescent="0.25">
      <c r="A299" s="20" t="s">
        <v>422</v>
      </c>
      <c r="B299" s="20"/>
      <c r="C299" s="27"/>
      <c r="D299" s="32">
        <f>C295-C296+C297+C298</f>
        <v>0</v>
      </c>
      <c r="E299" s="20"/>
    </row>
    <row r="300" spans="1:5" x14ac:dyDescent="0.25">
      <c r="A300" s="20"/>
      <c r="B300" s="20"/>
      <c r="C300" s="27"/>
      <c r="D300" s="20"/>
      <c r="E300" s="20"/>
    </row>
    <row r="301" spans="1:5" x14ac:dyDescent="0.25">
      <c r="A301" s="45" t="s">
        <v>423</v>
      </c>
      <c r="B301" s="45"/>
      <c r="C301" s="45"/>
      <c r="D301" s="45"/>
      <c r="E301" s="45"/>
    </row>
    <row r="302" spans="1:5" x14ac:dyDescent="0.25">
      <c r="A302" s="20" t="s">
        <v>424</v>
      </c>
      <c r="B302" s="46" t="s">
        <v>284</v>
      </c>
      <c r="C302" s="47"/>
      <c r="D302" s="20"/>
      <c r="E302" s="20"/>
    </row>
    <row r="303" spans="1:5" x14ac:dyDescent="0.25">
      <c r="A303" s="20" t="s">
        <v>425</v>
      </c>
      <c r="B303" s="46" t="s">
        <v>284</v>
      </c>
      <c r="C303" s="47"/>
      <c r="D303" s="20"/>
      <c r="E303" s="20"/>
    </row>
    <row r="304" spans="1:5" x14ac:dyDescent="0.25">
      <c r="A304" s="20" t="s">
        <v>426</v>
      </c>
      <c r="B304" s="46" t="s">
        <v>284</v>
      </c>
      <c r="C304" s="47"/>
      <c r="D304" s="20"/>
      <c r="E304" s="20"/>
    </row>
    <row r="305" spans="1:5" x14ac:dyDescent="0.25">
      <c r="A305" s="20" t="s">
        <v>427</v>
      </c>
      <c r="B305" s="46" t="s">
        <v>284</v>
      </c>
      <c r="C305" s="47"/>
      <c r="D305" s="20"/>
      <c r="E305" s="20"/>
    </row>
    <row r="306" spans="1:5" x14ac:dyDescent="0.25">
      <c r="A306" s="20" t="s">
        <v>428</v>
      </c>
      <c r="B306" s="20"/>
      <c r="C306" s="27"/>
      <c r="D306" s="32">
        <f>SUM(C302:C305)</f>
        <v>0</v>
      </c>
      <c r="E306" s="20"/>
    </row>
    <row r="307" spans="1:5" x14ac:dyDescent="0.25">
      <c r="A307" s="20"/>
      <c r="B307" s="20"/>
      <c r="C307" s="27"/>
      <c r="D307" s="20"/>
      <c r="E307" s="20"/>
    </row>
    <row r="308" spans="1:5" x14ac:dyDescent="0.25">
      <c r="A308" s="20" t="s">
        <v>429</v>
      </c>
      <c r="B308" s="20"/>
      <c r="C308" s="27"/>
      <c r="D308" s="32">
        <f>D276+D281+D293+D299+D306</f>
        <v>117204871</v>
      </c>
      <c r="E308" s="20"/>
    </row>
    <row r="309" spans="1:5" x14ac:dyDescent="0.25">
      <c r="A309" s="20"/>
      <c r="B309" s="20"/>
      <c r="C309" s="27"/>
      <c r="D309" s="20"/>
      <c r="E309" s="20"/>
    </row>
    <row r="310" spans="1:5" x14ac:dyDescent="0.25">
      <c r="A310" s="20"/>
      <c r="B310" s="20"/>
      <c r="C310" s="27"/>
      <c r="D310" s="20"/>
      <c r="E310" s="20"/>
    </row>
    <row r="311" spans="1:5" x14ac:dyDescent="0.25">
      <c r="A311" s="20"/>
      <c r="B311" s="20"/>
      <c r="C311" s="27"/>
      <c r="D311" s="20"/>
      <c r="E311" s="20"/>
    </row>
    <row r="312" spans="1:5" x14ac:dyDescent="0.25">
      <c r="A312" s="38" t="s">
        <v>430</v>
      </c>
      <c r="B312" s="38"/>
      <c r="C312" s="38"/>
      <c r="D312" s="38"/>
      <c r="E312" s="38"/>
    </row>
    <row r="313" spans="1:5" x14ac:dyDescent="0.25">
      <c r="A313" s="45" t="s">
        <v>431</v>
      </c>
      <c r="B313" s="45"/>
      <c r="C313" s="45"/>
      <c r="D313" s="45"/>
      <c r="E313" s="45"/>
    </row>
    <row r="314" spans="1:5" x14ac:dyDescent="0.25">
      <c r="A314" s="20" t="s">
        <v>432</v>
      </c>
      <c r="B314" s="46" t="s">
        <v>284</v>
      </c>
      <c r="C314" s="47"/>
      <c r="D314" s="20"/>
      <c r="E314" s="20"/>
    </row>
    <row r="315" spans="1:5" x14ac:dyDescent="0.25">
      <c r="A315" s="20" t="s">
        <v>433</v>
      </c>
      <c r="B315" s="46" t="s">
        <v>284</v>
      </c>
      <c r="C315" s="47">
        <v>2451576</v>
      </c>
      <c r="D315" s="20"/>
      <c r="E315" s="20"/>
    </row>
    <row r="316" spans="1:5" x14ac:dyDescent="0.25">
      <c r="A316" s="20" t="s">
        <v>434</v>
      </c>
      <c r="B316" s="46" t="s">
        <v>284</v>
      </c>
      <c r="C316" s="47"/>
      <c r="D316" s="20"/>
      <c r="E316" s="20"/>
    </row>
    <row r="317" spans="1:5" x14ac:dyDescent="0.25">
      <c r="A317" s="20" t="s">
        <v>435</v>
      </c>
      <c r="B317" s="46" t="s">
        <v>284</v>
      </c>
      <c r="C317" s="47"/>
      <c r="D317" s="20"/>
      <c r="E317" s="20"/>
    </row>
    <row r="318" spans="1:5" x14ac:dyDescent="0.25">
      <c r="A318" s="20" t="s">
        <v>436</v>
      </c>
      <c r="B318" s="46" t="s">
        <v>284</v>
      </c>
      <c r="C318" s="47"/>
      <c r="D318" s="20"/>
      <c r="E318" s="20"/>
    </row>
    <row r="319" spans="1:5" x14ac:dyDescent="0.25">
      <c r="A319" s="20" t="s">
        <v>437</v>
      </c>
      <c r="B319" s="46" t="s">
        <v>284</v>
      </c>
      <c r="C319" s="47"/>
      <c r="D319" s="20"/>
      <c r="E319" s="20"/>
    </row>
    <row r="320" spans="1:5" x14ac:dyDescent="0.25">
      <c r="A320" s="20" t="s">
        <v>438</v>
      </c>
      <c r="B320" s="46" t="s">
        <v>284</v>
      </c>
      <c r="C320" s="47"/>
      <c r="D320" s="20"/>
      <c r="E320" s="20"/>
    </row>
    <row r="321" spans="1:5" x14ac:dyDescent="0.25">
      <c r="A321" s="20" t="s">
        <v>439</v>
      </c>
      <c r="B321" s="46" t="s">
        <v>284</v>
      </c>
      <c r="C321" s="47"/>
      <c r="D321" s="20"/>
      <c r="E321" s="20"/>
    </row>
    <row r="322" spans="1:5" x14ac:dyDescent="0.25">
      <c r="A322" s="20" t="s">
        <v>440</v>
      </c>
      <c r="B322" s="46" t="s">
        <v>284</v>
      </c>
      <c r="C322" s="47">
        <v>10486453</v>
      </c>
      <c r="D322" s="20"/>
      <c r="E322" s="20"/>
    </row>
    <row r="323" spans="1:5" x14ac:dyDescent="0.25">
      <c r="A323" s="20" t="s">
        <v>441</v>
      </c>
      <c r="B323" s="46" t="s">
        <v>284</v>
      </c>
      <c r="C323" s="47">
        <f>1416068+1151577</f>
        <v>2567645</v>
      </c>
      <c r="D323" s="20"/>
      <c r="E323" s="20"/>
    </row>
    <row r="324" spans="1:5" x14ac:dyDescent="0.25">
      <c r="A324" s="20" t="s">
        <v>442</v>
      </c>
      <c r="B324" s="20"/>
      <c r="C324" s="27"/>
      <c r="D324" s="32">
        <f>SUM(C314:C323)</f>
        <v>15505674</v>
      </c>
      <c r="E324" s="20"/>
    </row>
    <row r="325" spans="1:5" x14ac:dyDescent="0.25">
      <c r="A325" s="45" t="s">
        <v>443</v>
      </c>
      <c r="B325" s="45"/>
      <c r="C325" s="45"/>
      <c r="D325" s="45"/>
      <c r="E325" s="45"/>
    </row>
    <row r="326" spans="1:5" x14ac:dyDescent="0.25">
      <c r="A326" s="20" t="s">
        <v>444</v>
      </c>
      <c r="B326" s="46" t="s">
        <v>284</v>
      </c>
      <c r="C326" s="47"/>
      <c r="D326" s="20"/>
      <c r="E326" s="20"/>
    </row>
    <row r="327" spans="1:5" x14ac:dyDescent="0.25">
      <c r="A327" s="20" t="s">
        <v>445</v>
      </c>
      <c r="B327" s="46" t="s">
        <v>284</v>
      </c>
      <c r="C327" s="47"/>
      <c r="D327" s="20"/>
      <c r="E327" s="20"/>
    </row>
    <row r="328" spans="1:5" x14ac:dyDescent="0.25">
      <c r="A328" s="20" t="s">
        <v>446</v>
      </c>
      <c r="B328" s="46" t="s">
        <v>284</v>
      </c>
      <c r="C328" s="47"/>
      <c r="D328" s="20"/>
      <c r="E328" s="20"/>
    </row>
    <row r="329" spans="1:5" x14ac:dyDescent="0.25">
      <c r="A329" s="20" t="s">
        <v>447</v>
      </c>
      <c r="B329" s="20"/>
      <c r="C329" s="27"/>
      <c r="D329" s="32">
        <f>SUM(C326:C328)</f>
        <v>0</v>
      </c>
      <c r="E329" s="20"/>
    </row>
    <row r="330" spans="1:5" x14ac:dyDescent="0.25">
      <c r="A330" s="45" t="s">
        <v>448</v>
      </c>
      <c r="B330" s="45"/>
      <c r="C330" s="45"/>
      <c r="D330" s="45"/>
      <c r="E330" s="45"/>
    </row>
    <row r="331" spans="1:5" x14ac:dyDescent="0.25">
      <c r="A331" s="20" t="s">
        <v>449</v>
      </c>
      <c r="B331" s="46" t="s">
        <v>284</v>
      </c>
      <c r="C331" s="47"/>
      <c r="D331" s="20"/>
      <c r="E331" s="20"/>
    </row>
    <row r="332" spans="1:5" x14ac:dyDescent="0.25">
      <c r="A332" s="20" t="s">
        <v>450</v>
      </c>
      <c r="B332" s="46" t="s">
        <v>284</v>
      </c>
      <c r="C332" s="47"/>
      <c r="D332" s="20"/>
      <c r="E332" s="20"/>
    </row>
    <row r="333" spans="1:5" x14ac:dyDescent="0.25">
      <c r="A333" s="20" t="s">
        <v>451</v>
      </c>
      <c r="B333" s="46" t="s">
        <v>284</v>
      </c>
      <c r="C333" s="47">
        <f>1416068+23122811</f>
        <v>24538879</v>
      </c>
      <c r="D333" s="20"/>
      <c r="E333" s="20"/>
    </row>
    <row r="334" spans="1:5" x14ac:dyDescent="0.25">
      <c r="A334" s="26" t="s">
        <v>452</v>
      </c>
      <c r="B334" s="46" t="s">
        <v>284</v>
      </c>
      <c r="C334" s="47">
        <f>1151577+1686314</f>
        <v>2837891</v>
      </c>
      <c r="D334" s="20"/>
      <c r="E334" s="20"/>
    </row>
    <row r="335" spans="1:5" x14ac:dyDescent="0.25">
      <c r="A335" s="20" t="s">
        <v>453</v>
      </c>
      <c r="B335" s="46" t="s">
        <v>284</v>
      </c>
      <c r="C335" s="47"/>
      <c r="D335" s="20"/>
      <c r="E335" s="20"/>
    </row>
    <row r="336" spans="1:5" x14ac:dyDescent="0.25">
      <c r="A336" s="26" t="s">
        <v>454</v>
      </c>
      <c r="B336" s="46" t="s">
        <v>284</v>
      </c>
      <c r="C336" s="47"/>
      <c r="D336" s="20"/>
      <c r="E336" s="20"/>
    </row>
    <row r="337" spans="1:5" x14ac:dyDescent="0.25">
      <c r="A337" s="26" t="s">
        <v>455</v>
      </c>
      <c r="B337" s="46" t="s">
        <v>284</v>
      </c>
      <c r="C337" s="265"/>
      <c r="D337" s="20"/>
      <c r="E337" s="20"/>
    </row>
    <row r="338" spans="1:5" x14ac:dyDescent="0.25">
      <c r="A338" s="20" t="s">
        <v>456</v>
      </c>
      <c r="B338" s="46" t="s">
        <v>284</v>
      </c>
      <c r="C338" s="47"/>
      <c r="D338" s="20"/>
      <c r="E338" s="20"/>
    </row>
    <row r="339" spans="1:5" x14ac:dyDescent="0.25">
      <c r="A339" s="20" t="s">
        <v>215</v>
      </c>
      <c r="B339" s="20"/>
      <c r="C339" s="27"/>
      <c r="D339" s="32">
        <f>SUM(C331:C338)</f>
        <v>27376770</v>
      </c>
      <c r="E339" s="20"/>
    </row>
    <row r="340" spans="1:5" x14ac:dyDescent="0.25">
      <c r="A340" s="20" t="s">
        <v>457</v>
      </c>
      <c r="B340" s="20"/>
      <c r="C340" s="27"/>
      <c r="D340" s="32">
        <f>C323</f>
        <v>2567645</v>
      </c>
      <c r="E340" s="20"/>
    </row>
    <row r="341" spans="1:5" x14ac:dyDescent="0.25">
      <c r="A341" s="20" t="s">
        <v>458</v>
      </c>
      <c r="B341" s="20"/>
      <c r="C341" s="27"/>
      <c r="D341" s="32">
        <f>D339-D340</f>
        <v>24809125</v>
      </c>
      <c r="E341" s="20"/>
    </row>
    <row r="342" spans="1:5" x14ac:dyDescent="0.25">
      <c r="A342" s="20"/>
      <c r="B342" s="20"/>
      <c r="C342" s="27"/>
      <c r="D342" s="20"/>
      <c r="E342" s="20"/>
    </row>
    <row r="343" spans="1:5" x14ac:dyDescent="0.25">
      <c r="A343" s="20" t="s">
        <v>459</v>
      </c>
      <c r="B343" s="46" t="s">
        <v>284</v>
      </c>
      <c r="C343" s="319">
        <v>76890072</v>
      </c>
      <c r="D343" s="20"/>
      <c r="E343" s="20"/>
    </row>
    <row r="344" spans="1:5" x14ac:dyDescent="0.25">
      <c r="A344" s="20"/>
      <c r="B344" s="46"/>
      <c r="C344" s="57"/>
      <c r="D344" s="20"/>
      <c r="E344" s="20"/>
    </row>
    <row r="345" spans="1:5" x14ac:dyDescent="0.25">
      <c r="A345" s="20" t="s">
        <v>460</v>
      </c>
      <c r="B345" s="46" t="s">
        <v>284</v>
      </c>
      <c r="C345" s="228"/>
      <c r="D345" s="20"/>
      <c r="E345" s="20"/>
    </row>
    <row r="346" spans="1:5" x14ac:dyDescent="0.25">
      <c r="A346" s="20" t="s">
        <v>461</v>
      </c>
      <c r="B346" s="46" t="s">
        <v>284</v>
      </c>
      <c r="C346" s="228"/>
      <c r="D346" s="20"/>
      <c r="E346" s="20"/>
    </row>
    <row r="347" spans="1:5" x14ac:dyDescent="0.25">
      <c r="A347" s="20" t="s">
        <v>462</v>
      </c>
      <c r="B347" s="46" t="s">
        <v>284</v>
      </c>
      <c r="C347" s="228"/>
      <c r="D347" s="20"/>
      <c r="E347" s="20"/>
    </row>
    <row r="348" spans="1:5" x14ac:dyDescent="0.25">
      <c r="A348" s="20" t="s">
        <v>463</v>
      </c>
      <c r="B348" s="46" t="s">
        <v>284</v>
      </c>
      <c r="C348" s="228"/>
      <c r="D348" s="20"/>
      <c r="E348" s="20"/>
    </row>
    <row r="349" spans="1:5" x14ac:dyDescent="0.25">
      <c r="A349" s="20" t="s">
        <v>464</v>
      </c>
      <c r="B349" s="46" t="s">
        <v>284</v>
      </c>
      <c r="C349" s="228"/>
      <c r="D349" s="20"/>
      <c r="E349" s="20"/>
    </row>
    <row r="350" spans="1:5" x14ac:dyDescent="0.25">
      <c r="A350" s="20" t="s">
        <v>465</v>
      </c>
      <c r="B350" s="20"/>
      <c r="C350" s="27"/>
      <c r="D350" s="32">
        <f>D324+D329+D341+C343+C347+C348</f>
        <v>117204871</v>
      </c>
      <c r="E350" s="20"/>
    </row>
    <row r="351" spans="1:5" x14ac:dyDescent="0.25">
      <c r="A351" s="20"/>
      <c r="B351" s="20"/>
      <c r="C351" s="27"/>
      <c r="D351" s="20"/>
      <c r="E351" s="20"/>
    </row>
    <row r="352" spans="1:5" x14ac:dyDescent="0.25">
      <c r="A352" s="20" t="s">
        <v>466</v>
      </c>
      <c r="B352" s="20"/>
      <c r="C352" s="27"/>
      <c r="D352" s="32">
        <f>D308</f>
        <v>117204871</v>
      </c>
      <c r="E352" s="20"/>
    </row>
    <row r="353" spans="1:5" x14ac:dyDescent="0.25">
      <c r="A353" s="20"/>
      <c r="B353" s="20"/>
      <c r="C353" s="27"/>
      <c r="D353" s="20"/>
      <c r="E353" s="20"/>
    </row>
    <row r="354" spans="1:5" x14ac:dyDescent="0.25">
      <c r="A354" s="20"/>
      <c r="B354" s="20"/>
      <c r="C354" s="27"/>
      <c r="D354" s="20"/>
      <c r="E354" s="20"/>
    </row>
    <row r="355" spans="1:5" x14ac:dyDescent="0.25">
      <c r="A355" s="20"/>
      <c r="B355" s="20"/>
      <c r="C355" s="27"/>
      <c r="D355" s="20"/>
      <c r="E355" s="20"/>
    </row>
    <row r="356" spans="1:5" x14ac:dyDescent="0.25">
      <c r="A356" s="38" t="s">
        <v>467</v>
      </c>
      <c r="B356" s="38"/>
      <c r="C356" s="38"/>
      <c r="D356" s="38"/>
      <c r="E356" s="38"/>
    </row>
    <row r="357" spans="1:5" x14ac:dyDescent="0.25">
      <c r="A357" s="45" t="s">
        <v>468</v>
      </c>
      <c r="B357" s="45"/>
      <c r="C357" s="45"/>
      <c r="D357" s="45"/>
      <c r="E357" s="45"/>
    </row>
    <row r="358" spans="1:5" x14ac:dyDescent="0.25">
      <c r="A358" s="20" t="s">
        <v>469</v>
      </c>
      <c r="B358" s="46" t="s">
        <v>284</v>
      </c>
      <c r="C358" s="228">
        <f>CE87</f>
        <v>45741344</v>
      </c>
      <c r="D358" s="20"/>
      <c r="E358" s="20"/>
    </row>
    <row r="359" spans="1:5" x14ac:dyDescent="0.25">
      <c r="A359" s="20" t="s">
        <v>470</v>
      </c>
      <c r="B359" s="46" t="s">
        <v>284</v>
      </c>
      <c r="C359" s="228">
        <f>CE88</f>
        <v>274284503</v>
      </c>
      <c r="D359" s="20"/>
      <c r="E359" s="20"/>
    </row>
    <row r="360" spans="1:5" x14ac:dyDescent="0.25">
      <c r="A360" s="20" t="s">
        <v>471</v>
      </c>
      <c r="B360" s="20"/>
      <c r="C360" s="27"/>
      <c r="D360" s="32">
        <f>SUM(C358:C359)</f>
        <v>320025847</v>
      </c>
      <c r="E360" s="20"/>
    </row>
    <row r="361" spans="1:5" x14ac:dyDescent="0.25">
      <c r="A361" s="45" t="s">
        <v>472</v>
      </c>
      <c r="B361" s="45"/>
      <c r="C361" s="45"/>
      <c r="D361" s="45"/>
      <c r="E361" s="45"/>
    </row>
    <row r="362" spans="1:5" x14ac:dyDescent="0.25">
      <c r="A362" s="20" t="s">
        <v>377</v>
      </c>
      <c r="B362" s="45"/>
      <c r="C362" s="47">
        <v>3772732</v>
      </c>
      <c r="D362" s="20"/>
      <c r="E362" s="45"/>
    </row>
    <row r="363" spans="1:5" x14ac:dyDescent="0.25">
      <c r="A363" s="20" t="s">
        <v>473</v>
      </c>
      <c r="B363" s="46" t="s">
        <v>284</v>
      </c>
      <c r="C363" s="47">
        <f>24561790+108917668+29079742</f>
        <v>162559200</v>
      </c>
      <c r="D363" s="20"/>
      <c r="E363" s="20"/>
    </row>
    <row r="364" spans="1:5" x14ac:dyDescent="0.25">
      <c r="A364" s="20" t="s">
        <v>474</v>
      </c>
      <c r="B364" s="46" t="s">
        <v>284</v>
      </c>
      <c r="C364" s="47">
        <v>3280565</v>
      </c>
      <c r="D364" s="20"/>
      <c r="E364" s="20"/>
    </row>
    <row r="365" spans="1:5" x14ac:dyDescent="0.25">
      <c r="A365" s="20" t="s">
        <v>475</v>
      </c>
      <c r="B365" s="46" t="s">
        <v>284</v>
      </c>
      <c r="C365" s="47"/>
      <c r="D365" s="20"/>
      <c r="E365" s="20"/>
    </row>
    <row r="366" spans="1:5" x14ac:dyDescent="0.25">
      <c r="A366" s="20" t="s">
        <v>394</v>
      </c>
      <c r="B366" s="20"/>
      <c r="C366" s="27"/>
      <c r="D366" s="32">
        <f>SUM(C362:C365)</f>
        <v>169612497</v>
      </c>
      <c r="E366" s="20"/>
    </row>
    <row r="367" spans="1:5" x14ac:dyDescent="0.25">
      <c r="A367" s="20" t="s">
        <v>476</v>
      </c>
      <c r="B367" s="20"/>
      <c r="C367" s="27"/>
      <c r="D367" s="32">
        <f>D360-D366</f>
        <v>150413350</v>
      </c>
      <c r="E367" s="20"/>
    </row>
    <row r="368" spans="1:5" x14ac:dyDescent="0.25">
      <c r="A368" s="58" t="s">
        <v>477</v>
      </c>
      <c r="B368" s="45"/>
      <c r="C368" s="45"/>
      <c r="D368" s="45"/>
      <c r="E368" s="45"/>
    </row>
    <row r="369" spans="1:6" x14ac:dyDescent="0.25">
      <c r="A369" s="32" t="s">
        <v>478</v>
      </c>
      <c r="B369" s="20"/>
      <c r="C369" s="20"/>
      <c r="D369" s="20"/>
      <c r="E369" s="20"/>
    </row>
    <row r="370" spans="1:6" x14ac:dyDescent="0.25">
      <c r="A370" s="59" t="s">
        <v>479</v>
      </c>
      <c r="B370" s="40" t="s">
        <v>284</v>
      </c>
      <c r="C370" s="266"/>
      <c r="D370" s="32"/>
      <c r="E370" s="32"/>
    </row>
    <row r="371" spans="1:6" x14ac:dyDescent="0.25">
      <c r="A371" s="59" t="s">
        <v>480</v>
      </c>
      <c r="B371" s="40" t="s">
        <v>284</v>
      </c>
      <c r="C371" s="266">
        <v>297516</v>
      </c>
      <c r="D371" s="32"/>
      <c r="E371" s="32"/>
    </row>
    <row r="372" spans="1:6" x14ac:dyDescent="0.25">
      <c r="A372" s="59" t="s">
        <v>481</v>
      </c>
      <c r="B372" s="40" t="s">
        <v>284</v>
      </c>
      <c r="C372" s="266"/>
      <c r="D372" s="32"/>
      <c r="E372" s="32"/>
    </row>
    <row r="373" spans="1:6" x14ac:dyDescent="0.25">
      <c r="A373" s="59" t="s">
        <v>482</v>
      </c>
      <c r="B373" s="40" t="s">
        <v>284</v>
      </c>
      <c r="C373" s="266"/>
      <c r="D373" s="32"/>
      <c r="E373" s="32"/>
    </row>
    <row r="374" spans="1:6" x14ac:dyDescent="0.25">
      <c r="A374" s="59" t="s">
        <v>483</v>
      </c>
      <c r="B374" s="40" t="s">
        <v>284</v>
      </c>
      <c r="C374" s="266">
        <v>2976878</v>
      </c>
      <c r="D374" s="32"/>
      <c r="E374" s="32"/>
    </row>
    <row r="375" spans="1:6" x14ac:dyDescent="0.25">
      <c r="A375" s="59" t="s">
        <v>484</v>
      </c>
      <c r="B375" s="40" t="s">
        <v>284</v>
      </c>
      <c r="C375" s="266"/>
      <c r="D375" s="32"/>
      <c r="E375" s="32"/>
    </row>
    <row r="376" spans="1:6" x14ac:dyDescent="0.25">
      <c r="A376" s="59" t="s">
        <v>485</v>
      </c>
      <c r="B376" s="40" t="s">
        <v>284</v>
      </c>
      <c r="C376" s="266"/>
      <c r="D376" s="32"/>
      <c r="E376" s="32"/>
    </row>
    <row r="377" spans="1:6" x14ac:dyDescent="0.25">
      <c r="A377" s="59" t="s">
        <v>486</v>
      </c>
      <c r="B377" s="40" t="s">
        <v>284</v>
      </c>
      <c r="C377" s="266"/>
      <c r="D377" s="32"/>
      <c r="E377" s="32"/>
    </row>
    <row r="378" spans="1:6" x14ac:dyDescent="0.25">
      <c r="A378" s="59" t="s">
        <v>487</v>
      </c>
      <c r="B378" s="40" t="s">
        <v>284</v>
      </c>
      <c r="C378" s="266">
        <v>18104</v>
      </c>
      <c r="D378" s="32"/>
      <c r="E378" s="32"/>
    </row>
    <row r="379" spans="1:6" x14ac:dyDescent="0.25">
      <c r="A379" s="59" t="s">
        <v>488</v>
      </c>
      <c r="B379" s="40" t="s">
        <v>284</v>
      </c>
      <c r="C379" s="266">
        <v>521937</v>
      </c>
      <c r="D379" s="32"/>
      <c r="E379" s="32"/>
    </row>
    <row r="380" spans="1:6" x14ac:dyDescent="0.25">
      <c r="A380" s="59" t="s">
        <v>489</v>
      </c>
      <c r="B380" s="40" t="s">
        <v>284</v>
      </c>
      <c r="C380" s="230">
        <f>1435998-C379-C378</f>
        <v>895957</v>
      </c>
      <c r="D380" s="32"/>
      <c r="E380" s="231" t="str">
        <f>IF(OR(C380&gt;999999,C380/(D360+D383)&gt;0.01),"Additional Classification Necessary - See Responses-2 Tab","")</f>
        <v/>
      </c>
      <c r="F380" s="60"/>
    </row>
    <row r="381" spans="1:6" x14ac:dyDescent="0.25">
      <c r="A381" s="61" t="s">
        <v>490</v>
      </c>
      <c r="B381" s="46"/>
      <c r="C381" s="46"/>
      <c r="D381" s="32">
        <f>SUM(C370:C380)</f>
        <v>4710392</v>
      </c>
      <c r="E381" s="32"/>
      <c r="F381" s="60"/>
    </row>
    <row r="382" spans="1:6" x14ac:dyDescent="0.25">
      <c r="A382" s="56" t="s">
        <v>491</v>
      </c>
      <c r="B382" s="46" t="s">
        <v>284</v>
      </c>
      <c r="C382" s="47"/>
      <c r="D382" s="32"/>
      <c r="E382" s="20"/>
    </row>
    <row r="383" spans="1:6" x14ac:dyDescent="0.25">
      <c r="A383" s="20" t="s">
        <v>492</v>
      </c>
      <c r="B383" s="20"/>
      <c r="C383" s="27"/>
      <c r="D383" s="32">
        <f>D381+C382</f>
        <v>4710392</v>
      </c>
      <c r="E383" s="20"/>
    </row>
    <row r="384" spans="1:6" x14ac:dyDescent="0.25">
      <c r="A384" s="20" t="s">
        <v>493</v>
      </c>
      <c r="B384" s="20"/>
      <c r="C384" s="27"/>
      <c r="D384" s="32">
        <f>D367+D383</f>
        <v>155123742</v>
      </c>
      <c r="E384" s="20"/>
    </row>
    <row r="385" spans="1:5" x14ac:dyDescent="0.25">
      <c r="A385" s="20"/>
      <c r="B385" s="20"/>
      <c r="C385" s="27"/>
      <c r="D385" s="20"/>
      <c r="E385" s="20"/>
    </row>
    <row r="386" spans="1:5" x14ac:dyDescent="0.25">
      <c r="A386" s="20"/>
      <c r="B386" s="20"/>
      <c r="C386" s="27"/>
      <c r="D386" s="20"/>
      <c r="E386" s="20"/>
    </row>
    <row r="387" spans="1:5" x14ac:dyDescent="0.25">
      <c r="A387" s="20"/>
      <c r="B387" s="20"/>
      <c r="C387" s="27"/>
      <c r="D387" s="20"/>
      <c r="E387" s="20"/>
    </row>
    <row r="388" spans="1:5" x14ac:dyDescent="0.25">
      <c r="A388" s="45" t="s">
        <v>494</v>
      </c>
      <c r="B388" s="45"/>
      <c r="C388" s="45"/>
      <c r="D388" s="45"/>
      <c r="E388" s="45"/>
    </row>
    <row r="389" spans="1:5" x14ac:dyDescent="0.25">
      <c r="A389" s="20" t="s">
        <v>495</v>
      </c>
      <c r="B389" s="46" t="s">
        <v>284</v>
      </c>
      <c r="C389" s="47">
        <v>73833253</v>
      </c>
      <c r="D389" s="20"/>
      <c r="E389" s="20"/>
    </row>
    <row r="390" spans="1:5" x14ac:dyDescent="0.25">
      <c r="A390" s="20" t="s">
        <v>9</v>
      </c>
      <c r="B390" s="46" t="s">
        <v>284</v>
      </c>
      <c r="C390" s="47">
        <v>16248274</v>
      </c>
      <c r="D390" s="20"/>
      <c r="E390" s="20"/>
    </row>
    <row r="391" spans="1:5" x14ac:dyDescent="0.25">
      <c r="A391" s="20" t="s">
        <v>249</v>
      </c>
      <c r="B391" s="46" t="s">
        <v>284</v>
      </c>
      <c r="C391" s="47">
        <v>6879970</v>
      </c>
      <c r="D391" s="20"/>
      <c r="E391" s="20"/>
    </row>
    <row r="392" spans="1:5" x14ac:dyDescent="0.25">
      <c r="A392" s="20" t="s">
        <v>496</v>
      </c>
      <c r="B392" s="46" t="s">
        <v>284</v>
      </c>
      <c r="C392" s="47">
        <v>32788536</v>
      </c>
      <c r="D392" s="20"/>
      <c r="E392" s="20"/>
    </row>
    <row r="393" spans="1:5" x14ac:dyDescent="0.25">
      <c r="A393" s="20" t="s">
        <v>497</v>
      </c>
      <c r="B393" s="46" t="s">
        <v>284</v>
      </c>
      <c r="C393" s="47">
        <v>1404708</v>
      </c>
      <c r="D393" s="20"/>
      <c r="E393" s="20"/>
    </row>
    <row r="394" spans="1:5" x14ac:dyDescent="0.25">
      <c r="A394" s="20" t="s">
        <v>498</v>
      </c>
      <c r="B394" s="46" t="s">
        <v>284</v>
      </c>
      <c r="C394" s="47">
        <v>8675536</v>
      </c>
      <c r="D394" s="20"/>
      <c r="E394" s="20"/>
    </row>
    <row r="395" spans="1:5" x14ac:dyDescent="0.25">
      <c r="A395" s="20" t="s">
        <v>11</v>
      </c>
      <c r="B395" s="46" t="s">
        <v>284</v>
      </c>
      <c r="C395" s="47">
        <v>5005267</v>
      </c>
      <c r="D395" s="20"/>
      <c r="E395" s="20"/>
    </row>
    <row r="396" spans="1:5" x14ac:dyDescent="0.25">
      <c r="A396" s="20" t="s">
        <v>499</v>
      </c>
      <c r="B396" s="46" t="s">
        <v>284</v>
      </c>
      <c r="C396" s="47">
        <v>700246</v>
      </c>
      <c r="D396" s="20"/>
      <c r="E396" s="20"/>
    </row>
    <row r="397" spans="1:5" x14ac:dyDescent="0.25">
      <c r="A397" s="20" t="s">
        <v>500</v>
      </c>
      <c r="B397" s="46" t="s">
        <v>284</v>
      </c>
      <c r="C397" s="47">
        <v>1389602</v>
      </c>
      <c r="D397" s="20"/>
      <c r="E397" s="20"/>
    </row>
    <row r="398" spans="1:5" x14ac:dyDescent="0.25">
      <c r="A398" s="20" t="s">
        <v>501</v>
      </c>
      <c r="B398" s="46" t="s">
        <v>284</v>
      </c>
      <c r="C398" s="47">
        <v>1014306</v>
      </c>
      <c r="D398" s="20"/>
      <c r="E398" s="20"/>
    </row>
    <row r="399" spans="1:5" x14ac:dyDescent="0.25">
      <c r="A399" s="20" t="s">
        <v>502</v>
      </c>
      <c r="B399" s="46" t="s">
        <v>284</v>
      </c>
      <c r="C399" s="47">
        <f>90+950558</f>
        <v>950648</v>
      </c>
      <c r="D399" s="20"/>
      <c r="E399" s="20"/>
    </row>
    <row r="400" spans="1:5" x14ac:dyDescent="0.25">
      <c r="A400" s="32" t="s">
        <v>503</v>
      </c>
      <c r="B400" s="20"/>
      <c r="C400" s="20"/>
      <c r="D400" s="20"/>
      <c r="E400" s="20"/>
    </row>
    <row r="401" spans="1:9" x14ac:dyDescent="0.25">
      <c r="A401" s="33" t="s">
        <v>255</v>
      </c>
      <c r="B401" s="40" t="s">
        <v>284</v>
      </c>
      <c r="C401" s="266"/>
      <c r="D401" s="32"/>
      <c r="E401" s="32"/>
    </row>
    <row r="402" spans="1:9" x14ac:dyDescent="0.25">
      <c r="A402" s="33" t="s">
        <v>256</v>
      </c>
      <c r="B402" s="40" t="s">
        <v>284</v>
      </c>
      <c r="C402" s="266"/>
      <c r="D402" s="32"/>
      <c r="E402" s="32"/>
    </row>
    <row r="403" spans="1:9" x14ac:dyDescent="0.25">
      <c r="A403" s="33" t="s">
        <v>504</v>
      </c>
      <c r="B403" s="40" t="s">
        <v>284</v>
      </c>
      <c r="C403" s="266">
        <v>331976</v>
      </c>
      <c r="D403" s="32"/>
      <c r="E403" s="32"/>
    </row>
    <row r="404" spans="1:9" x14ac:dyDescent="0.25">
      <c r="A404" s="33" t="s">
        <v>258</v>
      </c>
      <c r="B404" s="40" t="s">
        <v>284</v>
      </c>
      <c r="C404" s="266"/>
      <c r="D404" s="32"/>
      <c r="E404" s="32"/>
    </row>
    <row r="405" spans="1:9" x14ac:dyDescent="0.25">
      <c r="A405" s="33" t="s">
        <v>259</v>
      </c>
      <c r="B405" s="40" t="s">
        <v>284</v>
      </c>
      <c r="C405" s="266"/>
      <c r="D405" s="32"/>
      <c r="E405" s="32"/>
    </row>
    <row r="406" spans="1:9" x14ac:dyDescent="0.25">
      <c r="A406" s="33" t="s">
        <v>260</v>
      </c>
      <c r="B406" s="40" t="s">
        <v>284</v>
      </c>
      <c r="C406" s="266"/>
      <c r="D406" s="32"/>
      <c r="E406" s="32"/>
    </row>
    <row r="407" spans="1:9" x14ac:dyDescent="0.25">
      <c r="A407" s="33" t="s">
        <v>261</v>
      </c>
      <c r="B407" s="40" t="s">
        <v>284</v>
      </c>
      <c r="C407" s="266"/>
      <c r="D407" s="32"/>
      <c r="E407" s="32"/>
    </row>
    <row r="408" spans="1:9" x14ac:dyDescent="0.25">
      <c r="A408" s="33" t="s">
        <v>262</v>
      </c>
      <c r="B408" s="40" t="s">
        <v>284</v>
      </c>
      <c r="C408" s="266">
        <v>1099220</v>
      </c>
      <c r="D408" s="32"/>
      <c r="E408" s="32"/>
    </row>
    <row r="409" spans="1:9" x14ac:dyDescent="0.25">
      <c r="A409" s="33" t="s">
        <v>263</v>
      </c>
      <c r="B409" s="40" t="s">
        <v>284</v>
      </c>
      <c r="C409" s="266"/>
      <c r="D409" s="32"/>
      <c r="E409" s="32"/>
    </row>
    <row r="410" spans="1:9" x14ac:dyDescent="0.25">
      <c r="A410" s="33" t="s">
        <v>264</v>
      </c>
      <c r="B410" s="40" t="s">
        <v>284</v>
      </c>
      <c r="C410" s="266">
        <v>212061</v>
      </c>
      <c r="D410" s="32"/>
      <c r="E410" s="32"/>
    </row>
    <row r="411" spans="1:9" x14ac:dyDescent="0.25">
      <c r="A411" s="33" t="s">
        <v>265</v>
      </c>
      <c r="B411" s="40" t="s">
        <v>284</v>
      </c>
      <c r="C411" s="266">
        <v>611652</v>
      </c>
      <c r="D411" s="32"/>
      <c r="E411" s="32"/>
    </row>
    <row r="412" spans="1:9" x14ac:dyDescent="0.25">
      <c r="A412" s="33" t="s">
        <v>266</v>
      </c>
      <c r="B412" s="40" t="s">
        <v>284</v>
      </c>
      <c r="C412" s="266"/>
      <c r="D412" s="32"/>
      <c r="E412" s="32"/>
    </row>
    <row r="413" spans="1:9" x14ac:dyDescent="0.25">
      <c r="A413" s="33" t="s">
        <v>267</v>
      </c>
      <c r="B413" s="40" t="s">
        <v>284</v>
      </c>
      <c r="C413" s="266"/>
      <c r="D413" s="32"/>
      <c r="E413" s="32"/>
    </row>
    <row r="414" spans="1:9" x14ac:dyDescent="0.25">
      <c r="A414" s="33" t="s">
        <v>268</v>
      </c>
      <c r="B414" s="40" t="s">
        <v>284</v>
      </c>
      <c r="C414" s="230">
        <f>2484931+1123808-SUM(C401:C413)</f>
        <v>1353830</v>
      </c>
      <c r="D414" s="32"/>
      <c r="E414" s="231" t="str">
        <f>IF(OR(C414&gt;999999,C414/(D416)&gt;0.01),"Additional Classification Necessary - See Responses-2 Tab","")</f>
        <v>Additional Classification Necessary - See Responses-2 Tab</v>
      </c>
      <c r="F414" s="60"/>
      <c r="G414" s="60"/>
      <c r="H414" s="60"/>
      <c r="I414" s="60"/>
    </row>
    <row r="415" spans="1:9" x14ac:dyDescent="0.25">
      <c r="A415" s="62" t="s">
        <v>505</v>
      </c>
      <c r="B415" s="46"/>
      <c r="C415" s="46"/>
      <c r="D415" s="32">
        <f>SUM(C401:C414)</f>
        <v>3608739</v>
      </c>
      <c r="E415" s="32"/>
      <c r="F415" s="60"/>
      <c r="G415" s="60"/>
      <c r="H415" s="60"/>
      <c r="I415" s="60"/>
    </row>
    <row r="416" spans="1:9" x14ac:dyDescent="0.25">
      <c r="A416" s="32" t="s">
        <v>506</v>
      </c>
      <c r="B416" s="20"/>
      <c r="C416" s="27"/>
      <c r="D416" s="32">
        <f>SUM(C389:C399,D415)</f>
        <v>152499085</v>
      </c>
      <c r="E416" s="32"/>
    </row>
    <row r="417" spans="1:13" x14ac:dyDescent="0.25">
      <c r="A417" s="32" t="s">
        <v>507</v>
      </c>
      <c r="B417" s="20"/>
      <c r="C417" s="27"/>
      <c r="D417" s="32">
        <f>D384-D416</f>
        <v>2624657</v>
      </c>
      <c r="E417" s="32"/>
    </row>
    <row r="418" spans="1:13" x14ac:dyDescent="0.25">
      <c r="A418" s="32" t="s">
        <v>508</v>
      </c>
      <c r="B418" s="20"/>
      <c r="C418" s="230">
        <f>512765+735256+52215+2</f>
        <v>1300238</v>
      </c>
      <c r="D418" s="32"/>
      <c r="E418" s="32"/>
    </row>
    <row r="419" spans="1:13" x14ac:dyDescent="0.25">
      <c r="A419" s="59" t="s">
        <v>509</v>
      </c>
      <c r="B419" s="46" t="s">
        <v>284</v>
      </c>
      <c r="C419" s="266">
        <v>2200653</v>
      </c>
      <c r="D419" s="32"/>
      <c r="E419" s="32"/>
    </row>
    <row r="420" spans="1:13" x14ac:dyDescent="0.25">
      <c r="A420" s="61" t="s">
        <v>510</v>
      </c>
      <c r="B420" s="20"/>
      <c r="C420" s="20"/>
      <c r="D420" s="32">
        <f>SUM(C418:C419)</f>
        <v>3500891</v>
      </c>
      <c r="E420" s="32"/>
    </row>
    <row r="421" spans="1:13" x14ac:dyDescent="0.25">
      <c r="A421" s="32" t="s">
        <v>511</v>
      </c>
      <c r="B421" s="20"/>
      <c r="C421" s="27"/>
      <c r="D421" s="32">
        <f>D417+D420</f>
        <v>6125548</v>
      </c>
      <c r="E421" s="32"/>
      <c r="F421" s="63"/>
    </row>
    <row r="422" spans="1:13" x14ac:dyDescent="0.25">
      <c r="A422" s="32" t="s">
        <v>512</v>
      </c>
      <c r="B422" s="46" t="s">
        <v>284</v>
      </c>
      <c r="C422" s="47"/>
      <c r="D422" s="32"/>
      <c r="E422" s="20"/>
    </row>
    <row r="423" spans="1:13" x14ac:dyDescent="0.25">
      <c r="A423" s="20" t="s">
        <v>513</v>
      </c>
      <c r="B423" s="46" t="s">
        <v>284</v>
      </c>
      <c r="C423" s="47"/>
      <c r="D423" s="32"/>
      <c r="E423" s="20"/>
    </row>
    <row r="424" spans="1:13" x14ac:dyDescent="0.25">
      <c r="A424" s="20" t="s">
        <v>514</v>
      </c>
      <c r="B424" s="20"/>
      <c r="C424" s="27"/>
      <c r="D424" s="32">
        <f>D421+C422-C423</f>
        <v>6125548</v>
      </c>
      <c r="E424" s="20"/>
    </row>
    <row r="427" spans="1:13" x14ac:dyDescent="0.25">
      <c r="M427" s="64"/>
    </row>
    <row r="428" spans="1:13" x14ac:dyDescent="0.25">
      <c r="M428" s="64"/>
    </row>
    <row r="429" spans="1:13" x14ac:dyDescent="0.25">
      <c r="M429" s="64"/>
    </row>
    <row r="433" spans="2:7" x14ac:dyDescent="0.25">
      <c r="B433" s="65"/>
      <c r="C433" s="65"/>
      <c r="D433" s="65"/>
      <c r="E433" s="65"/>
      <c r="F433" s="65"/>
      <c r="G433" s="65"/>
    </row>
    <row r="574" spans="2:83" x14ac:dyDescent="0.25">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row>
    <row r="578" spans="2:83" x14ac:dyDescent="0.25">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row>
    <row r="582" spans="2:83" x14ac:dyDescent="0.25">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row>
    <row r="612" spans="1:14" s="225" customFormat="1" ht="12.6" customHeight="1" x14ac:dyDescent="0.2">
      <c r="A612" s="244"/>
      <c r="C612" s="242" t="s">
        <v>515</v>
      </c>
      <c r="D612" s="249">
        <f>CE90-(BE90+CD90)</f>
        <v>136461</v>
      </c>
      <c r="E612" s="251">
        <f>SUM(C624:D647)+SUM(C668:D713)</f>
        <v>143123337.27548531</v>
      </c>
      <c r="F612" s="251">
        <f>CE64-(AX64+BD64+BE64+BG64+BJ64+BN64+BP64+BQ64+CB64+CC64+CD64)</f>
        <v>32619812</v>
      </c>
      <c r="G612" s="249">
        <f>CE91-(AX91+AY91+BD91+BE91+BG91+BJ91+BN91+BP91+BQ91+CB91+CC91+CD91)</f>
        <v>16852</v>
      </c>
      <c r="H612" s="254">
        <f>CE60-(AX60+AY60+AZ60+BD60+BE60+BG60+BJ60+BN60+BO60+BP60+BQ60+BR60+CB60+CC60+CD60)</f>
        <v>634.34000000000015</v>
      </c>
      <c r="I612" s="249">
        <f>CE92-(AX92+AY92+AZ92+BD92+BE92+BF92+BG92+BJ92+BN92+BO92+BP92+BQ92+BR92+CB92+CC92+CD92)</f>
        <v>3087</v>
      </c>
      <c r="J612" s="249">
        <f>CE93-(AX93+AY93+AZ93+BA93+BD93+BE93+BF93+BG93+BJ93+BN93+BO93+BP93+BQ93+BR93+CB93+CC93+CD93)</f>
        <v>279208</v>
      </c>
      <c r="K612" s="249">
        <f>CE89-(AW89+AX89+AY89+AZ89+BA89+BB89+BC89+BD89+BE89+BF89+BG89+BH89+BI89+BJ89+BK89+BL89+BM89+BN89+BO89+BP89+BQ89+BR89+BS89+BT89+BU89+BV89+BW89+BX89+CB89+CC89+CD89)</f>
        <v>320025847</v>
      </c>
      <c r="L612" s="255">
        <f>CE94-(AW94+AX94+AY94+AZ94+BA94+BB94+BC94+BD94+BE94+BF94+BG94+BH94+BI94+BJ94+BK94+BL94+BM94+BN94+BO94+BP94+BQ94+BR94+BS94+BT94+BU94+BV94+BW94+BX94+BY94+BZ94+CA94+CB94+CC94+CD94)</f>
        <v>92.759999999999991</v>
      </c>
    </row>
    <row r="613" spans="1:14" s="225" customFormat="1" ht="12.6" customHeight="1" x14ac:dyDescent="0.2">
      <c r="A613" s="244"/>
      <c r="C613" s="242" t="s">
        <v>516</v>
      </c>
      <c r="D613" s="250" t="s">
        <v>517</v>
      </c>
      <c r="E613" s="252" t="s">
        <v>518</v>
      </c>
      <c r="F613" s="253" t="s">
        <v>519</v>
      </c>
      <c r="G613" s="250" t="s">
        <v>520</v>
      </c>
      <c r="H613" s="253" t="s">
        <v>521</v>
      </c>
      <c r="I613" s="250" t="s">
        <v>522</v>
      </c>
      <c r="J613" s="250" t="s">
        <v>523</v>
      </c>
      <c r="K613" s="242" t="s">
        <v>524</v>
      </c>
      <c r="L613" s="243" t="s">
        <v>525</v>
      </c>
    </row>
    <row r="614" spans="1:14" s="225" customFormat="1" ht="12.6" customHeight="1" x14ac:dyDescent="0.2">
      <c r="A614" s="244">
        <v>8430</v>
      </c>
      <c r="B614" s="243" t="s">
        <v>152</v>
      </c>
      <c r="C614" s="249">
        <f>BE85</f>
        <v>3022789</v>
      </c>
      <c r="D614" s="249"/>
      <c r="E614" s="251"/>
      <c r="F614" s="251"/>
      <c r="G614" s="249"/>
      <c r="H614" s="251"/>
      <c r="I614" s="249"/>
      <c r="J614" s="249"/>
      <c r="N614" s="245" t="s">
        <v>526</v>
      </c>
    </row>
    <row r="615" spans="1:14" s="225" customFormat="1" ht="12.6" customHeight="1" x14ac:dyDescent="0.2">
      <c r="A615" s="244"/>
      <c r="B615" s="243" t="s">
        <v>527</v>
      </c>
      <c r="C615" s="249">
        <f>CD69-CD84</f>
        <v>3379143</v>
      </c>
      <c r="D615" s="249">
        <f>SUM(C614:C615)</f>
        <v>6401932</v>
      </c>
      <c r="E615" s="251"/>
      <c r="F615" s="251"/>
      <c r="G615" s="249"/>
      <c r="H615" s="251"/>
      <c r="I615" s="249"/>
      <c r="J615" s="249"/>
      <c r="N615" s="245" t="s">
        <v>528</v>
      </c>
    </row>
    <row r="616" spans="1:14" s="225" customFormat="1" ht="12.6" customHeight="1" x14ac:dyDescent="0.2">
      <c r="A616" s="244">
        <v>8310</v>
      </c>
      <c r="B616" s="248" t="s">
        <v>529</v>
      </c>
      <c r="C616" s="249">
        <f>AX85</f>
        <v>0</v>
      </c>
      <c r="D616" s="249">
        <f>(D615/D612)*AX90</f>
        <v>0</v>
      </c>
      <c r="E616" s="251"/>
      <c r="F616" s="251"/>
      <c r="G616" s="249"/>
      <c r="H616" s="251"/>
      <c r="I616" s="249"/>
      <c r="J616" s="249"/>
      <c r="N616" s="245" t="s">
        <v>530</v>
      </c>
    </row>
    <row r="617" spans="1:14" s="225" customFormat="1" ht="12.6" customHeight="1" x14ac:dyDescent="0.2">
      <c r="A617" s="244">
        <v>8510</v>
      </c>
      <c r="B617" s="248" t="s">
        <v>157</v>
      </c>
      <c r="C617" s="249">
        <f>BJ85</f>
        <v>0</v>
      </c>
      <c r="D617" s="249">
        <f>(D615/D612)*BJ90</f>
        <v>0</v>
      </c>
      <c r="E617" s="251"/>
      <c r="F617" s="251"/>
      <c r="G617" s="249"/>
      <c r="H617" s="251"/>
      <c r="I617" s="249"/>
      <c r="J617" s="249"/>
      <c r="N617" s="245" t="s">
        <v>531</v>
      </c>
    </row>
    <row r="618" spans="1:14" s="225" customFormat="1" ht="12.6" customHeight="1" x14ac:dyDescent="0.2">
      <c r="A618" s="244">
        <v>8470</v>
      </c>
      <c r="B618" s="248" t="s">
        <v>532</v>
      </c>
      <c r="C618" s="249">
        <f>BG85</f>
        <v>419193</v>
      </c>
      <c r="D618" s="249">
        <f>(D615/D612)*BG90</f>
        <v>0</v>
      </c>
      <c r="E618" s="251"/>
      <c r="F618" s="251"/>
      <c r="G618" s="249"/>
      <c r="H618" s="251"/>
      <c r="I618" s="249"/>
      <c r="J618" s="249"/>
      <c r="N618" s="245" t="s">
        <v>533</v>
      </c>
    </row>
    <row r="619" spans="1:14" s="225" customFormat="1" ht="12.6" customHeight="1" x14ac:dyDescent="0.2">
      <c r="A619" s="244">
        <v>8610</v>
      </c>
      <c r="B619" s="248" t="s">
        <v>534</v>
      </c>
      <c r="C619" s="249">
        <f>BN85</f>
        <v>0</v>
      </c>
      <c r="D619" s="249">
        <f>(D615/D612)*BN90</f>
        <v>0</v>
      </c>
      <c r="E619" s="251"/>
      <c r="F619" s="251"/>
      <c r="G619" s="249"/>
      <c r="H619" s="251"/>
      <c r="I619" s="249"/>
      <c r="J619" s="249"/>
      <c r="N619" s="245" t="s">
        <v>535</v>
      </c>
    </row>
    <row r="620" spans="1:14" s="225" customFormat="1" ht="12.6" customHeight="1" x14ac:dyDescent="0.2">
      <c r="A620" s="244">
        <v>8790</v>
      </c>
      <c r="B620" s="248" t="s">
        <v>536</v>
      </c>
      <c r="C620" s="249">
        <f>CC85</f>
        <v>8237999</v>
      </c>
      <c r="D620" s="249">
        <f>(D615/D612)*CC90</f>
        <v>718628.72451469651</v>
      </c>
      <c r="E620" s="251"/>
      <c r="F620" s="251"/>
      <c r="G620" s="249"/>
      <c r="H620" s="251"/>
      <c r="I620" s="249"/>
      <c r="J620" s="249"/>
      <c r="N620" s="245" t="s">
        <v>537</v>
      </c>
    </row>
    <row r="621" spans="1:14" s="225" customFormat="1" ht="12.6" customHeight="1" x14ac:dyDescent="0.2">
      <c r="A621" s="244">
        <v>8630</v>
      </c>
      <c r="B621" s="248" t="s">
        <v>538</v>
      </c>
      <c r="C621" s="249">
        <f>BP85</f>
        <v>0</v>
      </c>
      <c r="D621" s="249">
        <f>(D615/D612)*BP90</f>
        <v>0</v>
      </c>
      <c r="E621" s="251"/>
      <c r="F621" s="251"/>
      <c r="G621" s="249"/>
      <c r="H621" s="251"/>
      <c r="I621" s="249"/>
      <c r="J621" s="249"/>
      <c r="N621" s="245" t="s">
        <v>539</v>
      </c>
    </row>
    <row r="622" spans="1:14" s="225" customFormat="1" ht="12.6" customHeight="1" x14ac:dyDescent="0.2">
      <c r="A622" s="244">
        <v>8770</v>
      </c>
      <c r="B622" s="243" t="s">
        <v>540</v>
      </c>
      <c r="C622" s="249">
        <f>CB85</f>
        <v>0</v>
      </c>
      <c r="D622" s="249">
        <f>(D615/D612)*CB90</f>
        <v>0</v>
      </c>
      <c r="E622" s="251"/>
      <c r="F622" s="251"/>
      <c r="G622" s="249"/>
      <c r="H622" s="251"/>
      <c r="I622" s="249"/>
      <c r="J622" s="249"/>
      <c r="N622" s="245" t="s">
        <v>541</v>
      </c>
    </row>
    <row r="623" spans="1:14" s="225" customFormat="1" ht="12.6" customHeight="1" x14ac:dyDescent="0.2">
      <c r="A623" s="244">
        <v>8640</v>
      </c>
      <c r="B623" s="248" t="s">
        <v>542</v>
      </c>
      <c r="C623" s="249">
        <f>BQ85</f>
        <v>0</v>
      </c>
      <c r="D623" s="249">
        <f>(D615/D612)*BQ90</f>
        <v>0</v>
      </c>
      <c r="E623" s="251">
        <f>SUM(C616:D623)</f>
        <v>9375820.7245146967</v>
      </c>
      <c r="F623" s="251"/>
      <c r="G623" s="249"/>
      <c r="H623" s="251"/>
      <c r="I623" s="249"/>
      <c r="J623" s="249"/>
      <c r="N623" s="245" t="s">
        <v>543</v>
      </c>
    </row>
    <row r="624" spans="1:14" s="225" customFormat="1" ht="12.6" customHeight="1" x14ac:dyDescent="0.2">
      <c r="A624" s="244">
        <v>8420</v>
      </c>
      <c r="B624" s="248" t="s">
        <v>151</v>
      </c>
      <c r="C624" s="249">
        <f>BD85</f>
        <v>484268</v>
      </c>
      <c r="D624" s="249">
        <f>(D615/D612)*BD90</f>
        <v>0</v>
      </c>
      <c r="E624" s="251">
        <f>(E623/E612)*SUM(C624:D624)</f>
        <v>31723.756845327425</v>
      </c>
      <c r="F624" s="251">
        <f>SUM(C624:E624)</f>
        <v>515991.75684532744</v>
      </c>
      <c r="G624" s="249"/>
      <c r="H624" s="251"/>
      <c r="I624" s="249"/>
      <c r="J624" s="249"/>
      <c r="N624" s="245" t="s">
        <v>544</v>
      </c>
    </row>
    <row r="625" spans="1:14" s="225" customFormat="1" ht="12.6" customHeight="1" x14ac:dyDescent="0.2">
      <c r="A625" s="244">
        <v>8320</v>
      </c>
      <c r="B625" s="248" t="s">
        <v>147</v>
      </c>
      <c r="C625" s="249">
        <f>AY85</f>
        <v>1680447</v>
      </c>
      <c r="D625" s="249">
        <f>(D615/D612)*AY90</f>
        <v>0</v>
      </c>
      <c r="E625" s="251">
        <f>(E623/E612)*SUM(C625:D625)</f>
        <v>110083.86269474741</v>
      </c>
      <c r="F625" s="251">
        <f>(F624/F612)*AY64</f>
        <v>8026.8500965559242</v>
      </c>
      <c r="G625" s="249">
        <f>SUM(C625:F625)</f>
        <v>1798557.7127913034</v>
      </c>
      <c r="H625" s="251"/>
      <c r="I625" s="249"/>
      <c r="J625" s="249"/>
      <c r="N625" s="245" t="s">
        <v>545</v>
      </c>
    </row>
    <row r="626" spans="1:14" s="225" customFormat="1" ht="12.6" customHeight="1" x14ac:dyDescent="0.2">
      <c r="A626" s="244">
        <v>8650</v>
      </c>
      <c r="B626" s="248" t="s">
        <v>164</v>
      </c>
      <c r="C626" s="249">
        <f>BR85</f>
        <v>1524067</v>
      </c>
      <c r="D626" s="249">
        <f>(D615/D612)*BR90</f>
        <v>63568.476414506709</v>
      </c>
      <c r="E626" s="251">
        <f>(E623/E612)*SUM(C626:D626)</f>
        <v>104003.90241103971</v>
      </c>
      <c r="F626" s="251">
        <f>(F624/F612)*BR64</f>
        <v>260.38593690947499</v>
      </c>
      <c r="G626" s="249">
        <f>(G625/G612)*BR91</f>
        <v>0</v>
      </c>
      <c r="H626" s="251"/>
      <c r="I626" s="249"/>
      <c r="J626" s="249"/>
      <c r="N626" s="245" t="s">
        <v>546</v>
      </c>
    </row>
    <row r="627" spans="1:14" s="225" customFormat="1" ht="12.6" customHeight="1" x14ac:dyDescent="0.2">
      <c r="A627" s="244">
        <v>8620</v>
      </c>
      <c r="B627" s="243" t="s">
        <v>547</v>
      </c>
      <c r="C627" s="249">
        <f>BO85</f>
        <v>286711</v>
      </c>
      <c r="D627" s="249">
        <f>(D615/D612)*BO90</f>
        <v>11400.103150350649</v>
      </c>
      <c r="E627" s="251">
        <f>(E623/E612)*SUM(C627:D627)</f>
        <v>19528.864490806838</v>
      </c>
      <c r="F627" s="251">
        <f>(F624/F612)*BO64</f>
        <v>583.76056228098321</v>
      </c>
      <c r="G627" s="249">
        <f>(G625/G612)*BO91</f>
        <v>0</v>
      </c>
      <c r="H627" s="251"/>
      <c r="I627" s="249"/>
      <c r="J627" s="249"/>
      <c r="N627" s="245" t="s">
        <v>548</v>
      </c>
    </row>
    <row r="628" spans="1:14" s="225" customFormat="1" ht="12.6" customHeight="1" x14ac:dyDescent="0.2">
      <c r="A628" s="244">
        <v>8330</v>
      </c>
      <c r="B628" s="248" t="s">
        <v>148</v>
      </c>
      <c r="C628" s="249">
        <f>AZ85</f>
        <v>143973</v>
      </c>
      <c r="D628" s="249">
        <f>(D615/D612)*AZ90</f>
        <v>201401.82232286147</v>
      </c>
      <c r="E628" s="251">
        <f>(E623/E612)*SUM(C628:D628)</f>
        <v>22625.048287040689</v>
      </c>
      <c r="F628" s="251">
        <f>(F624/F612)*AZ64</f>
        <v>0</v>
      </c>
      <c r="G628" s="249">
        <f>(G625/G612)*AZ91</f>
        <v>0</v>
      </c>
      <c r="H628" s="251">
        <f>SUM(C626:G628)</f>
        <v>2378123.3635757966</v>
      </c>
      <c r="I628" s="249"/>
      <c r="J628" s="249"/>
      <c r="N628" s="245" t="s">
        <v>549</v>
      </c>
    </row>
    <row r="629" spans="1:14" s="225" customFormat="1" ht="12.6" customHeight="1" x14ac:dyDescent="0.2">
      <c r="A629" s="244">
        <v>8460</v>
      </c>
      <c r="B629" s="248" t="s">
        <v>153</v>
      </c>
      <c r="C629" s="249">
        <f>BF85</f>
        <v>1727807</v>
      </c>
      <c r="D629" s="249">
        <f>(D615/D612)*BF90</f>
        <v>152048.28934274262</v>
      </c>
      <c r="E629" s="251">
        <f>(E623/E612)*SUM(C629:D629)</f>
        <v>123146.83626320922</v>
      </c>
      <c r="F629" s="251">
        <f>(F624/F612)*BF64</f>
        <v>3098.768232960052</v>
      </c>
      <c r="G629" s="249">
        <f>(G625/G612)*BF91</f>
        <v>0</v>
      </c>
      <c r="H629" s="251">
        <f>(H628/H612)*BF60</f>
        <v>85963.94477219315</v>
      </c>
      <c r="I629" s="249">
        <f>SUM(C629:H629)</f>
        <v>2092064.838611105</v>
      </c>
      <c r="J629" s="249"/>
      <c r="N629" s="245" t="s">
        <v>550</v>
      </c>
    </row>
    <row r="630" spans="1:14" s="225" customFormat="1" ht="12.6" customHeight="1" x14ac:dyDescent="0.2">
      <c r="A630" s="244">
        <v>8350</v>
      </c>
      <c r="B630" s="248" t="s">
        <v>551</v>
      </c>
      <c r="C630" s="249">
        <f>BA85</f>
        <v>343589</v>
      </c>
      <c r="D630" s="249">
        <f>(D615/D612)*BA90</f>
        <v>0</v>
      </c>
      <c r="E630" s="251">
        <f>(E623/E612)*SUM(C630:D630)</f>
        <v>22508.061426171469</v>
      </c>
      <c r="F630" s="251">
        <f>(F624/F612)*BA64</f>
        <v>711.09831771025688</v>
      </c>
      <c r="G630" s="249">
        <f>(G625/G612)*BA91</f>
        <v>0</v>
      </c>
      <c r="H630" s="251">
        <f>(H628/H612)*BA60</f>
        <v>0</v>
      </c>
      <c r="I630" s="249">
        <f>(I629/I612)*BA92</f>
        <v>0</v>
      </c>
      <c r="J630" s="249">
        <f>SUM(C630:I630)</f>
        <v>366808.15974388173</v>
      </c>
      <c r="N630" s="245" t="s">
        <v>552</v>
      </c>
    </row>
    <row r="631" spans="1:14" s="225" customFormat="1" ht="12.6" customHeight="1" x14ac:dyDescent="0.2">
      <c r="A631" s="244">
        <v>8200</v>
      </c>
      <c r="B631" s="248" t="s">
        <v>553</v>
      </c>
      <c r="C631" s="249">
        <f>AW85</f>
        <v>0</v>
      </c>
      <c r="D631" s="249">
        <f>(D615/D612)*AW90</f>
        <v>0</v>
      </c>
      <c r="E631" s="251">
        <f>(E623/E612)*SUM(C631:D631)</f>
        <v>0</v>
      </c>
      <c r="F631" s="251">
        <f>(F624/F612)*AW64</f>
        <v>0</v>
      </c>
      <c r="G631" s="249">
        <f>(G625/G612)*AW91</f>
        <v>0</v>
      </c>
      <c r="H631" s="251">
        <f>(H628/H612)*AW60</f>
        <v>0</v>
      </c>
      <c r="I631" s="249">
        <f>(I629/I612)*AW92</f>
        <v>0</v>
      </c>
      <c r="J631" s="249">
        <f>(J630/J612)*AW93</f>
        <v>0</v>
      </c>
      <c r="N631" s="245" t="s">
        <v>554</v>
      </c>
    </row>
    <row r="632" spans="1:14" s="225" customFormat="1" ht="12.6" customHeight="1" x14ac:dyDescent="0.2">
      <c r="A632" s="244">
        <v>8360</v>
      </c>
      <c r="B632" s="248" t="s">
        <v>555</v>
      </c>
      <c r="C632" s="249">
        <f>BB85</f>
        <v>0</v>
      </c>
      <c r="D632" s="249">
        <f>(D615/D612)*BB90</f>
        <v>0</v>
      </c>
      <c r="E632" s="251">
        <f>(E623/E612)*SUM(C632:D632)</f>
        <v>0</v>
      </c>
      <c r="F632" s="251">
        <f>(F624/F612)*BB64</f>
        <v>0</v>
      </c>
      <c r="G632" s="249">
        <f>(G625/G612)*BB91</f>
        <v>0</v>
      </c>
      <c r="H632" s="251">
        <f>(H628/H612)*BB60</f>
        <v>0</v>
      </c>
      <c r="I632" s="249">
        <f>(I629/I612)*BB92</f>
        <v>0</v>
      </c>
      <c r="J632" s="249">
        <f>(J630/J612)*BB93</f>
        <v>0</v>
      </c>
      <c r="N632" s="245" t="s">
        <v>556</v>
      </c>
    </row>
    <row r="633" spans="1:14" s="225" customFormat="1" ht="12.6" customHeight="1" x14ac:dyDescent="0.2">
      <c r="A633" s="244">
        <v>8370</v>
      </c>
      <c r="B633" s="248" t="s">
        <v>557</v>
      </c>
      <c r="C633" s="249">
        <f>BC85</f>
        <v>0</v>
      </c>
      <c r="D633" s="249">
        <f>(D615/D612)*BC90</f>
        <v>0</v>
      </c>
      <c r="E633" s="251">
        <f>(E623/E612)*SUM(C633:D633)</f>
        <v>0</v>
      </c>
      <c r="F633" s="251">
        <f>(F624/F612)*BC64</f>
        <v>0</v>
      </c>
      <c r="G633" s="249">
        <f>(G625/G612)*BC91</f>
        <v>0</v>
      </c>
      <c r="H633" s="251">
        <f>(H628/H612)*BC60</f>
        <v>0</v>
      </c>
      <c r="I633" s="249">
        <f>(I629/I612)*BC92</f>
        <v>0</v>
      </c>
      <c r="J633" s="249">
        <f>(J630/J612)*BC93</f>
        <v>0</v>
      </c>
      <c r="N633" s="245" t="s">
        <v>558</v>
      </c>
    </row>
    <row r="634" spans="1:14" s="225" customFormat="1" ht="12.6" customHeight="1" x14ac:dyDescent="0.2">
      <c r="A634" s="244">
        <v>8490</v>
      </c>
      <c r="B634" s="248" t="s">
        <v>559</v>
      </c>
      <c r="C634" s="249">
        <f>BI85</f>
        <v>0</v>
      </c>
      <c r="D634" s="249">
        <f>(D615/D612)*BI90</f>
        <v>0</v>
      </c>
      <c r="E634" s="251">
        <f>(E623/E612)*SUM(C634:D634)</f>
        <v>0</v>
      </c>
      <c r="F634" s="251">
        <f>(F624/F612)*BI64</f>
        <v>0</v>
      </c>
      <c r="G634" s="249">
        <f>(G625/G612)*BI91</f>
        <v>0</v>
      </c>
      <c r="H634" s="251">
        <f>(H628/H612)*BI60</f>
        <v>0</v>
      </c>
      <c r="I634" s="249">
        <f>(I629/I612)*BI92</f>
        <v>0</v>
      </c>
      <c r="J634" s="249">
        <f>(J630/J612)*BI93</f>
        <v>0</v>
      </c>
      <c r="N634" s="245" t="s">
        <v>560</v>
      </c>
    </row>
    <row r="635" spans="1:14" s="225" customFormat="1" ht="12.6" customHeight="1" x14ac:dyDescent="0.2">
      <c r="A635" s="244">
        <v>8530</v>
      </c>
      <c r="B635" s="248" t="s">
        <v>561</v>
      </c>
      <c r="C635" s="249">
        <f>BK85</f>
        <v>2787744</v>
      </c>
      <c r="D635" s="249">
        <f>(D615/D612)*BK90</f>
        <v>77126.623782619208</v>
      </c>
      <c r="E635" s="251">
        <f>(E623/E612)*SUM(C635:D635)</f>
        <v>187673.88937985027</v>
      </c>
      <c r="F635" s="251">
        <f>(F624/F612)*BK64</f>
        <v>763.12488635707439</v>
      </c>
      <c r="G635" s="249">
        <f>(G625/G612)*BK91</f>
        <v>0</v>
      </c>
      <c r="H635" s="251">
        <f>(H628/H612)*BK60</f>
        <v>101222.26379630245</v>
      </c>
      <c r="I635" s="249">
        <f>(I629/I612)*BK92</f>
        <v>10165.523997138509</v>
      </c>
      <c r="J635" s="249">
        <f>(J630/J612)*BK93</f>
        <v>0</v>
      </c>
      <c r="N635" s="245" t="s">
        <v>562</v>
      </c>
    </row>
    <row r="636" spans="1:14" s="225" customFormat="1" ht="12.6" customHeight="1" x14ac:dyDescent="0.2">
      <c r="A636" s="244">
        <v>8480</v>
      </c>
      <c r="B636" s="248" t="s">
        <v>563</v>
      </c>
      <c r="C636" s="249">
        <f>BH85</f>
        <v>4942289</v>
      </c>
      <c r="D636" s="249">
        <f>(D615/D612)*BH90</f>
        <v>262859.16852434032</v>
      </c>
      <c r="E636" s="251">
        <f>(E623/E612)*SUM(C636:D636)</f>
        <v>340982.37926554627</v>
      </c>
      <c r="F636" s="251">
        <f>(F624/F612)*BH64</f>
        <v>5172.8867211143124</v>
      </c>
      <c r="G636" s="249">
        <f>(G625/G612)*BH91</f>
        <v>0</v>
      </c>
      <c r="H636" s="251">
        <f>(H628/H612)*BH60</f>
        <v>66769.204378227645</v>
      </c>
      <c r="I636" s="249">
        <f>(I629/I612)*BH92</f>
        <v>8132.4191977108076</v>
      </c>
      <c r="J636" s="249">
        <f>(J630/J612)*BH93</f>
        <v>4093.6299309544688</v>
      </c>
      <c r="N636" s="245" t="s">
        <v>564</v>
      </c>
    </row>
    <row r="637" spans="1:14" s="225" customFormat="1" ht="12.6" customHeight="1" x14ac:dyDescent="0.2">
      <c r="A637" s="244">
        <v>8560</v>
      </c>
      <c r="B637" s="248" t="s">
        <v>159</v>
      </c>
      <c r="C637" s="249">
        <f>BL85</f>
        <v>1110024</v>
      </c>
      <c r="D637" s="249">
        <f>(D615/D612)*BL90</f>
        <v>92936.643377961474</v>
      </c>
      <c r="E637" s="251">
        <f>(E623/E612)*SUM(C637:D637)</f>
        <v>78804.36234692586</v>
      </c>
      <c r="F637" s="251">
        <f>(F624/F612)*BL64</f>
        <v>255.75115897894366</v>
      </c>
      <c r="G637" s="249">
        <f>(G625/G612)*BL91</f>
        <v>0</v>
      </c>
      <c r="H637" s="251">
        <f>(H628/H612)*BL60</f>
        <v>62607.844644379657</v>
      </c>
      <c r="I637" s="249">
        <f>(I629/I612)*BL92</f>
        <v>10165.523997138509</v>
      </c>
      <c r="J637" s="249">
        <f>(J630/J612)*BL93</f>
        <v>0</v>
      </c>
      <c r="N637" s="245" t="s">
        <v>565</v>
      </c>
    </row>
    <row r="638" spans="1:14" s="225" customFormat="1" ht="12.6" customHeight="1" x14ac:dyDescent="0.2">
      <c r="A638" s="244">
        <v>8590</v>
      </c>
      <c r="B638" s="248" t="s">
        <v>566</v>
      </c>
      <c r="C638" s="249">
        <f>BM85</f>
        <v>0</v>
      </c>
      <c r="D638" s="249">
        <f>(D615/D612)*BM90</f>
        <v>0</v>
      </c>
      <c r="E638" s="251">
        <f>(E623/E612)*SUM(C638:D638)</f>
        <v>0</v>
      </c>
      <c r="F638" s="251">
        <f>(F624/F612)*BM64</f>
        <v>0</v>
      </c>
      <c r="G638" s="249">
        <f>(G625/G612)*BM91</f>
        <v>0</v>
      </c>
      <c r="H638" s="251">
        <f>(H628/H612)*BM60</f>
        <v>0</v>
      </c>
      <c r="I638" s="249">
        <f>(I629/I612)*BM92</f>
        <v>0</v>
      </c>
      <c r="J638" s="249">
        <f>(J630/J612)*BM93</f>
        <v>0</v>
      </c>
      <c r="N638" s="245" t="s">
        <v>567</v>
      </c>
    </row>
    <row r="639" spans="1:14" s="225" customFormat="1" ht="12.6" customHeight="1" x14ac:dyDescent="0.2">
      <c r="A639" s="244">
        <v>8660</v>
      </c>
      <c r="B639" s="248" t="s">
        <v>568</v>
      </c>
      <c r="C639" s="249">
        <f>BS85</f>
        <v>0</v>
      </c>
      <c r="D639" s="249">
        <f>(D615/D612)*BS90</f>
        <v>0</v>
      </c>
      <c r="E639" s="251">
        <f>(E623/E612)*SUM(C639:D639)</f>
        <v>0</v>
      </c>
      <c r="F639" s="251">
        <f>(F624/F612)*BS64</f>
        <v>0</v>
      </c>
      <c r="G639" s="249">
        <f>(G625/G612)*BS91</f>
        <v>0</v>
      </c>
      <c r="H639" s="251">
        <f>(H628/H612)*BS60</f>
        <v>0</v>
      </c>
      <c r="I639" s="249">
        <f>(I629/I612)*BS92</f>
        <v>0</v>
      </c>
      <c r="J639" s="249">
        <f>(J630/J612)*BS93</f>
        <v>0</v>
      </c>
      <c r="N639" s="245" t="s">
        <v>569</v>
      </c>
    </row>
    <row r="640" spans="1:14" s="225" customFormat="1" ht="12.6" customHeight="1" x14ac:dyDescent="0.2">
      <c r="A640" s="244">
        <v>8670</v>
      </c>
      <c r="B640" s="248" t="s">
        <v>570</v>
      </c>
      <c r="C640" s="249">
        <f>BT85</f>
        <v>0</v>
      </c>
      <c r="D640" s="249">
        <f>(D615/D612)*BT90</f>
        <v>0</v>
      </c>
      <c r="E640" s="251">
        <f>(E623/E612)*SUM(C640:D640)</f>
        <v>0</v>
      </c>
      <c r="F640" s="251">
        <f>(F624/F612)*BT64</f>
        <v>0</v>
      </c>
      <c r="G640" s="249">
        <f>(G625/G612)*BT91</f>
        <v>0</v>
      </c>
      <c r="H640" s="251">
        <f>(H628/H612)*BT60</f>
        <v>0</v>
      </c>
      <c r="I640" s="249">
        <f>(I629/I612)*BT92</f>
        <v>0</v>
      </c>
      <c r="J640" s="249">
        <f>(J630/J612)*BT93</f>
        <v>0</v>
      </c>
      <c r="N640" s="245" t="s">
        <v>571</v>
      </c>
    </row>
    <row r="641" spans="1:14" s="225" customFormat="1" ht="12.6" customHeight="1" x14ac:dyDescent="0.2">
      <c r="A641" s="244">
        <v>8680</v>
      </c>
      <c r="B641" s="248" t="s">
        <v>572</v>
      </c>
      <c r="C641" s="249">
        <f>BU85</f>
        <v>0</v>
      </c>
      <c r="D641" s="249">
        <f>(D615/D612)*BU90</f>
        <v>0</v>
      </c>
      <c r="E641" s="251">
        <f>(E623/E612)*SUM(C641:D641)</f>
        <v>0</v>
      </c>
      <c r="F641" s="251">
        <f>(F624/F612)*BU64</f>
        <v>0</v>
      </c>
      <c r="G641" s="249">
        <f>(G625/G612)*BU91</f>
        <v>0</v>
      </c>
      <c r="H641" s="251">
        <f>(H628/H612)*BU60</f>
        <v>0</v>
      </c>
      <c r="I641" s="249">
        <f>(I629/I612)*BU92</f>
        <v>0</v>
      </c>
      <c r="J641" s="249">
        <f>(J630/J612)*BU93</f>
        <v>0</v>
      </c>
      <c r="N641" s="245" t="s">
        <v>573</v>
      </c>
    </row>
    <row r="642" spans="1:14" s="225" customFormat="1" ht="12.6" customHeight="1" x14ac:dyDescent="0.2">
      <c r="A642" s="244">
        <v>8690</v>
      </c>
      <c r="B642" s="248" t="s">
        <v>574</v>
      </c>
      <c r="C642" s="249">
        <f>BV85</f>
        <v>909911</v>
      </c>
      <c r="D642" s="249">
        <f>(D615/D612)*BV90</f>
        <v>0</v>
      </c>
      <c r="E642" s="251">
        <f>(E623/E612)*SUM(C642:D642)</f>
        <v>59607.06739840073</v>
      </c>
      <c r="F642" s="251">
        <f>(F624/F612)*BV64</f>
        <v>206.93571633860347</v>
      </c>
      <c r="G642" s="249">
        <f>(G625/G612)*BV91</f>
        <v>0</v>
      </c>
      <c r="H642" s="251">
        <f>(H628/H612)*BV60</f>
        <v>37527.217059295828</v>
      </c>
      <c r="I642" s="249">
        <f>(I629/I612)*BV92</f>
        <v>0</v>
      </c>
      <c r="J642" s="249">
        <f>(J630/J612)*BV93</f>
        <v>0</v>
      </c>
      <c r="N642" s="245" t="s">
        <v>575</v>
      </c>
    </row>
    <row r="643" spans="1:14" s="225" customFormat="1" ht="12.6" customHeight="1" x14ac:dyDescent="0.2">
      <c r="A643" s="244">
        <v>8700</v>
      </c>
      <c r="B643" s="248" t="s">
        <v>576</v>
      </c>
      <c r="C643" s="249">
        <f>BW85</f>
        <v>0</v>
      </c>
      <c r="D643" s="249">
        <f>(D615/D612)*BW90</f>
        <v>0</v>
      </c>
      <c r="E643" s="251">
        <f>(E623/E612)*SUM(C643:D643)</f>
        <v>0</v>
      </c>
      <c r="F643" s="251">
        <f>(F624/F612)*BW64</f>
        <v>0</v>
      </c>
      <c r="G643" s="249">
        <f>(G625/G612)*BW91</f>
        <v>0</v>
      </c>
      <c r="H643" s="251">
        <f>(H628/H612)*BW60</f>
        <v>0</v>
      </c>
      <c r="I643" s="249">
        <f>(I629/I612)*BW92</f>
        <v>0</v>
      </c>
      <c r="J643" s="249">
        <f>(J630/J612)*BW93</f>
        <v>0</v>
      </c>
      <c r="N643" s="245" t="s">
        <v>577</v>
      </c>
    </row>
    <row r="644" spans="1:14" s="225" customFormat="1" ht="12.6" customHeight="1" x14ac:dyDescent="0.2">
      <c r="A644" s="244">
        <v>8710</v>
      </c>
      <c r="B644" s="248" t="s">
        <v>578</v>
      </c>
      <c r="C644" s="249">
        <f>BX85</f>
        <v>0</v>
      </c>
      <c r="D644" s="249">
        <f>(D615/D612)*BX90</f>
        <v>0</v>
      </c>
      <c r="E644" s="251">
        <f>(E623/E612)*SUM(C644:D644)</f>
        <v>0</v>
      </c>
      <c r="F644" s="251">
        <f>(F624/F612)*BX64</f>
        <v>0</v>
      </c>
      <c r="G644" s="249">
        <f>(G625/G612)*BX91</f>
        <v>0</v>
      </c>
      <c r="H644" s="251">
        <f>(H628/H612)*BX60</f>
        <v>0</v>
      </c>
      <c r="I644" s="249">
        <f>(I629/I612)*BX92</f>
        <v>0</v>
      </c>
      <c r="J644" s="249">
        <f>(J630/J612)*BX93</f>
        <v>0</v>
      </c>
      <c r="K644" s="251">
        <f>SUM(C631:J644)</f>
        <v>11157040.45955958</v>
      </c>
      <c r="L644" s="251"/>
      <c r="N644" s="245" t="s">
        <v>579</v>
      </c>
    </row>
    <row r="645" spans="1:14" s="225" customFormat="1" ht="12.6" customHeight="1" x14ac:dyDescent="0.2">
      <c r="A645" s="244">
        <v>8720</v>
      </c>
      <c r="B645" s="248" t="s">
        <v>580</v>
      </c>
      <c r="C645" s="249">
        <f>BY85</f>
        <v>3176969</v>
      </c>
      <c r="D645" s="249">
        <f>(D615/D612)*BY90</f>
        <v>83788.412454840582</v>
      </c>
      <c r="E645" s="251">
        <f>(E623/E612)*SUM(C645:D645)</f>
        <v>213607.90984396325</v>
      </c>
      <c r="F645" s="251">
        <f>(F624/F612)*BY64</f>
        <v>2309.7803366493304</v>
      </c>
      <c r="G645" s="249">
        <f>(G625/G612)*BY91</f>
        <v>0</v>
      </c>
      <c r="H645" s="251">
        <f>(H628/H612)*BY60</f>
        <v>78615.958215128223</v>
      </c>
      <c r="I645" s="249">
        <f>(I629/I612)*BY92</f>
        <v>2710.8063992369357</v>
      </c>
      <c r="J645" s="249">
        <f>(J630/J612)*BY93</f>
        <v>0</v>
      </c>
      <c r="K645" s="251">
        <v>0</v>
      </c>
      <c r="L645" s="251"/>
      <c r="N645" s="245" t="s">
        <v>581</v>
      </c>
    </row>
    <row r="646" spans="1:14" s="225" customFormat="1" ht="12.6" customHeight="1" x14ac:dyDescent="0.2">
      <c r="A646" s="244">
        <v>8730</v>
      </c>
      <c r="B646" s="248" t="s">
        <v>582</v>
      </c>
      <c r="C646" s="249">
        <f>BZ85</f>
        <v>0</v>
      </c>
      <c r="D646" s="249">
        <f>(D615/D612)*BZ90</f>
        <v>0</v>
      </c>
      <c r="E646" s="251">
        <f>(E623/E612)*SUM(C646:D646)</f>
        <v>0</v>
      </c>
      <c r="F646" s="251">
        <f>(F624/F612)*BZ64</f>
        <v>0</v>
      </c>
      <c r="G646" s="249">
        <f>(G625/G612)*BZ91</f>
        <v>0</v>
      </c>
      <c r="H646" s="251">
        <f>(H628/H612)*BZ60</f>
        <v>0</v>
      </c>
      <c r="I646" s="249">
        <f>(I629/I612)*BZ92</f>
        <v>0</v>
      </c>
      <c r="J646" s="249">
        <f>(J630/J612)*BZ93</f>
        <v>0</v>
      </c>
      <c r="K646" s="251">
        <v>0</v>
      </c>
      <c r="L646" s="251"/>
      <c r="N646" s="245" t="s">
        <v>583</v>
      </c>
    </row>
    <row r="647" spans="1:14" s="225" customFormat="1" ht="12.6" customHeight="1" x14ac:dyDescent="0.2">
      <c r="A647" s="244">
        <v>8740</v>
      </c>
      <c r="B647" s="248" t="s">
        <v>584</v>
      </c>
      <c r="C647" s="249">
        <f>CA85</f>
        <v>0</v>
      </c>
      <c r="D647" s="249">
        <f>(D615/D612)*CA90</f>
        <v>0</v>
      </c>
      <c r="E647" s="251">
        <f>(E623/E612)*SUM(C647:D647)</f>
        <v>0</v>
      </c>
      <c r="F647" s="251">
        <f>(F624/F612)*CA64</f>
        <v>0</v>
      </c>
      <c r="G647" s="249">
        <f>(G625/G612)*CA91</f>
        <v>0</v>
      </c>
      <c r="H647" s="251">
        <f>(H628/H612)*CA60</f>
        <v>0</v>
      </c>
      <c r="I647" s="249">
        <f>(I629/I612)*CA92</f>
        <v>0</v>
      </c>
      <c r="J647" s="249">
        <f>(J630/J612)*CA93</f>
        <v>0</v>
      </c>
      <c r="K647" s="251">
        <v>0</v>
      </c>
      <c r="L647" s="251">
        <f>SUM(C645:K647)</f>
        <v>3558001.8672498181</v>
      </c>
      <c r="N647" s="245" t="s">
        <v>585</v>
      </c>
    </row>
    <row r="648" spans="1:14" s="225" customFormat="1" ht="12.6" customHeight="1" x14ac:dyDescent="0.2">
      <c r="A648" s="244"/>
      <c r="B648" s="244"/>
      <c r="C648" s="225">
        <f>SUM(C614:C647)</f>
        <v>34176923</v>
      </c>
      <c r="L648" s="247"/>
    </row>
    <row r="666" spans="1:14" s="225" customFormat="1" ht="12.6" customHeight="1" x14ac:dyDescent="0.2">
      <c r="C666" s="242" t="s">
        <v>586</v>
      </c>
      <c r="M666" s="242" t="s">
        <v>587</v>
      </c>
    </row>
    <row r="667" spans="1:14" s="225" customFormat="1" ht="12.6" customHeight="1" x14ac:dyDescent="0.2">
      <c r="C667" s="242" t="s">
        <v>516</v>
      </c>
      <c r="D667" s="242" t="s">
        <v>517</v>
      </c>
      <c r="E667" s="243" t="s">
        <v>518</v>
      </c>
      <c r="F667" s="242" t="s">
        <v>519</v>
      </c>
      <c r="G667" s="242" t="s">
        <v>520</v>
      </c>
      <c r="H667" s="242" t="s">
        <v>521</v>
      </c>
      <c r="I667" s="242" t="s">
        <v>522</v>
      </c>
      <c r="J667" s="242" t="s">
        <v>523</v>
      </c>
      <c r="K667" s="242" t="s">
        <v>524</v>
      </c>
      <c r="L667" s="243" t="s">
        <v>525</v>
      </c>
      <c r="M667" s="242" t="s">
        <v>588</v>
      </c>
    </row>
    <row r="668" spans="1:14" s="225" customFormat="1" ht="12.6" customHeight="1" x14ac:dyDescent="0.2">
      <c r="A668" s="244">
        <v>6010</v>
      </c>
      <c r="B668" s="243" t="s">
        <v>315</v>
      </c>
      <c r="C668" s="249">
        <f>C85</f>
        <v>2140524</v>
      </c>
      <c r="D668" s="249">
        <f>(D615/D612)*C90</f>
        <v>122210.98233194833</v>
      </c>
      <c r="E668" s="251">
        <f>(E623/E612)*SUM(C668:D668)</f>
        <v>148228.77907463425</v>
      </c>
      <c r="F668" s="251">
        <f>(F624/F612)*C64</f>
        <v>1119.8129667514461</v>
      </c>
      <c r="G668" s="249">
        <f>(G625/G612)*C91</f>
        <v>131700.70125708927</v>
      </c>
      <c r="H668" s="251">
        <f>(H628/H612)*C60</f>
        <v>25980.381041050958</v>
      </c>
      <c r="I668" s="249">
        <f>(I629/I612)*C92</f>
        <v>128763.30396375444</v>
      </c>
      <c r="J668" s="249">
        <f>(J630/J612)*C93</f>
        <v>18262.371524453811</v>
      </c>
      <c r="K668" s="249">
        <f>(K644/K612)*C89</f>
        <v>140511.54034182892</v>
      </c>
      <c r="L668" s="249">
        <f>(L647/L612)*C94</f>
        <v>265814.49913800386</v>
      </c>
      <c r="M668" s="225">
        <f t="shared" ref="M668:M713" si="18">ROUND(SUM(D668:L668),0)</f>
        <v>982592</v>
      </c>
      <c r="N668" s="243" t="s">
        <v>589</v>
      </c>
    </row>
    <row r="669" spans="1:14" s="225" customFormat="1" ht="12.6" customHeight="1" x14ac:dyDescent="0.2">
      <c r="A669" s="244">
        <v>6030</v>
      </c>
      <c r="B669" s="243" t="s">
        <v>316</v>
      </c>
      <c r="C669" s="249">
        <f>D85</f>
        <v>0</v>
      </c>
      <c r="D669" s="249">
        <f>(D615/D612)*D90</f>
        <v>0</v>
      </c>
      <c r="E669" s="251">
        <f>(E623/E612)*SUM(C669:D669)</f>
        <v>0</v>
      </c>
      <c r="F669" s="251">
        <f>(F624/F612)*D64</f>
        <v>0</v>
      </c>
      <c r="G669" s="249">
        <f>(G625/G612)*D91</f>
        <v>0</v>
      </c>
      <c r="H669" s="251">
        <f>(H628/H612)*D60</f>
        <v>0</v>
      </c>
      <c r="I669" s="249">
        <f>(I629/I612)*D92</f>
        <v>0</v>
      </c>
      <c r="J669" s="249">
        <f>(J630/J612)*D93</f>
        <v>0</v>
      </c>
      <c r="K669" s="249">
        <f>(K644/K612)*D89</f>
        <v>0</v>
      </c>
      <c r="L669" s="249">
        <f>(L647/L612)*D94</f>
        <v>0</v>
      </c>
      <c r="M669" s="225">
        <f t="shared" si="18"/>
        <v>0</v>
      </c>
      <c r="N669" s="243" t="s">
        <v>590</v>
      </c>
    </row>
    <row r="670" spans="1:14" s="225" customFormat="1" ht="12.6" customHeight="1" x14ac:dyDescent="0.2">
      <c r="A670" s="244">
        <v>6070</v>
      </c>
      <c r="B670" s="243" t="s">
        <v>591</v>
      </c>
      <c r="C670" s="249">
        <f>E85</f>
        <v>7970387</v>
      </c>
      <c r="D670" s="249">
        <f>(D615/D612)*E90</f>
        <v>457505.3741655125</v>
      </c>
      <c r="E670" s="251">
        <f>(E623/E612)*SUM(C670:D670)</f>
        <v>552100.09415574849</v>
      </c>
      <c r="F670" s="251">
        <f>(F624/F612)*E64</f>
        <v>4276.6345615034779</v>
      </c>
      <c r="G670" s="249">
        <f>(G625/G612)*E91</f>
        <v>1628969.0464237873</v>
      </c>
      <c r="H670" s="251">
        <f>(H628/H612)*E60</f>
        <v>160043.64598015376</v>
      </c>
      <c r="I670" s="249">
        <f>(I629/I612)*E92</f>
        <v>447283.05587409437</v>
      </c>
      <c r="J670" s="249">
        <f>(J630/J612)*E93</f>
        <v>62829.862467232822</v>
      </c>
      <c r="K670" s="249">
        <f>(K644/K612)*E89</f>
        <v>455169.71879186924</v>
      </c>
      <c r="L670" s="249">
        <f>(L647/L612)*E94</f>
        <v>1365128.142037743</v>
      </c>
      <c r="M670" s="225">
        <f t="shared" si="18"/>
        <v>5133306</v>
      </c>
      <c r="N670" s="243" t="s">
        <v>592</v>
      </c>
    </row>
    <row r="671" spans="1:14" s="225" customFormat="1" ht="12.6" customHeight="1" x14ac:dyDescent="0.2">
      <c r="A671" s="244">
        <v>6100</v>
      </c>
      <c r="B671" s="243" t="s">
        <v>593</v>
      </c>
      <c r="C671" s="249">
        <f>F85</f>
        <v>0</v>
      </c>
      <c r="D671" s="249">
        <f>(D615/D612)*F90</f>
        <v>0</v>
      </c>
      <c r="E671" s="251">
        <f>(E623/E612)*SUM(C671:D671)</f>
        <v>0</v>
      </c>
      <c r="F671" s="251">
        <f>(F624/F612)*F64</f>
        <v>0</v>
      </c>
      <c r="G671" s="249">
        <f>(G625/G612)*F91</f>
        <v>0</v>
      </c>
      <c r="H671" s="251">
        <f>(H628/H612)*F60</f>
        <v>0</v>
      </c>
      <c r="I671" s="249">
        <f>(I629/I612)*F92</f>
        <v>0</v>
      </c>
      <c r="J671" s="249">
        <f>(J630/J612)*F93</f>
        <v>0</v>
      </c>
      <c r="K671" s="249">
        <f>(K644/K612)*F89</f>
        <v>0</v>
      </c>
      <c r="L671" s="249">
        <f>(L647/L612)*F94</f>
        <v>0</v>
      </c>
      <c r="M671" s="225">
        <f t="shared" si="18"/>
        <v>0</v>
      </c>
      <c r="N671" s="243" t="s">
        <v>594</v>
      </c>
    </row>
    <row r="672" spans="1:14" s="225" customFormat="1" ht="12.6" customHeight="1" x14ac:dyDescent="0.2">
      <c r="A672" s="244">
        <v>6120</v>
      </c>
      <c r="B672" s="243" t="s">
        <v>595</v>
      </c>
      <c r="C672" s="249">
        <f>G85</f>
        <v>0</v>
      </c>
      <c r="D672" s="249">
        <f>(D615/D612)*G90</f>
        <v>0</v>
      </c>
      <c r="E672" s="251">
        <f>(E623/E612)*SUM(C672:D672)</f>
        <v>0</v>
      </c>
      <c r="F672" s="251">
        <f>(F624/F612)*G64</f>
        <v>0</v>
      </c>
      <c r="G672" s="249">
        <f>(G625/G612)*G91</f>
        <v>0</v>
      </c>
      <c r="H672" s="251">
        <f>(H628/H612)*G60</f>
        <v>0</v>
      </c>
      <c r="I672" s="249">
        <f>(I629/I612)*G92</f>
        <v>0</v>
      </c>
      <c r="J672" s="249">
        <f>(J630/J612)*G93</f>
        <v>0</v>
      </c>
      <c r="K672" s="249">
        <f>(K644/K612)*G89</f>
        <v>0</v>
      </c>
      <c r="L672" s="249">
        <f>(L647/L612)*G94</f>
        <v>0</v>
      </c>
      <c r="M672" s="225">
        <f t="shared" si="18"/>
        <v>0</v>
      </c>
      <c r="N672" s="243" t="s">
        <v>596</v>
      </c>
    </row>
    <row r="673" spans="1:14" s="225" customFormat="1" ht="12.6" customHeight="1" x14ac:dyDescent="0.2">
      <c r="A673" s="244">
        <v>6140</v>
      </c>
      <c r="B673" s="243" t="s">
        <v>597</v>
      </c>
      <c r="C673" s="249">
        <f>H85</f>
        <v>0</v>
      </c>
      <c r="D673" s="249">
        <f>(D615/D612)*H90</f>
        <v>0</v>
      </c>
      <c r="E673" s="251">
        <f>(E623/E612)*SUM(C673:D673)</f>
        <v>0</v>
      </c>
      <c r="F673" s="251">
        <f>(F624/F612)*H64</f>
        <v>0</v>
      </c>
      <c r="G673" s="249">
        <f>(G625/G612)*H91</f>
        <v>0</v>
      </c>
      <c r="H673" s="251">
        <f>(H628/H612)*H60</f>
        <v>0</v>
      </c>
      <c r="I673" s="249">
        <f>(I629/I612)*H92</f>
        <v>0</v>
      </c>
      <c r="J673" s="249">
        <f>(J630/J612)*H93</f>
        <v>0</v>
      </c>
      <c r="K673" s="249">
        <f>(K644/K612)*H89</f>
        <v>0</v>
      </c>
      <c r="L673" s="249">
        <f>(L647/L612)*H94</f>
        <v>0</v>
      </c>
      <c r="M673" s="225">
        <f t="shared" si="18"/>
        <v>0</v>
      </c>
      <c r="N673" s="243" t="s">
        <v>598</v>
      </c>
    </row>
    <row r="674" spans="1:14" s="225" customFormat="1" ht="12.6" customHeight="1" x14ac:dyDescent="0.2">
      <c r="A674" s="244">
        <v>6150</v>
      </c>
      <c r="B674" s="243" t="s">
        <v>599</v>
      </c>
      <c r="C674" s="249">
        <f>I85</f>
        <v>0</v>
      </c>
      <c r="D674" s="249">
        <f>(D615/D612)*I90</f>
        <v>0</v>
      </c>
      <c r="E674" s="251">
        <f>(E623/E612)*SUM(C674:D674)</f>
        <v>0</v>
      </c>
      <c r="F674" s="251">
        <f>(F624/F612)*I64</f>
        <v>0</v>
      </c>
      <c r="G674" s="249">
        <f>(G625/G612)*I91</f>
        <v>0</v>
      </c>
      <c r="H674" s="251">
        <f>(H628/H612)*I60</f>
        <v>0</v>
      </c>
      <c r="I674" s="249">
        <f>(I629/I612)*I92</f>
        <v>0</v>
      </c>
      <c r="J674" s="249">
        <f>(J630/J612)*I93</f>
        <v>0</v>
      </c>
      <c r="K674" s="249">
        <f>(K644/K612)*I89</f>
        <v>0</v>
      </c>
      <c r="L674" s="249">
        <f>(L647/L612)*I94</f>
        <v>0</v>
      </c>
      <c r="M674" s="225">
        <f t="shared" si="18"/>
        <v>0</v>
      </c>
      <c r="N674" s="243" t="s">
        <v>600</v>
      </c>
    </row>
    <row r="675" spans="1:14" s="225" customFormat="1" ht="12.6" customHeight="1" x14ac:dyDescent="0.2">
      <c r="A675" s="244">
        <v>6170</v>
      </c>
      <c r="B675" s="243" t="s">
        <v>110</v>
      </c>
      <c r="C675" s="249">
        <f>J85</f>
        <v>317309</v>
      </c>
      <c r="D675" s="249">
        <f>(D615/D612)*J90</f>
        <v>18202.633836773875</v>
      </c>
      <c r="E675" s="251">
        <f>(E623/E612)*SUM(C675:D675)</f>
        <v>21978.923840964806</v>
      </c>
      <c r="F675" s="251">
        <f>(F624/F612)*J64</f>
        <v>170.26877011685735</v>
      </c>
      <c r="G675" s="249">
        <f>(G625/G612)*J91</f>
        <v>0</v>
      </c>
      <c r="H675" s="251">
        <f>(H628/H612)*J60</f>
        <v>6373.2536464338573</v>
      </c>
      <c r="I675" s="249">
        <f>(I629/I612)*J92</f>
        <v>17620.241595040083</v>
      </c>
      <c r="J675" s="249">
        <f>(J630/J612)*J93</f>
        <v>2501.3707922135136</v>
      </c>
      <c r="K675" s="249">
        <f>(K644/K612)*J89</f>
        <v>9334.5509778373544</v>
      </c>
      <c r="L675" s="249">
        <f>(L647/L612)*J94</f>
        <v>54467.04022741205</v>
      </c>
      <c r="M675" s="225">
        <f t="shared" si="18"/>
        <v>130648</v>
      </c>
      <c r="N675" s="243" t="s">
        <v>601</v>
      </c>
    </row>
    <row r="676" spans="1:14" s="225" customFormat="1" ht="12.6" customHeight="1" x14ac:dyDescent="0.2">
      <c r="A676" s="244">
        <v>6200</v>
      </c>
      <c r="B676" s="243" t="s">
        <v>321</v>
      </c>
      <c r="C676" s="249">
        <f>K85</f>
        <v>0</v>
      </c>
      <c r="D676" s="249">
        <f>(D615/D612)*K90</f>
        <v>0</v>
      </c>
      <c r="E676" s="251">
        <f>(E623/E612)*SUM(C676:D676)</f>
        <v>0</v>
      </c>
      <c r="F676" s="251">
        <f>(F624/F612)*K64</f>
        <v>0</v>
      </c>
      <c r="G676" s="249">
        <f>(G625/G612)*K91</f>
        <v>0</v>
      </c>
      <c r="H676" s="251">
        <f>(H628/H612)*K60</f>
        <v>0</v>
      </c>
      <c r="I676" s="249">
        <f>(I629/I612)*K92</f>
        <v>0</v>
      </c>
      <c r="J676" s="249">
        <f>(J630/J612)*K93</f>
        <v>0</v>
      </c>
      <c r="K676" s="249">
        <f>(K644/K612)*K89</f>
        <v>0</v>
      </c>
      <c r="L676" s="249">
        <f>(L647/L612)*K94</f>
        <v>0</v>
      </c>
      <c r="M676" s="225">
        <f t="shared" si="18"/>
        <v>0</v>
      </c>
      <c r="N676" s="243" t="s">
        <v>602</v>
      </c>
    </row>
    <row r="677" spans="1:14" s="225" customFormat="1" ht="12.6" customHeight="1" x14ac:dyDescent="0.2">
      <c r="A677" s="244">
        <v>6210</v>
      </c>
      <c r="B677" s="243" t="s">
        <v>322</v>
      </c>
      <c r="C677" s="249">
        <f>L85</f>
        <v>185277</v>
      </c>
      <c r="D677" s="249">
        <f>(D615/D612)*L90</f>
        <v>10649.479074607398</v>
      </c>
      <c r="E677" s="251">
        <f>(E623/E612)*SUM(C677:D677)</f>
        <v>12834.88477810629</v>
      </c>
      <c r="F677" s="251">
        <f>(F624/F612)*L64</f>
        <v>99.402541008392006</v>
      </c>
      <c r="G677" s="249">
        <f>(G625/G612)*L91</f>
        <v>37887.965110426812</v>
      </c>
      <c r="H677" s="251">
        <f>(H628/H612)*L60</f>
        <v>3711.4830058644229</v>
      </c>
      <c r="I677" s="249">
        <f>(I629/I612)*L92</f>
        <v>10165.523997138509</v>
      </c>
      <c r="J677" s="249">
        <f>(J630/J612)*L93</f>
        <v>1460.8846223431867</v>
      </c>
      <c r="K677" s="249">
        <f>(K644/K612)*L89</f>
        <v>5964.8042220396883</v>
      </c>
      <c r="L677" s="249">
        <f>(L647/L612)*L94</f>
        <v>31836.368583628169</v>
      </c>
      <c r="M677" s="225">
        <f t="shared" si="18"/>
        <v>114611</v>
      </c>
      <c r="N677" s="243" t="s">
        <v>603</v>
      </c>
    </row>
    <row r="678" spans="1:14" s="225" customFormat="1" ht="12.6" customHeight="1" x14ac:dyDescent="0.2">
      <c r="A678" s="244">
        <v>6330</v>
      </c>
      <c r="B678" s="243" t="s">
        <v>604</v>
      </c>
      <c r="C678" s="249">
        <f>M85</f>
        <v>1638935</v>
      </c>
      <c r="D678" s="249">
        <f>(D615/D612)*M90</f>
        <v>0</v>
      </c>
      <c r="E678" s="251">
        <f>(E623/E612)*SUM(C678:D678)</f>
        <v>107364.46642209831</v>
      </c>
      <c r="F678" s="251">
        <f>(F624/F612)*M64</f>
        <v>100.85782964186942</v>
      </c>
      <c r="G678" s="249">
        <f>(G625/G612)*M91</f>
        <v>0</v>
      </c>
      <c r="H678" s="251">
        <f>(H628/H612)*M60</f>
        <v>39851.580153877592</v>
      </c>
      <c r="I678" s="249">
        <f>(I629/I612)*M92</f>
        <v>0</v>
      </c>
      <c r="J678" s="249">
        <f>(J630/J612)*M93</f>
        <v>0</v>
      </c>
      <c r="K678" s="249">
        <f>(K644/K612)*M89</f>
        <v>115616.47591434803</v>
      </c>
      <c r="L678" s="249">
        <f>(L647/L612)*M94</f>
        <v>0</v>
      </c>
      <c r="M678" s="225">
        <f t="shared" si="18"/>
        <v>262933</v>
      </c>
      <c r="N678" s="243" t="s">
        <v>605</v>
      </c>
    </row>
    <row r="679" spans="1:14" s="225" customFormat="1" ht="12.6" customHeight="1" x14ac:dyDescent="0.2">
      <c r="A679" s="244">
        <v>6400</v>
      </c>
      <c r="B679" s="243" t="s">
        <v>606</v>
      </c>
      <c r="C679" s="249">
        <f>N85</f>
        <v>0</v>
      </c>
      <c r="D679" s="249">
        <f>(D615/D612)*N90</f>
        <v>0</v>
      </c>
      <c r="E679" s="251">
        <f>(E623/E612)*SUM(C679:D679)</f>
        <v>0</v>
      </c>
      <c r="F679" s="251">
        <f>(F624/F612)*N64</f>
        <v>0</v>
      </c>
      <c r="G679" s="249">
        <f>(G625/G612)*N91</f>
        <v>0</v>
      </c>
      <c r="H679" s="251">
        <f>(H628/H612)*N60</f>
        <v>0</v>
      </c>
      <c r="I679" s="249">
        <f>(I629/I612)*N92</f>
        <v>0</v>
      </c>
      <c r="J679" s="249">
        <f>(J630/J612)*N93</f>
        <v>0</v>
      </c>
      <c r="K679" s="249">
        <f>(K644/K612)*N89</f>
        <v>0</v>
      </c>
      <c r="L679" s="249">
        <f>(L647/L612)*N94</f>
        <v>0</v>
      </c>
      <c r="M679" s="225">
        <f t="shared" si="18"/>
        <v>0</v>
      </c>
      <c r="N679" s="243" t="s">
        <v>607</v>
      </c>
    </row>
    <row r="680" spans="1:14" s="225" customFormat="1" ht="12.6" customHeight="1" x14ac:dyDescent="0.2">
      <c r="A680" s="244">
        <v>7010</v>
      </c>
      <c r="B680" s="243" t="s">
        <v>608</v>
      </c>
      <c r="C680" s="249">
        <f>O85</f>
        <v>122212</v>
      </c>
      <c r="D680" s="249">
        <f>(D615/D612)*O90</f>
        <v>7037.1007100929937</v>
      </c>
      <c r="E680" s="251">
        <f>(E623/E612)*SUM(C680:D680)</f>
        <v>8466.9378183242061</v>
      </c>
      <c r="F680" s="251">
        <f>(F624/F612)*O64</f>
        <v>65.567080280042148</v>
      </c>
      <c r="G680" s="249">
        <f>(G625/G612)*O91</f>
        <v>0</v>
      </c>
      <c r="H680" s="251">
        <f>(H628/H612)*O60</f>
        <v>2436.8322765776516</v>
      </c>
      <c r="I680" s="249">
        <f>(I629/I612)*O92</f>
        <v>6777.015998092339</v>
      </c>
      <c r="J680" s="249">
        <f>(J630/J612)*O93</f>
        <v>962.97520519564375</v>
      </c>
      <c r="K680" s="249">
        <f>(K644/K612)*O89</f>
        <v>34166.23458859478</v>
      </c>
      <c r="L680" s="249">
        <f>(L647/L612)*O94</f>
        <v>21096.388820476503</v>
      </c>
      <c r="M680" s="225">
        <f t="shared" si="18"/>
        <v>81009</v>
      </c>
      <c r="N680" s="243" t="s">
        <v>609</v>
      </c>
    </row>
    <row r="681" spans="1:14" s="225" customFormat="1" ht="12.6" customHeight="1" x14ac:dyDescent="0.2">
      <c r="A681" s="244">
        <v>7020</v>
      </c>
      <c r="B681" s="243" t="s">
        <v>610</v>
      </c>
      <c r="C681" s="249">
        <f>P85</f>
        <v>3304883</v>
      </c>
      <c r="D681" s="249">
        <f>(D615/D612)*P90</f>
        <v>560716.18458020978</v>
      </c>
      <c r="E681" s="251">
        <f>(E623/E612)*SUM(C681:D681)</f>
        <v>253230.2951942283</v>
      </c>
      <c r="F681" s="251">
        <f>(F624/F612)*P64</f>
        <v>10287.656807017798</v>
      </c>
      <c r="G681" s="249">
        <f>(G625/G612)*P91</f>
        <v>0</v>
      </c>
      <c r="H681" s="251">
        <f>(H628/H612)*P60</f>
        <v>48324.258530901425</v>
      </c>
      <c r="I681" s="249">
        <f>(I629/I612)*P92</f>
        <v>298188.70391606295</v>
      </c>
      <c r="J681" s="249">
        <f>(J630/J612)*P93</f>
        <v>48922.556161365042</v>
      </c>
      <c r="K681" s="249">
        <f>(K644/K612)*P89</f>
        <v>1123545.7764949319</v>
      </c>
      <c r="L681" s="249">
        <f>(L647/L612)*P94</f>
        <v>276938.04960698239</v>
      </c>
      <c r="M681" s="225">
        <f t="shared" si="18"/>
        <v>2620153</v>
      </c>
      <c r="N681" s="243" t="s">
        <v>611</v>
      </c>
    </row>
    <row r="682" spans="1:14" s="225" customFormat="1" ht="12.6" customHeight="1" x14ac:dyDescent="0.2">
      <c r="A682" s="244">
        <v>7030</v>
      </c>
      <c r="B682" s="243" t="s">
        <v>612</v>
      </c>
      <c r="C682" s="249">
        <f>Q85</f>
        <v>837913</v>
      </c>
      <c r="D682" s="249">
        <f>(D615/D612)*Q90</f>
        <v>27632.348788298488</v>
      </c>
      <c r="E682" s="251">
        <f>(E623/E612)*SUM(C682:D682)</f>
        <v>56700.732205233668</v>
      </c>
      <c r="F682" s="251">
        <f>(F624/F612)*Q64</f>
        <v>567.26201831666867</v>
      </c>
      <c r="G682" s="249">
        <f>(G625/G612)*Q91</f>
        <v>0</v>
      </c>
      <c r="H682" s="251">
        <f>(H628/H612)*Q60</f>
        <v>19119.76093930157</v>
      </c>
      <c r="I682" s="249">
        <f>(I629/I612)*Q92</f>
        <v>72514.071179588034</v>
      </c>
      <c r="J682" s="249">
        <f>(J630/J612)*Q93</f>
        <v>10600.609728135947</v>
      </c>
      <c r="K682" s="249">
        <f>(K644/K612)*Q89</f>
        <v>190658.0032604489</v>
      </c>
      <c r="L682" s="249">
        <f>(L647/L612)*Q94</f>
        <v>195621.05997169117</v>
      </c>
      <c r="M682" s="225">
        <f t="shared" si="18"/>
        <v>573414</v>
      </c>
      <c r="N682" s="243" t="s">
        <v>613</v>
      </c>
    </row>
    <row r="683" spans="1:14" s="225" customFormat="1" ht="12.6" customHeight="1" x14ac:dyDescent="0.2">
      <c r="A683" s="244">
        <v>7040</v>
      </c>
      <c r="B683" s="243" t="s">
        <v>118</v>
      </c>
      <c r="C683" s="249">
        <f>R85</f>
        <v>1676219</v>
      </c>
      <c r="D683" s="249">
        <f>(D615/D612)*R90</f>
        <v>6380.304643817648</v>
      </c>
      <c r="E683" s="251">
        <f>(E623/E612)*SUM(C683:D683)</f>
        <v>110224.85732825105</v>
      </c>
      <c r="F683" s="251">
        <f>(F624/F612)*R64</f>
        <v>1261.0708743270254</v>
      </c>
      <c r="G683" s="249">
        <f>(G625/G612)*R91</f>
        <v>0</v>
      </c>
      <c r="H683" s="251">
        <f>(H628/H612)*R60</f>
        <v>86301.352318180827</v>
      </c>
      <c r="I683" s="249">
        <f>(I629/I612)*R92</f>
        <v>0</v>
      </c>
      <c r="J683" s="249">
        <f>(J630/J612)*R93</f>
        <v>11010.498219296986</v>
      </c>
      <c r="K683" s="249">
        <f>(K644/K612)*R89</f>
        <v>401305.75133592437</v>
      </c>
      <c r="L683" s="249">
        <f>(L647/L612)*R94</f>
        <v>423845.62993866426</v>
      </c>
      <c r="M683" s="225">
        <f t="shared" si="18"/>
        <v>1040329</v>
      </c>
      <c r="N683" s="243" t="s">
        <v>614</v>
      </c>
    </row>
    <row r="684" spans="1:14" s="225" customFormat="1" ht="12.6" customHeight="1" x14ac:dyDescent="0.2">
      <c r="A684" s="244">
        <v>7050</v>
      </c>
      <c r="B684" s="243" t="s">
        <v>615</v>
      </c>
      <c r="C684" s="249">
        <f>S85</f>
        <v>3956837</v>
      </c>
      <c r="D684" s="249">
        <f>(D615/D612)*S90</f>
        <v>150500.12718652215</v>
      </c>
      <c r="E684" s="251">
        <f>(E623/E612)*SUM(C684:D684)</f>
        <v>269066.22842031874</v>
      </c>
      <c r="F684" s="251">
        <f>(F624/F612)*S64</f>
        <v>55722.052674567451</v>
      </c>
      <c r="G684" s="249">
        <f>(G625/G612)*S91</f>
        <v>0</v>
      </c>
      <c r="H684" s="251">
        <f>(H628/H612)*S60</f>
        <v>39251.74451656617</v>
      </c>
      <c r="I684" s="249">
        <f>(I629/I612)*S92</f>
        <v>20331.047994277018</v>
      </c>
      <c r="J684" s="249">
        <f>(J630/J612)*S93</f>
        <v>0</v>
      </c>
      <c r="K684" s="249">
        <f>(K644/K612)*S89</f>
        <v>19188.385379819949</v>
      </c>
      <c r="L684" s="249">
        <f>(L647/L612)*S94</f>
        <v>0</v>
      </c>
      <c r="M684" s="225">
        <f t="shared" si="18"/>
        <v>554060</v>
      </c>
      <c r="N684" s="243" t="s">
        <v>616</v>
      </c>
    </row>
    <row r="685" spans="1:14" s="225" customFormat="1" ht="12.6" customHeight="1" x14ac:dyDescent="0.2">
      <c r="A685" s="244">
        <v>7060</v>
      </c>
      <c r="B685" s="243" t="s">
        <v>617</v>
      </c>
      <c r="C685" s="249">
        <f>T85</f>
        <v>0</v>
      </c>
      <c r="D685" s="249">
        <f>(D615/D612)*T90</f>
        <v>0</v>
      </c>
      <c r="E685" s="251">
        <f>(E623/E612)*SUM(C685:D685)</f>
        <v>0</v>
      </c>
      <c r="F685" s="251">
        <f>(F624/F612)*T64</f>
        <v>0</v>
      </c>
      <c r="G685" s="249">
        <f>(G625/G612)*T91</f>
        <v>0</v>
      </c>
      <c r="H685" s="251">
        <f>(H628/H612)*T60</f>
        <v>0</v>
      </c>
      <c r="I685" s="249">
        <f>(I629/I612)*T92</f>
        <v>0</v>
      </c>
      <c r="J685" s="249">
        <f>(J630/J612)*T93</f>
        <v>0</v>
      </c>
      <c r="K685" s="249">
        <f>(K644/K612)*T89</f>
        <v>0</v>
      </c>
      <c r="L685" s="249">
        <f>(L647/L612)*T94</f>
        <v>0</v>
      </c>
      <c r="M685" s="225">
        <f t="shared" si="18"/>
        <v>0</v>
      </c>
      <c r="N685" s="243" t="s">
        <v>618</v>
      </c>
    </row>
    <row r="686" spans="1:14" s="225" customFormat="1" ht="12.6" customHeight="1" x14ac:dyDescent="0.2">
      <c r="A686" s="244">
        <v>7070</v>
      </c>
      <c r="B686" s="243" t="s">
        <v>121</v>
      </c>
      <c r="C686" s="249">
        <f>U85</f>
        <v>7064355</v>
      </c>
      <c r="D686" s="249">
        <f>(D615/D612)*U90</f>
        <v>184700.43663757411</v>
      </c>
      <c r="E686" s="251">
        <f>(E623/E612)*SUM(C686:D686)</f>
        <v>474876.04390583152</v>
      </c>
      <c r="F686" s="251">
        <f>(F624/F612)*U64</f>
        <v>37166.410771768402</v>
      </c>
      <c r="G686" s="249">
        <f>(G625/G612)*U91</f>
        <v>0</v>
      </c>
      <c r="H686" s="251">
        <f>(H628/H612)*U60</f>
        <v>93349.421056590028</v>
      </c>
      <c r="I686" s="249">
        <f>(I629/I612)*U92</f>
        <v>71158.667979969556</v>
      </c>
      <c r="J686" s="249">
        <f>(J630/J612)*U93</f>
        <v>68.314748526839665</v>
      </c>
      <c r="K686" s="249">
        <f>(K644/K612)*U89</f>
        <v>821413.71131522977</v>
      </c>
      <c r="L686" s="249">
        <f>(L647/L612)*U94</f>
        <v>0</v>
      </c>
      <c r="M686" s="225">
        <f t="shared" si="18"/>
        <v>1682733</v>
      </c>
      <c r="N686" s="243" t="s">
        <v>619</v>
      </c>
    </row>
    <row r="687" spans="1:14" s="225" customFormat="1" ht="12.6" customHeight="1" x14ac:dyDescent="0.2">
      <c r="A687" s="244">
        <v>7110</v>
      </c>
      <c r="B687" s="243" t="s">
        <v>620</v>
      </c>
      <c r="C687" s="249">
        <f>V85</f>
        <v>0</v>
      </c>
      <c r="D687" s="249">
        <f>(D615/D612)*V90</f>
        <v>0</v>
      </c>
      <c r="E687" s="251">
        <f>(E623/E612)*SUM(C687:D687)</f>
        <v>0</v>
      </c>
      <c r="F687" s="251">
        <f>(F624/F612)*V64</f>
        <v>0</v>
      </c>
      <c r="G687" s="249">
        <f>(G625/G612)*V91</f>
        <v>0</v>
      </c>
      <c r="H687" s="251">
        <f>(H628/H612)*V60</f>
        <v>0</v>
      </c>
      <c r="I687" s="249">
        <f>(I629/I612)*V92</f>
        <v>0</v>
      </c>
      <c r="J687" s="249">
        <f>(J630/J612)*V93</f>
        <v>0</v>
      </c>
      <c r="K687" s="249">
        <f>(K644/K612)*V89</f>
        <v>0</v>
      </c>
      <c r="L687" s="249">
        <f>(L647/L612)*V94</f>
        <v>0</v>
      </c>
      <c r="M687" s="225">
        <f t="shared" si="18"/>
        <v>0</v>
      </c>
      <c r="N687" s="243" t="s">
        <v>621</v>
      </c>
    </row>
    <row r="688" spans="1:14" s="225" customFormat="1" ht="12.6" customHeight="1" x14ac:dyDescent="0.2">
      <c r="A688" s="244">
        <v>7120</v>
      </c>
      <c r="B688" s="243" t="s">
        <v>622</v>
      </c>
      <c r="C688" s="249">
        <f>W85</f>
        <v>381746</v>
      </c>
      <c r="D688" s="249">
        <f>(D615/D612)*W90</f>
        <v>20595.248078205495</v>
      </c>
      <c r="E688" s="251">
        <f>(E623/E612)*SUM(C688:D688)</f>
        <v>26356.843571903475</v>
      </c>
      <c r="F688" s="251">
        <f>(F624/F612)*W64</f>
        <v>371.22514837443407</v>
      </c>
      <c r="G688" s="249">
        <f>(G625/G612)*W91</f>
        <v>0</v>
      </c>
      <c r="H688" s="251">
        <f>(H628/H612)*W60</f>
        <v>5623.4590997945797</v>
      </c>
      <c r="I688" s="249">
        <f>(I629/I612)*W92</f>
        <v>6777.015998092339</v>
      </c>
      <c r="J688" s="249">
        <f>(J630/J612)*W93</f>
        <v>2881.0431446030648</v>
      </c>
      <c r="K688" s="249">
        <f>(K644/K612)*W89</f>
        <v>221239.80513648962</v>
      </c>
      <c r="L688" s="249">
        <f>(L647/L612)*W94</f>
        <v>0</v>
      </c>
      <c r="M688" s="225">
        <f t="shared" si="18"/>
        <v>283845</v>
      </c>
      <c r="N688" s="243" t="s">
        <v>623</v>
      </c>
    </row>
    <row r="689" spans="1:14" s="225" customFormat="1" ht="12.6" customHeight="1" x14ac:dyDescent="0.2">
      <c r="A689" s="244">
        <v>7130</v>
      </c>
      <c r="B689" s="243" t="s">
        <v>624</v>
      </c>
      <c r="C689" s="249">
        <f>X85</f>
        <v>1093334</v>
      </c>
      <c r="D689" s="249">
        <f>(D615/D612)*X90</f>
        <v>59017.817955313243</v>
      </c>
      <c r="E689" s="251">
        <f>(E623/E612)*SUM(C689:D689)</f>
        <v>75489.045059936587</v>
      </c>
      <c r="F689" s="251">
        <f>(F624/F612)*X64</f>
        <v>1063.1674385288088</v>
      </c>
      <c r="G689" s="249">
        <f>(G625/G612)*X91</f>
        <v>0</v>
      </c>
      <c r="H689" s="251">
        <f>(H628/H612)*X60</f>
        <v>16083.0930254125</v>
      </c>
      <c r="I689" s="249">
        <f>(I629/I612)*X92</f>
        <v>19653.346394467782</v>
      </c>
      <c r="J689" s="249">
        <f>(J630/J612)*X93</f>
        <v>8252.9471201078231</v>
      </c>
      <c r="K689" s="249">
        <f>(K644/K612)*X89</f>
        <v>658270.79181031568</v>
      </c>
      <c r="L689" s="249">
        <f>(L647/L612)*X94</f>
        <v>0</v>
      </c>
      <c r="M689" s="225">
        <f t="shared" si="18"/>
        <v>837830</v>
      </c>
      <c r="N689" s="243" t="s">
        <v>625</v>
      </c>
    </row>
    <row r="690" spans="1:14" s="225" customFormat="1" ht="12.6" customHeight="1" x14ac:dyDescent="0.2">
      <c r="A690" s="244">
        <v>7140</v>
      </c>
      <c r="B690" s="243" t="s">
        <v>626</v>
      </c>
      <c r="C690" s="249">
        <f>Y85</f>
        <v>4189796</v>
      </c>
      <c r="D690" s="249">
        <f>(D615/D612)*Y90</f>
        <v>226172.41682238883</v>
      </c>
      <c r="E690" s="251">
        <f>(E623/E612)*SUM(C690:D690)</f>
        <v>289284.25642809144</v>
      </c>
      <c r="F690" s="251">
        <f>(F624/F612)*Y64</f>
        <v>4074.2070762577118</v>
      </c>
      <c r="G690" s="249">
        <f>(G625/G612)*Y91</f>
        <v>0</v>
      </c>
      <c r="H690" s="251">
        <f>(H628/H612)*Y60</f>
        <v>61670.601461080558</v>
      </c>
      <c r="I690" s="249">
        <f>(I629/I612)*Y92</f>
        <v>75902.579178634202</v>
      </c>
      <c r="J690" s="249">
        <f>(J630/J612)*Y93</f>
        <v>31625.787332434829</v>
      </c>
      <c r="K690" s="249">
        <f>(K644/K612)*Y89</f>
        <v>638444.48443687311</v>
      </c>
      <c r="L690" s="249">
        <f>(L647/L612)*Y94</f>
        <v>0</v>
      </c>
      <c r="M690" s="225">
        <f t="shared" si="18"/>
        <v>1327174</v>
      </c>
      <c r="N690" s="243" t="s">
        <v>627</v>
      </c>
    </row>
    <row r="691" spans="1:14" s="225" customFormat="1" ht="12.6" customHeight="1" x14ac:dyDescent="0.2">
      <c r="A691" s="244">
        <v>7150</v>
      </c>
      <c r="B691" s="243" t="s">
        <v>628</v>
      </c>
      <c r="C691" s="249">
        <f>Z85</f>
        <v>0</v>
      </c>
      <c r="D691" s="249">
        <f>(D615/D612)*Z90</f>
        <v>0</v>
      </c>
      <c r="E691" s="251">
        <f>(E623/E612)*SUM(C691:D691)</f>
        <v>0</v>
      </c>
      <c r="F691" s="251">
        <f>(F624/F612)*Z64</f>
        <v>0</v>
      </c>
      <c r="G691" s="249">
        <f>(G625/G612)*Z91</f>
        <v>0</v>
      </c>
      <c r="H691" s="251">
        <f>(H628/H612)*Z60</f>
        <v>0</v>
      </c>
      <c r="I691" s="249">
        <f>(I629/I612)*Z92</f>
        <v>0</v>
      </c>
      <c r="J691" s="249">
        <f>(J630/J612)*Z93</f>
        <v>0</v>
      </c>
      <c r="K691" s="249">
        <f>(K644/K612)*Z89</f>
        <v>0</v>
      </c>
      <c r="L691" s="249">
        <f>(L647/L612)*Z94</f>
        <v>0</v>
      </c>
      <c r="M691" s="225">
        <f t="shared" si="18"/>
        <v>0</v>
      </c>
      <c r="N691" s="243" t="s">
        <v>629</v>
      </c>
    </row>
    <row r="692" spans="1:14" s="225" customFormat="1" ht="12.6" customHeight="1" x14ac:dyDescent="0.2">
      <c r="A692" s="244">
        <v>7160</v>
      </c>
      <c r="B692" s="243" t="s">
        <v>630</v>
      </c>
      <c r="C692" s="249">
        <f>AA85</f>
        <v>75333</v>
      </c>
      <c r="D692" s="249">
        <f>(D615/D612)*AA90</f>
        <v>4081.5184118539364</v>
      </c>
      <c r="E692" s="251">
        <f>(E623/E612)*SUM(C692:D692)</f>
        <v>5202.3401754533279</v>
      </c>
      <c r="F692" s="251">
        <f>(F624/F612)*AA64</f>
        <v>73.238982315221989</v>
      </c>
      <c r="G692" s="249">
        <f>(G625/G612)*AA91</f>
        <v>0</v>
      </c>
      <c r="H692" s="251">
        <f>(H628/H612)*AA60</f>
        <v>1124.6918199589161</v>
      </c>
      <c r="I692" s="249">
        <f>(I629/I612)*AA92</f>
        <v>1355.4031996184679</v>
      </c>
      <c r="J692" s="249">
        <f>(J630/J612)*AA93</f>
        <v>568.8516560023379</v>
      </c>
      <c r="K692" s="249">
        <f>(K644/K612)*AA89</f>
        <v>0</v>
      </c>
      <c r="L692" s="249">
        <f>(L647/L612)*AA94</f>
        <v>0</v>
      </c>
      <c r="M692" s="225">
        <f t="shared" si="18"/>
        <v>12406</v>
      </c>
      <c r="N692" s="243" t="s">
        <v>631</v>
      </c>
    </row>
    <row r="693" spans="1:14" s="225" customFormat="1" ht="12.6" customHeight="1" x14ac:dyDescent="0.2">
      <c r="A693" s="244">
        <v>7170</v>
      </c>
      <c r="B693" s="243" t="s">
        <v>127</v>
      </c>
      <c r="C693" s="249">
        <f>AB85</f>
        <v>22712689</v>
      </c>
      <c r="D693" s="249">
        <f>(D615/D612)*AB90</f>
        <v>70699.405134067609</v>
      </c>
      <c r="E693" s="251">
        <f>(E623/E612)*SUM(C693:D693)</f>
        <v>1492509.6720764646</v>
      </c>
      <c r="F693" s="251">
        <f>(F624/F612)*AB64</f>
        <v>313590.26115635294</v>
      </c>
      <c r="G693" s="249">
        <f>(G625/G612)*AB91</f>
        <v>0</v>
      </c>
      <c r="H693" s="251">
        <f>(H628/H612)*AB60</f>
        <v>45662.487890331991</v>
      </c>
      <c r="I693" s="249">
        <f>(I629/I612)*AB92</f>
        <v>54216.127984738712</v>
      </c>
      <c r="J693" s="249">
        <f>(J630/J612)*AB93</f>
        <v>0</v>
      </c>
      <c r="K693" s="249">
        <f>(K644/K612)*AB89</f>
        <v>2100985.1738974303</v>
      </c>
      <c r="L693" s="249">
        <f>(L647/L612)*AB94</f>
        <v>0</v>
      </c>
      <c r="M693" s="225">
        <f t="shared" si="18"/>
        <v>4077663</v>
      </c>
      <c r="N693" s="243" t="s">
        <v>632</v>
      </c>
    </row>
    <row r="694" spans="1:14" s="225" customFormat="1" ht="12.6" customHeight="1" x14ac:dyDescent="0.2">
      <c r="A694" s="244">
        <v>7180</v>
      </c>
      <c r="B694" s="243" t="s">
        <v>633</v>
      </c>
      <c r="C694" s="249">
        <f>AC85</f>
        <v>2387299</v>
      </c>
      <c r="D694" s="249">
        <f>(D615/D612)*AC90</f>
        <v>179211.49808370156</v>
      </c>
      <c r="E694" s="251">
        <f>(E623/E612)*SUM(C694:D694)</f>
        <v>168128.71175090555</v>
      </c>
      <c r="F694" s="251">
        <f>(F624/F612)*AC64</f>
        <v>1773.3957467299217</v>
      </c>
      <c r="G694" s="249">
        <f>(G625/G612)*AC91</f>
        <v>0</v>
      </c>
      <c r="H694" s="251">
        <f>(H628/H612)*AC60</f>
        <v>63020.231645031257</v>
      </c>
      <c r="I694" s="249">
        <f>(I629/I612)*AC92</f>
        <v>84712.699976154239</v>
      </c>
      <c r="J694" s="249">
        <f>(J630/J612)*AC93</f>
        <v>6457.057480950326</v>
      </c>
      <c r="K694" s="249">
        <f>(K644/K612)*AC89</f>
        <v>256041.10295799677</v>
      </c>
      <c r="L694" s="249">
        <f>(L647/L612)*AC94</f>
        <v>14959.257527246973</v>
      </c>
      <c r="M694" s="225">
        <f t="shared" si="18"/>
        <v>774304</v>
      </c>
      <c r="N694" s="243" t="s">
        <v>634</v>
      </c>
    </row>
    <row r="695" spans="1:14" s="225" customFormat="1" ht="12.6" customHeight="1" x14ac:dyDescent="0.2">
      <c r="A695" s="244">
        <v>7190</v>
      </c>
      <c r="B695" s="243" t="s">
        <v>129</v>
      </c>
      <c r="C695" s="249">
        <f>AD85</f>
        <v>0</v>
      </c>
      <c r="D695" s="249">
        <f>(D615/D612)*AD90</f>
        <v>0</v>
      </c>
      <c r="E695" s="251">
        <f>(E623/E612)*SUM(C695:D695)</f>
        <v>0</v>
      </c>
      <c r="F695" s="251">
        <f>(F624/F612)*AD64</f>
        <v>0</v>
      </c>
      <c r="G695" s="249">
        <f>(G625/G612)*AD91</f>
        <v>0</v>
      </c>
      <c r="H695" s="251">
        <f>(H628/H612)*AD60</f>
        <v>0</v>
      </c>
      <c r="I695" s="249">
        <f>(I629/I612)*AD92</f>
        <v>0</v>
      </c>
      <c r="J695" s="249">
        <f>(J630/J612)*AD93</f>
        <v>0</v>
      </c>
      <c r="K695" s="249">
        <f>(K644/K612)*AD89</f>
        <v>0</v>
      </c>
      <c r="L695" s="249">
        <f>(L647/L612)*AD94</f>
        <v>0</v>
      </c>
      <c r="M695" s="225">
        <f t="shared" si="18"/>
        <v>0</v>
      </c>
      <c r="N695" s="243" t="s">
        <v>635</v>
      </c>
    </row>
    <row r="696" spans="1:14" s="225" customFormat="1" ht="12.6" customHeight="1" x14ac:dyDescent="0.2">
      <c r="A696" s="244">
        <v>7200</v>
      </c>
      <c r="B696" s="243" t="s">
        <v>636</v>
      </c>
      <c r="C696" s="249">
        <f>AE85</f>
        <v>4177132</v>
      </c>
      <c r="D696" s="249">
        <f>(D615/D612)*AE90</f>
        <v>304378.06271388894</v>
      </c>
      <c r="E696" s="251">
        <f>(E623/E612)*SUM(C696:D696)</f>
        <v>293577.80305414251</v>
      </c>
      <c r="F696" s="251">
        <f>(F624/F612)*AE64</f>
        <v>1434.6773172880537</v>
      </c>
      <c r="G696" s="249">
        <f>(G625/G612)*AE91</f>
        <v>0</v>
      </c>
      <c r="H696" s="251">
        <f>(H628/H612)*AE60</f>
        <v>126227.91192672234</v>
      </c>
      <c r="I696" s="249">
        <f>(I629/I612)*AE92</f>
        <v>108432.25596947742</v>
      </c>
      <c r="J696" s="249">
        <f>(J630/J612)*AE93</f>
        <v>33693.622220535712</v>
      </c>
      <c r="K696" s="249">
        <f>(K644/K612)*AE89</f>
        <v>390658.57597389817</v>
      </c>
      <c r="L696" s="249">
        <f>(L647/L612)*AE94</f>
        <v>0</v>
      </c>
      <c r="M696" s="225">
        <f t="shared" si="18"/>
        <v>1258403</v>
      </c>
      <c r="N696" s="243" t="s">
        <v>637</v>
      </c>
    </row>
    <row r="697" spans="1:14" s="225" customFormat="1" ht="12.6" customHeight="1" x14ac:dyDescent="0.2">
      <c r="A697" s="244">
        <v>7220</v>
      </c>
      <c r="B697" s="243" t="s">
        <v>638</v>
      </c>
      <c r="C697" s="249">
        <f>AF85</f>
        <v>0</v>
      </c>
      <c r="D697" s="249">
        <f>(D615/D612)*AF90</f>
        <v>0</v>
      </c>
      <c r="E697" s="251">
        <f>(E623/E612)*SUM(C697:D697)</f>
        <v>0</v>
      </c>
      <c r="F697" s="251">
        <f>(F624/F612)*AF64</f>
        <v>0</v>
      </c>
      <c r="G697" s="249">
        <f>(G625/G612)*AF91</f>
        <v>0</v>
      </c>
      <c r="H697" s="251">
        <f>(H628/H612)*AF60</f>
        <v>0</v>
      </c>
      <c r="I697" s="249">
        <f>(I629/I612)*AF92</f>
        <v>0</v>
      </c>
      <c r="J697" s="249">
        <f>(J630/J612)*AF93</f>
        <v>0</v>
      </c>
      <c r="K697" s="249">
        <f>(K644/K612)*AF89</f>
        <v>0</v>
      </c>
      <c r="L697" s="249">
        <f>(L647/L612)*AF94</f>
        <v>0</v>
      </c>
      <c r="M697" s="225">
        <f t="shared" si="18"/>
        <v>0</v>
      </c>
      <c r="N697" s="243" t="s">
        <v>639</v>
      </c>
    </row>
    <row r="698" spans="1:14" s="225" customFormat="1" ht="12.6" customHeight="1" x14ac:dyDescent="0.2">
      <c r="A698" s="244">
        <v>7230</v>
      </c>
      <c r="B698" s="243" t="s">
        <v>640</v>
      </c>
      <c r="C698" s="249">
        <f>AG85</f>
        <v>7444947</v>
      </c>
      <c r="D698" s="249">
        <f>(D615/D612)*AG90</f>
        <v>297903.93006060342</v>
      </c>
      <c r="E698" s="251">
        <f>(E623/E612)*SUM(C698:D698)</f>
        <v>507223.934257188</v>
      </c>
      <c r="F698" s="251">
        <f>(F624/F612)*AG64</f>
        <v>5041.4203751052819</v>
      </c>
      <c r="G698" s="249">
        <f>(G625/G612)*AG91</f>
        <v>0</v>
      </c>
      <c r="H698" s="251">
        <f>(H628/H612)*AG60</f>
        <v>135300.42594105762</v>
      </c>
      <c r="I698" s="249">
        <f>(I629/I612)*AG92</f>
        <v>162648.38395421614</v>
      </c>
      <c r="J698" s="249">
        <f>(J630/J612)*AG93</f>
        <v>83211.304941182636</v>
      </c>
      <c r="K698" s="249">
        <f>(K644/K612)*AG89</f>
        <v>1447086.7520047112</v>
      </c>
      <c r="L698" s="249">
        <f>(L647/L612)*AG94</f>
        <v>597219.58897239831</v>
      </c>
      <c r="M698" s="225">
        <f t="shared" si="18"/>
        <v>3235636</v>
      </c>
      <c r="N698" s="243" t="s">
        <v>641</v>
      </c>
    </row>
    <row r="699" spans="1:14" s="225" customFormat="1" ht="12.6" customHeight="1" x14ac:dyDescent="0.2">
      <c r="A699" s="244">
        <v>7240</v>
      </c>
      <c r="B699" s="243" t="s">
        <v>131</v>
      </c>
      <c r="C699" s="249">
        <f>AH85</f>
        <v>0</v>
      </c>
      <c r="D699" s="249">
        <f>(D615/D612)*AH90</f>
        <v>0</v>
      </c>
      <c r="E699" s="251">
        <f>(E623/E612)*SUM(C699:D699)</f>
        <v>0</v>
      </c>
      <c r="F699" s="251">
        <f>(F624/F612)*AH64</f>
        <v>0</v>
      </c>
      <c r="G699" s="249">
        <f>(G625/G612)*AH91</f>
        <v>0</v>
      </c>
      <c r="H699" s="251">
        <f>(H628/H612)*AH60</f>
        <v>0</v>
      </c>
      <c r="I699" s="249">
        <f>(I629/I612)*AH92</f>
        <v>0</v>
      </c>
      <c r="J699" s="249">
        <f>(J630/J612)*AH93</f>
        <v>0</v>
      </c>
      <c r="K699" s="249">
        <f>(K644/K612)*AH89</f>
        <v>0</v>
      </c>
      <c r="L699" s="249">
        <f>(L647/L612)*AH94</f>
        <v>0</v>
      </c>
      <c r="M699" s="225">
        <f t="shared" si="18"/>
        <v>0</v>
      </c>
      <c r="N699" s="243" t="s">
        <v>642</v>
      </c>
    </row>
    <row r="700" spans="1:14" s="225" customFormat="1" ht="12.6" customHeight="1" x14ac:dyDescent="0.2">
      <c r="A700" s="244">
        <v>7250</v>
      </c>
      <c r="B700" s="243" t="s">
        <v>643</v>
      </c>
      <c r="C700" s="249">
        <f>AI85</f>
        <v>0</v>
      </c>
      <c r="D700" s="249">
        <f>(D615/D612)*AI90</f>
        <v>0</v>
      </c>
      <c r="E700" s="251">
        <f>(E623/E612)*SUM(C700:D700)</f>
        <v>0</v>
      </c>
      <c r="F700" s="251">
        <f>(F624/F612)*AI64</f>
        <v>0</v>
      </c>
      <c r="G700" s="249">
        <f>(G625/G612)*AI91</f>
        <v>0</v>
      </c>
      <c r="H700" s="251">
        <f>(H628/H612)*AI60</f>
        <v>0</v>
      </c>
      <c r="I700" s="249">
        <f>(I629/I612)*AI92</f>
        <v>0</v>
      </c>
      <c r="J700" s="249">
        <f>(J630/J612)*AI93</f>
        <v>0</v>
      </c>
      <c r="K700" s="249">
        <f>(K644/K612)*AI89</f>
        <v>0</v>
      </c>
      <c r="L700" s="249">
        <f>(L647/L612)*AI94</f>
        <v>0</v>
      </c>
      <c r="M700" s="225">
        <f t="shared" si="18"/>
        <v>0</v>
      </c>
      <c r="N700" s="243" t="s">
        <v>644</v>
      </c>
    </row>
    <row r="701" spans="1:14" s="225" customFormat="1" ht="12.6" customHeight="1" x14ac:dyDescent="0.2">
      <c r="A701" s="244">
        <v>7260</v>
      </c>
      <c r="B701" s="243" t="s">
        <v>133</v>
      </c>
      <c r="C701" s="249">
        <f>AJ85</f>
        <v>36627655</v>
      </c>
      <c r="D701" s="249">
        <f>(D615/D612)*AJ90</f>
        <v>1801638.5237980082</v>
      </c>
      <c r="E701" s="251">
        <f>(E623/E612)*SUM(C701:D701)</f>
        <v>2517452.244390883</v>
      </c>
      <c r="F701" s="251">
        <f>(F624/F612)*AJ64</f>
        <v>30777.646215738423</v>
      </c>
      <c r="G701" s="249">
        <f>(G625/G612)*AJ91</f>
        <v>0</v>
      </c>
      <c r="H701" s="251">
        <f>(H628/H612)*AJ60</f>
        <v>839694.91278132668</v>
      </c>
      <c r="I701" s="249">
        <f>(I629/I612)*AJ92</f>
        <v>293444.79271739832</v>
      </c>
      <c r="J701" s="249">
        <f>(J630/J612)*AJ93</f>
        <v>33003.906009447426</v>
      </c>
      <c r="K701" s="249">
        <f>(K644/K612)*AJ89</f>
        <v>1610481.904847906</v>
      </c>
      <c r="L701" s="249">
        <f>(L647/L612)*AJ94</f>
        <v>115838.35315970733</v>
      </c>
      <c r="M701" s="225">
        <f t="shared" si="18"/>
        <v>7242332</v>
      </c>
      <c r="N701" s="243" t="s">
        <v>645</v>
      </c>
    </row>
    <row r="702" spans="1:14" s="225" customFormat="1" ht="12.6" customHeight="1" x14ac:dyDescent="0.2">
      <c r="A702" s="244">
        <v>7310</v>
      </c>
      <c r="B702" s="243" t="s">
        <v>646</v>
      </c>
      <c r="C702" s="249">
        <f>AK85</f>
        <v>0</v>
      </c>
      <c r="D702" s="249">
        <f>(D615/D612)*AK90</f>
        <v>0</v>
      </c>
      <c r="E702" s="251">
        <f>(E623/E612)*SUM(C702:D702)</f>
        <v>0</v>
      </c>
      <c r="F702" s="251">
        <f>(F624/F612)*AK64</f>
        <v>0</v>
      </c>
      <c r="G702" s="249">
        <f>(G625/G612)*AK91</f>
        <v>0</v>
      </c>
      <c r="H702" s="251">
        <f>(H628/H612)*AK60</f>
        <v>0</v>
      </c>
      <c r="I702" s="249">
        <f>(I629/I612)*AK92</f>
        <v>0</v>
      </c>
      <c r="J702" s="249">
        <f>(J630/J612)*AK93</f>
        <v>0</v>
      </c>
      <c r="K702" s="249">
        <f>(K644/K612)*AK89</f>
        <v>0</v>
      </c>
      <c r="L702" s="249">
        <f>(L647/L612)*AK94</f>
        <v>0</v>
      </c>
      <c r="M702" s="225">
        <f t="shared" si="18"/>
        <v>0</v>
      </c>
      <c r="N702" s="243" t="s">
        <v>647</v>
      </c>
    </row>
    <row r="703" spans="1:14" s="225" customFormat="1" ht="12.6" customHeight="1" x14ac:dyDescent="0.2">
      <c r="A703" s="244">
        <v>7320</v>
      </c>
      <c r="B703" s="243" t="s">
        <v>648</v>
      </c>
      <c r="C703" s="249">
        <f>AL85</f>
        <v>0</v>
      </c>
      <c r="D703" s="249">
        <f>(D615/D612)*AL90</f>
        <v>0</v>
      </c>
      <c r="E703" s="251">
        <f>(E623/E612)*SUM(C703:D703)</f>
        <v>0</v>
      </c>
      <c r="F703" s="251">
        <f>(F624/F612)*AL64</f>
        <v>0</v>
      </c>
      <c r="G703" s="249">
        <f>(G625/G612)*AL91</f>
        <v>0</v>
      </c>
      <c r="H703" s="251">
        <f>(H628/H612)*AL60</f>
        <v>0</v>
      </c>
      <c r="I703" s="249">
        <f>(I629/I612)*AL92</f>
        <v>0</v>
      </c>
      <c r="J703" s="249">
        <f>(J630/J612)*AL93</f>
        <v>0</v>
      </c>
      <c r="K703" s="249">
        <f>(K644/K612)*AL89</f>
        <v>0</v>
      </c>
      <c r="L703" s="249">
        <f>(L647/L612)*AL94</f>
        <v>0</v>
      </c>
      <c r="M703" s="225">
        <f t="shared" si="18"/>
        <v>0</v>
      </c>
      <c r="N703" s="243" t="s">
        <v>649</v>
      </c>
    </row>
    <row r="704" spans="1:14" s="225" customFormat="1" ht="12.6" customHeight="1" x14ac:dyDescent="0.2">
      <c r="A704" s="244">
        <v>7330</v>
      </c>
      <c r="B704" s="243" t="s">
        <v>650</v>
      </c>
      <c r="C704" s="249">
        <f>AM85</f>
        <v>0</v>
      </c>
      <c r="D704" s="249">
        <f>(D615/D612)*AM90</f>
        <v>0</v>
      </c>
      <c r="E704" s="251">
        <f>(E623/E612)*SUM(C704:D704)</f>
        <v>0</v>
      </c>
      <c r="F704" s="251">
        <f>(F624/F612)*AM64</f>
        <v>0</v>
      </c>
      <c r="G704" s="249">
        <f>(G625/G612)*AM91</f>
        <v>0</v>
      </c>
      <c r="H704" s="251">
        <f>(H628/H612)*AM60</f>
        <v>0</v>
      </c>
      <c r="I704" s="249">
        <f>(I629/I612)*AM92</f>
        <v>0</v>
      </c>
      <c r="J704" s="249">
        <f>(J630/J612)*AM93</f>
        <v>0</v>
      </c>
      <c r="K704" s="249">
        <f>(K644/K612)*AM89</f>
        <v>0</v>
      </c>
      <c r="L704" s="249">
        <f>(L647/L612)*AM94</f>
        <v>0</v>
      </c>
      <c r="M704" s="225">
        <f t="shared" si="18"/>
        <v>0</v>
      </c>
      <c r="N704" s="243" t="s">
        <v>651</v>
      </c>
    </row>
    <row r="705" spans="1:14" s="225" customFormat="1" ht="12.6" customHeight="1" x14ac:dyDescent="0.2">
      <c r="A705" s="244">
        <v>7340</v>
      </c>
      <c r="B705" s="243" t="s">
        <v>652</v>
      </c>
      <c r="C705" s="249">
        <f>AN85</f>
        <v>0</v>
      </c>
      <c r="D705" s="249">
        <f>(D615/D612)*AN90</f>
        <v>0</v>
      </c>
      <c r="E705" s="251">
        <f>(E623/E612)*SUM(C705:D705)</f>
        <v>0</v>
      </c>
      <c r="F705" s="251">
        <f>(F624/F612)*AN64</f>
        <v>0</v>
      </c>
      <c r="G705" s="249">
        <f>(G625/G612)*AN91</f>
        <v>0</v>
      </c>
      <c r="H705" s="251">
        <f>(H628/H612)*AN60</f>
        <v>0</v>
      </c>
      <c r="I705" s="249">
        <f>(I629/I612)*AN92</f>
        <v>0</v>
      </c>
      <c r="J705" s="249">
        <f>(J630/J612)*AN93</f>
        <v>0</v>
      </c>
      <c r="K705" s="249">
        <f>(K644/K612)*AN89</f>
        <v>0</v>
      </c>
      <c r="L705" s="249">
        <f>(L647/L612)*AN94</f>
        <v>0</v>
      </c>
      <c r="M705" s="225">
        <f t="shared" si="18"/>
        <v>0</v>
      </c>
      <c r="N705" s="243" t="s">
        <v>653</v>
      </c>
    </row>
    <row r="706" spans="1:14" s="225" customFormat="1" ht="12.6" customHeight="1" x14ac:dyDescent="0.2">
      <c r="A706" s="244">
        <v>7350</v>
      </c>
      <c r="B706" s="243" t="s">
        <v>654</v>
      </c>
      <c r="C706" s="249">
        <f>AO85</f>
        <v>812034</v>
      </c>
      <c r="D706" s="249">
        <f>(D615/D612)*AO90</f>
        <v>46632.52070554957</v>
      </c>
      <c r="E706" s="251">
        <f>(E623/E612)*SUM(C706:D706)</f>
        <v>56250.109266121573</v>
      </c>
      <c r="F706" s="251">
        <f>(F624/F612)*AO64</f>
        <v>435.70076217936816</v>
      </c>
      <c r="G706" s="249">
        <f>(G625/G612)*AO91</f>
        <v>0</v>
      </c>
      <c r="H706" s="251">
        <f>(H628/H612)*AO60</f>
        <v>16308.031389404281</v>
      </c>
      <c r="I706" s="249">
        <f>(I629/I612)*AO92</f>
        <v>45406.007187218675</v>
      </c>
      <c r="J706" s="249">
        <f>(J630/J612)*AO93</f>
        <v>6400.5664388992855</v>
      </c>
      <c r="K706" s="249">
        <f>(K644/K612)*AO89</f>
        <v>41871.849768529348</v>
      </c>
      <c r="L706" s="249">
        <f>(L647/L612)*AO94</f>
        <v>139236.16621514488</v>
      </c>
      <c r="M706" s="225">
        <f t="shared" si="18"/>
        <v>352541</v>
      </c>
      <c r="N706" s="243" t="s">
        <v>655</v>
      </c>
    </row>
    <row r="707" spans="1:14" s="225" customFormat="1" ht="12.6" customHeight="1" x14ac:dyDescent="0.2">
      <c r="A707" s="244">
        <v>7380</v>
      </c>
      <c r="B707" s="243" t="s">
        <v>656</v>
      </c>
      <c r="C707" s="249">
        <f>AP85</f>
        <v>2523999</v>
      </c>
      <c r="D707" s="249">
        <f>(D615/D612)*AP90</f>
        <v>0</v>
      </c>
      <c r="E707" s="251">
        <f>(E623/E612)*SUM(C707:D707)</f>
        <v>165343.8396793709</v>
      </c>
      <c r="F707" s="251">
        <f>(F624/F612)*AP64</f>
        <v>18786.099512593963</v>
      </c>
      <c r="G707" s="249">
        <f>(G625/G612)*AP91</f>
        <v>0</v>
      </c>
      <c r="H707" s="251">
        <f>(H628/H612)*AP60</f>
        <v>6448.233101097785</v>
      </c>
      <c r="I707" s="249">
        <f>(I629/I612)*AP92</f>
        <v>0</v>
      </c>
      <c r="J707" s="249">
        <f>(J630/J612)*AP93</f>
        <v>0</v>
      </c>
      <c r="K707" s="249">
        <f>(K644/K612)*AP89</f>
        <v>117103.62415360707</v>
      </c>
      <c r="L707" s="249">
        <f>(L647/L612)*AP94</f>
        <v>0</v>
      </c>
      <c r="M707" s="225">
        <f t="shared" si="18"/>
        <v>307682</v>
      </c>
      <c r="N707" s="243" t="s">
        <v>657</v>
      </c>
    </row>
    <row r="708" spans="1:14" s="225" customFormat="1" ht="12.6" customHeight="1" x14ac:dyDescent="0.2">
      <c r="A708" s="244">
        <v>7390</v>
      </c>
      <c r="B708" s="243" t="s">
        <v>658</v>
      </c>
      <c r="C708" s="249">
        <f>AQ85</f>
        <v>0</v>
      </c>
      <c r="D708" s="249">
        <f>(D615/D612)*AQ90</f>
        <v>0</v>
      </c>
      <c r="E708" s="251">
        <f>(E623/E612)*SUM(C708:D708)</f>
        <v>0</v>
      </c>
      <c r="F708" s="251">
        <f>(F624/F612)*AQ64</f>
        <v>0</v>
      </c>
      <c r="G708" s="249">
        <f>(G625/G612)*AQ91</f>
        <v>0</v>
      </c>
      <c r="H708" s="251">
        <f>(H628/H612)*AQ60</f>
        <v>0</v>
      </c>
      <c r="I708" s="249">
        <f>(I629/I612)*AQ92</f>
        <v>0</v>
      </c>
      <c r="J708" s="249">
        <f>(J630/J612)*AQ93</f>
        <v>0</v>
      </c>
      <c r="K708" s="249">
        <f>(K644/K612)*AQ89</f>
        <v>0</v>
      </c>
      <c r="L708" s="249">
        <f>(L647/L612)*AQ94</f>
        <v>0</v>
      </c>
      <c r="M708" s="225">
        <f t="shared" si="18"/>
        <v>0</v>
      </c>
      <c r="N708" s="243" t="s">
        <v>659</v>
      </c>
    </row>
    <row r="709" spans="1:14" s="225" customFormat="1" ht="12.6" customHeight="1" x14ac:dyDescent="0.2">
      <c r="A709" s="244">
        <v>7400</v>
      </c>
      <c r="B709" s="243" t="s">
        <v>660</v>
      </c>
      <c r="C709" s="249">
        <f>AR85</f>
        <v>3286719</v>
      </c>
      <c r="D709" s="249">
        <f>(D615/D612)*AR90</f>
        <v>0</v>
      </c>
      <c r="E709" s="251">
        <f>(E623/E612)*SUM(C709:D709)</f>
        <v>215308.61914253619</v>
      </c>
      <c r="F709" s="251">
        <f>(F624/F612)*AR64</f>
        <v>1115.9691065565003</v>
      </c>
      <c r="G709" s="249">
        <f>(G625/G612)*AR91</f>
        <v>0</v>
      </c>
      <c r="H709" s="251">
        <f>(H628/H612)*AR60</f>
        <v>87501.023592803671</v>
      </c>
      <c r="I709" s="249">
        <f>(I629/I612)*AR92</f>
        <v>0</v>
      </c>
      <c r="J709" s="249">
        <f>(J630/J612)*AR93</f>
        <v>0</v>
      </c>
      <c r="K709" s="249">
        <f>(K644/K612)*AR89</f>
        <v>90118.805646897323</v>
      </c>
      <c r="L709" s="249">
        <f>(L647/L612)*AR94</f>
        <v>0</v>
      </c>
      <c r="M709" s="225">
        <f t="shared" si="18"/>
        <v>394044</v>
      </c>
      <c r="N709" s="243" t="s">
        <v>661</v>
      </c>
    </row>
    <row r="710" spans="1:14" s="225" customFormat="1" ht="12.6" customHeight="1" x14ac:dyDescent="0.2">
      <c r="A710" s="244">
        <v>7410</v>
      </c>
      <c r="B710" s="243" t="s">
        <v>141</v>
      </c>
      <c r="C710" s="249">
        <f>AS85</f>
        <v>0</v>
      </c>
      <c r="D710" s="249">
        <f>(D615/D612)*AS90</f>
        <v>0</v>
      </c>
      <c r="E710" s="251">
        <f>(E623/E612)*SUM(C710:D710)</f>
        <v>0</v>
      </c>
      <c r="F710" s="251">
        <f>(F624/F612)*AS64</f>
        <v>0</v>
      </c>
      <c r="G710" s="249">
        <f>(G625/G612)*AS91</f>
        <v>0</v>
      </c>
      <c r="H710" s="251">
        <f>(H628/H612)*AS60</f>
        <v>0</v>
      </c>
      <c r="I710" s="249">
        <f>(I629/I612)*AS92</f>
        <v>0</v>
      </c>
      <c r="J710" s="249">
        <f>(J630/J612)*AS93</f>
        <v>0</v>
      </c>
      <c r="K710" s="249">
        <f>(K644/K612)*AS89</f>
        <v>0</v>
      </c>
      <c r="L710" s="249">
        <f>(L647/L612)*AS94</f>
        <v>0</v>
      </c>
      <c r="M710" s="225">
        <f t="shared" si="18"/>
        <v>0</v>
      </c>
      <c r="N710" s="243" t="s">
        <v>662</v>
      </c>
    </row>
    <row r="711" spans="1:14" s="225" customFormat="1" ht="12.6" customHeight="1" x14ac:dyDescent="0.2">
      <c r="A711" s="244">
        <v>7420</v>
      </c>
      <c r="B711" s="243" t="s">
        <v>663</v>
      </c>
      <c r="C711" s="249">
        <f>AT85</f>
        <v>0</v>
      </c>
      <c r="D711" s="249">
        <f>(D615/D612)*AT90</f>
        <v>0</v>
      </c>
      <c r="E711" s="251">
        <f>(E623/E612)*SUM(C711:D711)</f>
        <v>0</v>
      </c>
      <c r="F711" s="251">
        <f>(F624/F612)*AT64</f>
        <v>0</v>
      </c>
      <c r="G711" s="249">
        <f>(G625/G612)*AT91</f>
        <v>0</v>
      </c>
      <c r="H711" s="251">
        <f>(H628/H612)*AT60</f>
        <v>0</v>
      </c>
      <c r="I711" s="249">
        <f>(I629/I612)*AT92</f>
        <v>0</v>
      </c>
      <c r="J711" s="249">
        <f>(J630/J612)*AT93</f>
        <v>0</v>
      </c>
      <c r="K711" s="249">
        <f>(K644/K612)*AT89</f>
        <v>0</v>
      </c>
      <c r="L711" s="249">
        <f>(L647/L612)*AT94</f>
        <v>0</v>
      </c>
      <c r="M711" s="225">
        <f t="shared" si="18"/>
        <v>0</v>
      </c>
      <c r="N711" s="243" t="s">
        <v>664</v>
      </c>
    </row>
    <row r="712" spans="1:14" s="225" customFormat="1" ht="12.6" customHeight="1" x14ac:dyDescent="0.2">
      <c r="A712" s="244">
        <v>7430</v>
      </c>
      <c r="B712" s="243" t="s">
        <v>665</v>
      </c>
      <c r="C712" s="249">
        <f>AU85</f>
        <v>0</v>
      </c>
      <c r="D712" s="249">
        <f>(D615/D612)*AU90</f>
        <v>0</v>
      </c>
      <c r="E712" s="251">
        <f>(E623/E612)*SUM(C712:D712)</f>
        <v>0</v>
      </c>
      <c r="F712" s="251">
        <f>(F624/F612)*AU64</f>
        <v>0</v>
      </c>
      <c r="G712" s="249">
        <f>(G625/G612)*AU91</f>
        <v>0</v>
      </c>
      <c r="H712" s="251">
        <f>(H628/H612)*AU60</f>
        <v>0</v>
      </c>
      <c r="I712" s="249">
        <f>(I629/I612)*AU92</f>
        <v>0</v>
      </c>
      <c r="J712" s="249">
        <f>(J630/J612)*AU93</f>
        <v>0</v>
      </c>
      <c r="K712" s="249">
        <f>(K644/K612)*AU89</f>
        <v>0</v>
      </c>
      <c r="L712" s="249">
        <f>(L647/L612)*AU94</f>
        <v>0</v>
      </c>
      <c r="M712" s="225">
        <f t="shared" si="18"/>
        <v>0</v>
      </c>
      <c r="N712" s="243" t="s">
        <v>666</v>
      </c>
    </row>
    <row r="713" spans="1:14" s="225" customFormat="1" ht="12.6" customHeight="1" x14ac:dyDescent="0.2">
      <c r="A713" s="244">
        <v>7490</v>
      </c>
      <c r="B713" s="243" t="s">
        <v>667</v>
      </c>
      <c r="C713" s="249">
        <f>AV85</f>
        <v>3394701</v>
      </c>
      <c r="D713" s="249">
        <f>(D615/D612)*AV90</f>
        <v>182307.8223961425</v>
      </c>
      <c r="E713" s="251">
        <f>(E623/E612)*SUM(C713:D713)</f>
        <v>234325.12186493061</v>
      </c>
      <c r="F713" s="251">
        <f>(F624/F612)*AV64</f>
        <v>5228.4091461524176</v>
      </c>
      <c r="G713" s="249">
        <f>(G625/G612)*AV91</f>
        <v>0</v>
      </c>
      <c r="H713" s="251">
        <f>(H628/H612)*AV60</f>
        <v>16008.11357074857</v>
      </c>
      <c r="I713" s="249">
        <f>(I629/I612)*AV92</f>
        <v>135540.31996184678</v>
      </c>
      <c r="J713" s="249">
        <f>(J630/J612)*AV93</f>
        <v>0</v>
      </c>
      <c r="K713" s="249">
        <f>(K644/K612)*AV89</f>
        <v>267862.63630205265</v>
      </c>
      <c r="L713" s="249">
        <f>(L647/L612)*AV94</f>
        <v>56001.323050719431</v>
      </c>
      <c r="M713" s="225">
        <f t="shared" si="18"/>
        <v>897274</v>
      </c>
      <c r="N713" s="245" t="s">
        <v>668</v>
      </c>
    </row>
    <row r="714" spans="1:14" s="225" customFormat="1" ht="12.6" customHeight="1" x14ac:dyDescent="0.2"/>
    <row r="715" spans="1:14" s="225" customFormat="1" ht="12.6" customHeight="1" x14ac:dyDescent="0.2">
      <c r="C715" s="246">
        <f>SUM(C614:C647)+SUM(C668:C713)</f>
        <v>152499158</v>
      </c>
      <c r="D715" s="225">
        <f>SUM(D616:D647)+SUM(D668:D713)</f>
        <v>6401932.0000000009</v>
      </c>
      <c r="E715" s="225">
        <f>SUM(E624:E647)+SUM(E668:E713)</f>
        <v>9375820.7245146949</v>
      </c>
      <c r="F715" s="225">
        <f>SUM(F625:F648)+SUM(F668:F713)</f>
        <v>515991.7568453275</v>
      </c>
      <c r="G715" s="225">
        <f>SUM(G626:G647)+SUM(G668:G713)</f>
        <v>1798557.7127913032</v>
      </c>
      <c r="H715" s="225">
        <f>SUM(H629:H647)+SUM(H668:H713)</f>
        <v>2378123.3635757961</v>
      </c>
      <c r="I715" s="225">
        <f>SUM(I630:I647)+SUM(I668:I713)</f>
        <v>2092064.8386111048</v>
      </c>
      <c r="J715" s="225">
        <f>SUM(J631:J647)+SUM(J668:J713)</f>
        <v>366808.15974388161</v>
      </c>
      <c r="K715" s="225">
        <f>SUM(K668:K713)</f>
        <v>11157040.45955958</v>
      </c>
      <c r="L715" s="225">
        <f>SUM(L668:L713)</f>
        <v>3558001.8672498185</v>
      </c>
      <c r="M715" s="225">
        <f>SUM(M668:M713)</f>
        <v>34176922</v>
      </c>
      <c r="N715" s="243" t="s">
        <v>669</v>
      </c>
    </row>
    <row r="716" spans="1:14" s="225" customFormat="1" ht="12.6" customHeight="1" x14ac:dyDescent="0.2">
      <c r="C716" s="246">
        <f>CE85</f>
        <v>152499158</v>
      </c>
      <c r="D716" s="225">
        <f>D615</f>
        <v>6401932</v>
      </c>
      <c r="E716" s="225">
        <f>E623</f>
        <v>9375820.7245146967</v>
      </c>
      <c r="F716" s="225">
        <f>F624</f>
        <v>515991.75684532744</v>
      </c>
      <c r="G716" s="225">
        <f>G625</f>
        <v>1798557.7127913034</v>
      </c>
      <c r="H716" s="225">
        <f>H628</f>
        <v>2378123.3635757966</v>
      </c>
      <c r="I716" s="225">
        <f>I629</f>
        <v>2092064.838611105</v>
      </c>
      <c r="J716" s="225">
        <f>J630</f>
        <v>366808.15974388173</v>
      </c>
      <c r="K716" s="225">
        <f>K644</f>
        <v>11157040.45955958</v>
      </c>
      <c r="L716" s="225">
        <f>L647</f>
        <v>3558001.8672498181</v>
      </c>
      <c r="M716" s="225">
        <f>C648</f>
        <v>34176923</v>
      </c>
      <c r="N716" s="243" t="s">
        <v>670</v>
      </c>
    </row>
  </sheetData>
  <mergeCells count="1">
    <mergeCell ref="B236:C236"/>
  </mergeCells>
  <hyperlinks>
    <hyperlink ref="F42" r:id="rId1" xr:uid="{00000000-0004-0000-0000-000001000000}"/>
    <hyperlink ref="A43" r:id="rId2" xr:uid="{00000000-0004-0000-0000-000002000000}"/>
    <hyperlink ref="C30" r:id="rId3" xr:uid="{E610A3B0-585E-4CCA-8285-658697B15B7A}"/>
    <hyperlink ref="C110" r:id="rId4" xr:uid="{A2753071-0F9F-4AAF-9D6B-6F64FFD5AA55}"/>
  </hyperlinks>
  <printOptions horizontalCentered="1" gridLines="1" gridLinesSet="0"/>
  <pageMargins left="0.25" right="0.25" top="0.5" bottom="0.5" header="0.5" footer="0.5"/>
  <pageSetup scale="95" orientation="portrait" r:id="rId5"/>
  <headerFooter alignWithMargins="0"/>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179"/>
  <sheetViews>
    <sheetView topLeftCell="A172" workbookViewId="0">
      <selection activeCell="E16" sqref="E16"/>
    </sheetView>
  </sheetViews>
  <sheetFormatPr defaultColWidth="57.44140625" defaultRowHeight="15" x14ac:dyDescent="0.25"/>
  <cols>
    <col min="1" max="1" width="5.77734375" style="12" customWidth="1"/>
    <col min="2" max="2" width="55.77734375" style="12" customWidth="1"/>
    <col min="3" max="3" width="22" style="12" customWidth="1"/>
    <col min="4" max="4" width="5.6640625" style="12" customWidth="1"/>
    <col min="5" max="6" width="57.44140625" style="12" customWidth="1"/>
    <col min="7" max="16384" width="57.44140625" style="12"/>
  </cols>
  <sheetData>
    <row r="1" spans="1:10" ht="20.100000000000001" customHeight="1" x14ac:dyDescent="0.25">
      <c r="A1" s="177" t="s">
        <v>871</v>
      </c>
      <c r="B1" s="178"/>
      <c r="C1" s="178"/>
    </row>
    <row r="2" spans="1:10" ht="20.100000000000001" customHeight="1" x14ac:dyDescent="0.25">
      <c r="A2" s="177"/>
      <c r="B2" s="370"/>
      <c r="C2" s="371" t="s">
        <v>872</v>
      </c>
      <c r="D2" s="119"/>
      <c r="E2" s="119"/>
      <c r="F2" s="119"/>
      <c r="G2" s="119"/>
      <c r="H2" s="119"/>
      <c r="I2" s="119"/>
      <c r="J2" s="358"/>
    </row>
    <row r="3" spans="1:10" ht="20.100000000000001" customHeight="1" x14ac:dyDescent="0.25">
      <c r="A3" s="129" t="str">
        <f>"Hospital: "&amp;data!C98</f>
        <v>Hospital: Jefferson County Public Hospital District No 2</v>
      </c>
      <c r="B3" s="372"/>
      <c r="C3" s="151" t="str">
        <f>"FYE: "&amp;data!C96</f>
        <v>FYE: 12/31/2022</v>
      </c>
      <c r="J3" s="360"/>
    </row>
    <row r="4" spans="1:10" ht="20.100000000000001" customHeight="1" x14ac:dyDescent="0.25">
      <c r="A4" s="180"/>
      <c r="B4" s="373" t="s">
        <v>873</v>
      </c>
      <c r="C4" s="181"/>
      <c r="J4" s="360"/>
    </row>
    <row r="5" spans="1:10" ht="20.100000000000001" customHeight="1" x14ac:dyDescent="0.25">
      <c r="A5" s="182">
        <v>1</v>
      </c>
      <c r="B5" s="374" t="s">
        <v>396</v>
      </c>
      <c r="C5" s="183"/>
      <c r="J5" s="360"/>
    </row>
    <row r="6" spans="1:10" ht="20.100000000000001" customHeight="1" x14ac:dyDescent="0.25">
      <c r="A6" s="182">
        <v>2</v>
      </c>
      <c r="B6" s="189" t="s">
        <v>397</v>
      </c>
      <c r="C6" s="354">
        <f>data!C266</f>
        <v>46848800</v>
      </c>
      <c r="J6" s="360"/>
    </row>
    <row r="7" spans="1:10" ht="20.100000000000001" customHeight="1" x14ac:dyDescent="0.25">
      <c r="A7" s="352">
        <v>3</v>
      </c>
      <c r="B7" s="372" t="s">
        <v>398</v>
      </c>
      <c r="C7" s="179">
        <f>data!C267</f>
        <v>0</v>
      </c>
      <c r="J7" s="360"/>
    </row>
    <row r="8" spans="1:10" ht="20.100000000000001" customHeight="1" x14ac:dyDescent="0.25">
      <c r="A8" s="352">
        <v>4</v>
      </c>
      <c r="B8" s="372" t="s">
        <v>399</v>
      </c>
      <c r="C8" s="179">
        <f>data!C268</f>
        <v>44692200</v>
      </c>
      <c r="J8" s="360"/>
    </row>
    <row r="9" spans="1:10" ht="20.100000000000001" customHeight="1" x14ac:dyDescent="0.25">
      <c r="A9" s="352">
        <v>5</v>
      </c>
      <c r="B9" s="372" t="s">
        <v>874</v>
      </c>
      <c r="C9" s="179">
        <f>data!C269</f>
        <v>26317000</v>
      </c>
      <c r="J9" s="360"/>
    </row>
    <row r="10" spans="1:10" ht="20.100000000000001" customHeight="1" x14ac:dyDescent="0.25">
      <c r="A10" s="352">
        <v>6</v>
      </c>
      <c r="B10" s="372" t="s">
        <v>875</v>
      </c>
      <c r="C10" s="179">
        <f>data!C270</f>
        <v>3019074</v>
      </c>
      <c r="J10" s="360"/>
    </row>
    <row r="11" spans="1:10" ht="20.100000000000001" customHeight="1" x14ac:dyDescent="0.25">
      <c r="A11" s="182">
        <v>7</v>
      </c>
      <c r="B11" s="187" t="s">
        <v>876</v>
      </c>
      <c r="C11" s="188">
        <f>data!C271</f>
        <v>1130587</v>
      </c>
      <c r="J11" s="360"/>
    </row>
    <row r="12" spans="1:10" ht="20.100000000000001" customHeight="1" x14ac:dyDescent="0.25">
      <c r="A12" s="182">
        <v>8</v>
      </c>
      <c r="B12" s="182" t="s">
        <v>403</v>
      </c>
      <c r="C12" s="184">
        <f>data!C272</f>
        <v>0</v>
      </c>
      <c r="J12" s="360"/>
    </row>
    <row r="13" spans="1:10" ht="20.100000000000001" customHeight="1" x14ac:dyDescent="0.25">
      <c r="A13" s="182">
        <v>9</v>
      </c>
      <c r="B13" s="182" t="s">
        <v>404</v>
      </c>
      <c r="C13" s="184">
        <f>data!C273</f>
        <v>5940865</v>
      </c>
      <c r="J13" s="360"/>
    </row>
    <row r="14" spans="1:10" ht="20.100000000000001" customHeight="1" x14ac:dyDescent="0.25">
      <c r="A14" s="182">
        <v>10</v>
      </c>
      <c r="B14" s="182" t="s">
        <v>405</v>
      </c>
      <c r="C14" s="184">
        <f>data!C274</f>
        <v>1956750</v>
      </c>
      <c r="D14" s="122"/>
      <c r="E14" s="122"/>
      <c r="F14" s="122"/>
      <c r="G14" s="122"/>
      <c r="H14" s="122"/>
      <c r="I14" s="122"/>
      <c r="J14" s="362"/>
    </row>
    <row r="15" spans="1:10" ht="20.100000000000001" customHeight="1" x14ac:dyDescent="0.25">
      <c r="A15" s="182">
        <v>11</v>
      </c>
      <c r="B15" s="188" t="s">
        <v>877</v>
      </c>
      <c r="C15" s="188">
        <f>data!C275</f>
        <v>0</v>
      </c>
    </row>
    <row r="16" spans="1:10" ht="20.100000000000001" customHeight="1" thickBot="1" x14ac:dyDescent="0.3">
      <c r="A16" s="182">
        <v>12</v>
      </c>
      <c r="B16" s="393" t="s">
        <v>878</v>
      </c>
      <c r="C16" s="393">
        <f>data!D276</f>
        <v>77271276</v>
      </c>
      <c r="D16" s="112"/>
      <c r="E16" s="112"/>
      <c r="F16" s="112"/>
      <c r="G16" s="112"/>
      <c r="H16" s="112"/>
    </row>
    <row r="17" spans="1:3" ht="20.100000000000001" customHeight="1" thickTop="1" x14ac:dyDescent="0.25">
      <c r="A17" s="182">
        <v>13</v>
      </c>
      <c r="B17" s="188"/>
      <c r="C17" s="188"/>
    </row>
    <row r="18" spans="1:3" ht="20.100000000000001" customHeight="1" x14ac:dyDescent="0.25">
      <c r="A18" s="182">
        <v>14</v>
      </c>
      <c r="B18" s="185" t="s">
        <v>879</v>
      </c>
      <c r="C18" s="183"/>
    </row>
    <row r="19" spans="1:3" ht="20.100000000000001" customHeight="1" x14ac:dyDescent="0.25">
      <c r="A19" s="182">
        <v>15</v>
      </c>
      <c r="B19" s="184" t="s">
        <v>397</v>
      </c>
      <c r="C19" s="184">
        <f>data!C278</f>
        <v>0</v>
      </c>
    </row>
    <row r="20" spans="1:3" ht="20.100000000000001" customHeight="1" x14ac:dyDescent="0.25">
      <c r="A20" s="182">
        <v>16</v>
      </c>
      <c r="B20" s="184" t="s">
        <v>398</v>
      </c>
      <c r="C20" s="184">
        <f>data!C279</f>
        <v>0</v>
      </c>
    </row>
    <row r="21" spans="1:3" ht="20.100000000000001" customHeight="1" x14ac:dyDescent="0.25">
      <c r="A21" s="182">
        <v>17</v>
      </c>
      <c r="B21" s="184" t="s">
        <v>409</v>
      </c>
      <c r="C21" s="184">
        <f>data!C280</f>
        <v>0</v>
      </c>
    </row>
    <row r="22" spans="1:3" ht="20.100000000000001" customHeight="1" x14ac:dyDescent="0.25">
      <c r="A22" s="182">
        <v>18</v>
      </c>
      <c r="B22" s="184" t="s">
        <v>880</v>
      </c>
      <c r="C22" s="184">
        <f>data!D281</f>
        <v>0</v>
      </c>
    </row>
    <row r="23" spans="1:3" ht="20.100000000000001" customHeight="1" x14ac:dyDescent="0.25">
      <c r="A23" s="182">
        <v>19</v>
      </c>
      <c r="B23" s="186"/>
      <c r="C23" s="184"/>
    </row>
    <row r="24" spans="1:3" ht="20.100000000000001" customHeight="1" x14ac:dyDescent="0.25">
      <c r="A24" s="182">
        <v>20</v>
      </c>
      <c r="B24" s="185" t="s">
        <v>881</v>
      </c>
      <c r="C24" s="183"/>
    </row>
    <row r="25" spans="1:3" ht="20.100000000000001" customHeight="1" x14ac:dyDescent="0.25">
      <c r="A25" s="182">
        <v>21</v>
      </c>
      <c r="B25" s="184" t="s">
        <v>366</v>
      </c>
      <c r="C25" s="184">
        <f>data!C283</f>
        <v>2164252</v>
      </c>
    </row>
    <row r="26" spans="1:3" ht="20.100000000000001" customHeight="1" x14ac:dyDescent="0.25">
      <c r="A26" s="182">
        <v>22</v>
      </c>
      <c r="B26" s="184" t="s">
        <v>367</v>
      </c>
      <c r="C26" s="184">
        <f>data!C284</f>
        <v>4028158</v>
      </c>
    </row>
    <row r="27" spans="1:3" ht="20.100000000000001" customHeight="1" x14ac:dyDescent="0.25">
      <c r="A27" s="182">
        <v>23</v>
      </c>
      <c r="B27" s="184" t="s">
        <v>368</v>
      </c>
      <c r="C27" s="184">
        <f>data!C285</f>
        <v>49457579</v>
      </c>
    </row>
    <row r="28" spans="1:3" ht="20.100000000000001" customHeight="1" x14ac:dyDescent="0.25">
      <c r="A28" s="182">
        <v>24</v>
      </c>
      <c r="B28" s="184" t="s">
        <v>882</v>
      </c>
      <c r="C28" s="184">
        <f>data!C286</f>
        <v>0</v>
      </c>
    </row>
    <row r="29" spans="1:3" ht="20.100000000000001" customHeight="1" x14ac:dyDescent="0.25">
      <c r="A29" s="182">
        <v>25</v>
      </c>
      <c r="B29" s="184" t="s">
        <v>370</v>
      </c>
      <c r="C29" s="184">
        <f>data!C287</f>
        <v>22772758</v>
      </c>
    </row>
    <row r="30" spans="1:3" ht="20.100000000000001" customHeight="1" x14ac:dyDescent="0.25">
      <c r="A30" s="182">
        <v>26</v>
      </c>
      <c r="B30" s="184" t="s">
        <v>414</v>
      </c>
      <c r="C30" s="184">
        <f>data!C288</f>
        <v>17581095</v>
      </c>
    </row>
    <row r="31" spans="1:3" ht="20.100000000000001" customHeight="1" x14ac:dyDescent="0.25">
      <c r="A31" s="182">
        <v>27</v>
      </c>
      <c r="B31" s="184" t="s">
        <v>373</v>
      </c>
      <c r="C31" s="184">
        <f>data!C289</f>
        <v>1369286</v>
      </c>
    </row>
    <row r="32" spans="1:3" ht="20.100000000000001" customHeight="1" x14ac:dyDescent="0.25">
      <c r="A32" s="182">
        <v>28</v>
      </c>
      <c r="B32" s="184" t="s">
        <v>374</v>
      </c>
      <c r="C32" s="184">
        <f>data!C290</f>
        <v>4096920</v>
      </c>
    </row>
    <row r="33" spans="1:3" ht="20.100000000000001" customHeight="1" x14ac:dyDescent="0.25">
      <c r="A33" s="182">
        <v>29</v>
      </c>
      <c r="B33" s="184" t="s">
        <v>587</v>
      </c>
      <c r="C33" s="184">
        <f>data!C291</f>
        <v>0</v>
      </c>
    </row>
    <row r="34" spans="1:3" ht="20.100000000000001" customHeight="1" x14ac:dyDescent="0.25">
      <c r="A34" s="182">
        <v>30</v>
      </c>
      <c r="B34" s="184" t="s">
        <v>883</v>
      </c>
      <c r="C34" s="184">
        <f>data!C292</f>
        <v>61536453</v>
      </c>
    </row>
    <row r="35" spans="1:3" ht="20.100000000000001" customHeight="1" x14ac:dyDescent="0.25">
      <c r="A35" s="182">
        <v>31</v>
      </c>
      <c r="B35" s="184" t="s">
        <v>884</v>
      </c>
      <c r="C35" s="184">
        <f>data!D293</f>
        <v>39933595</v>
      </c>
    </row>
    <row r="36" spans="1:3" ht="20.100000000000001" customHeight="1" x14ac:dyDescent="0.25">
      <c r="A36" s="182">
        <v>32</v>
      </c>
      <c r="B36" s="186"/>
      <c r="C36" s="184"/>
    </row>
    <row r="37" spans="1:3" ht="20.100000000000001" customHeight="1" x14ac:dyDescent="0.25">
      <c r="A37" s="182">
        <v>33</v>
      </c>
      <c r="B37" s="185" t="s">
        <v>885</v>
      </c>
      <c r="C37" s="183"/>
    </row>
    <row r="38" spans="1:3" ht="20.100000000000001" customHeight="1" x14ac:dyDescent="0.25">
      <c r="A38" s="182">
        <v>34</v>
      </c>
      <c r="B38" s="184" t="s">
        <v>886</v>
      </c>
      <c r="C38" s="184">
        <f>data!C295</f>
        <v>0</v>
      </c>
    </row>
    <row r="39" spans="1:3" ht="20.100000000000001" customHeight="1" x14ac:dyDescent="0.25">
      <c r="A39" s="182">
        <v>35</v>
      </c>
      <c r="B39" s="184" t="s">
        <v>887</v>
      </c>
      <c r="C39" s="184">
        <f>data!C296</f>
        <v>0</v>
      </c>
    </row>
    <row r="40" spans="1:3" ht="20.100000000000001" customHeight="1" x14ac:dyDescent="0.25">
      <c r="A40" s="182">
        <v>36</v>
      </c>
      <c r="B40" s="184" t="s">
        <v>421</v>
      </c>
      <c r="C40" s="184">
        <f>data!C297</f>
        <v>0</v>
      </c>
    </row>
    <row r="41" spans="1:3" ht="20.100000000000001" customHeight="1" x14ac:dyDescent="0.25">
      <c r="A41" s="182">
        <v>37</v>
      </c>
      <c r="B41" s="184" t="s">
        <v>409</v>
      </c>
      <c r="C41" s="184">
        <f>data!C298</f>
        <v>0</v>
      </c>
    </row>
    <row r="42" spans="1:3" ht="20.100000000000001" customHeight="1" x14ac:dyDescent="0.25">
      <c r="A42" s="182">
        <v>38</v>
      </c>
      <c r="B42" s="184" t="s">
        <v>888</v>
      </c>
      <c r="C42" s="184">
        <f>data!D299</f>
        <v>0</v>
      </c>
    </row>
    <row r="43" spans="1:3" ht="20.100000000000001" customHeight="1" x14ac:dyDescent="0.25">
      <c r="A43" s="182">
        <v>39</v>
      </c>
      <c r="B43" s="186"/>
      <c r="C43" s="184"/>
    </row>
    <row r="44" spans="1:3" ht="20.100000000000001" customHeight="1" x14ac:dyDescent="0.25">
      <c r="A44" s="182">
        <v>40</v>
      </c>
      <c r="B44" s="185" t="s">
        <v>889</v>
      </c>
      <c r="C44" s="183"/>
    </row>
    <row r="45" spans="1:3" ht="20.100000000000001" customHeight="1" x14ac:dyDescent="0.25">
      <c r="A45" s="182">
        <v>41</v>
      </c>
      <c r="B45" s="184" t="s">
        <v>424</v>
      </c>
      <c r="C45" s="184">
        <f>data!C302</f>
        <v>0</v>
      </c>
    </row>
    <row r="46" spans="1:3" ht="20.100000000000001" customHeight="1" x14ac:dyDescent="0.25">
      <c r="A46" s="182">
        <v>42</v>
      </c>
      <c r="B46" s="184" t="s">
        <v>425</v>
      </c>
      <c r="C46" s="184">
        <f>data!C303</f>
        <v>0</v>
      </c>
    </row>
    <row r="47" spans="1:3" ht="20.100000000000001" customHeight="1" x14ac:dyDescent="0.25">
      <c r="A47" s="182">
        <v>43</v>
      </c>
      <c r="B47" s="184" t="s">
        <v>890</v>
      </c>
      <c r="C47" s="184">
        <f>data!C304</f>
        <v>0</v>
      </c>
    </row>
    <row r="48" spans="1:3" ht="20.100000000000001" customHeight="1" x14ac:dyDescent="0.25">
      <c r="A48" s="182">
        <v>44</v>
      </c>
      <c r="B48" s="184" t="s">
        <v>427</v>
      </c>
      <c r="C48" s="184">
        <f>data!C305</f>
        <v>0</v>
      </c>
    </row>
    <row r="49" spans="1:3" ht="20.100000000000001" customHeight="1" x14ac:dyDescent="0.25">
      <c r="A49" s="182">
        <v>45</v>
      </c>
      <c r="B49" s="184" t="s">
        <v>891</v>
      </c>
      <c r="C49" s="184">
        <f>data!D306</f>
        <v>0</v>
      </c>
    </row>
    <row r="50" spans="1:3" ht="20.100000000000001" customHeight="1" x14ac:dyDescent="0.25">
      <c r="A50" s="187">
        <v>46</v>
      </c>
      <c r="B50" s="188" t="s">
        <v>892</v>
      </c>
      <c r="C50" s="184">
        <f>data!D308</f>
        <v>117204871</v>
      </c>
    </row>
    <row r="51" spans="1:3" ht="20.100000000000001" customHeight="1" x14ac:dyDescent="0.25"/>
    <row r="52" spans="1:3" ht="20.100000000000001" customHeight="1" x14ac:dyDescent="0.25"/>
    <row r="53" spans="1:3" ht="20.100000000000001" customHeight="1" x14ac:dyDescent="0.25">
      <c r="A53" s="177" t="s">
        <v>893</v>
      </c>
      <c r="B53" s="178"/>
      <c r="C53" s="178"/>
    </row>
    <row r="54" spans="1:3" ht="20.100000000000001" customHeight="1" x14ac:dyDescent="0.25">
      <c r="A54" s="177"/>
      <c r="B54" s="178"/>
      <c r="C54" s="106" t="s">
        <v>894</v>
      </c>
    </row>
    <row r="55" spans="1:3" ht="20.100000000000001" customHeight="1" x14ac:dyDescent="0.25">
      <c r="A55" s="129" t="str">
        <f>"Hospital: "&amp;data!C98</f>
        <v>Hospital: Jefferson County Public Hospital District No 2</v>
      </c>
      <c r="B55" s="179"/>
      <c r="C55" s="151" t="str">
        <f>"FYE: "&amp;data!C96</f>
        <v>FYE: 12/31/2022</v>
      </c>
    </row>
    <row r="56" spans="1:3" ht="20.100000000000001" customHeight="1" x14ac:dyDescent="0.25">
      <c r="A56" s="189"/>
      <c r="B56" s="190" t="s">
        <v>895</v>
      </c>
      <c r="C56" s="181"/>
    </row>
    <row r="57" spans="1:3" ht="20.100000000000001" customHeight="1" x14ac:dyDescent="0.25">
      <c r="A57" s="191">
        <v>1</v>
      </c>
      <c r="B57" s="177" t="s">
        <v>431</v>
      </c>
      <c r="C57" s="192"/>
    </row>
    <row r="58" spans="1:3" ht="20.100000000000001" customHeight="1" x14ac:dyDescent="0.25">
      <c r="A58" s="182">
        <v>2</v>
      </c>
      <c r="B58" s="184" t="s">
        <v>432</v>
      </c>
      <c r="C58" s="184">
        <f>data!C314</f>
        <v>0</v>
      </c>
    </row>
    <row r="59" spans="1:3" ht="20.100000000000001" customHeight="1" x14ac:dyDescent="0.25">
      <c r="A59" s="182">
        <v>3</v>
      </c>
      <c r="B59" s="184" t="s">
        <v>896</v>
      </c>
      <c r="C59" s="184">
        <f>data!C315</f>
        <v>2451576</v>
      </c>
    </row>
    <row r="60" spans="1:3" ht="20.100000000000001" customHeight="1" x14ac:dyDescent="0.25">
      <c r="A60" s="182">
        <v>4</v>
      </c>
      <c r="B60" s="184" t="s">
        <v>897</v>
      </c>
      <c r="C60" s="184">
        <f>data!C316</f>
        <v>0</v>
      </c>
    </row>
    <row r="61" spans="1:3" ht="20.100000000000001" customHeight="1" x14ac:dyDescent="0.25">
      <c r="A61" s="182">
        <v>5</v>
      </c>
      <c r="B61" s="184" t="s">
        <v>435</v>
      </c>
      <c r="C61" s="184">
        <f>data!C317</f>
        <v>0</v>
      </c>
    </row>
    <row r="62" spans="1:3" ht="20.100000000000001" customHeight="1" x14ac:dyDescent="0.25">
      <c r="A62" s="182">
        <v>6</v>
      </c>
      <c r="B62" s="184" t="s">
        <v>898</v>
      </c>
      <c r="C62" s="184">
        <f>data!C318</f>
        <v>0</v>
      </c>
    </row>
    <row r="63" spans="1:3" ht="20.100000000000001" customHeight="1" x14ac:dyDescent="0.25">
      <c r="A63" s="182">
        <v>7</v>
      </c>
      <c r="B63" s="184" t="s">
        <v>899</v>
      </c>
      <c r="C63" s="184">
        <f>data!C319</f>
        <v>0</v>
      </c>
    </row>
    <row r="64" spans="1:3" ht="20.100000000000001" customHeight="1" x14ac:dyDescent="0.25">
      <c r="A64" s="182">
        <v>8</v>
      </c>
      <c r="B64" s="184" t="s">
        <v>438</v>
      </c>
      <c r="C64" s="184">
        <f>data!C320</f>
        <v>0</v>
      </c>
    </row>
    <row r="65" spans="1:3" ht="20.100000000000001" customHeight="1" x14ac:dyDescent="0.25">
      <c r="A65" s="182">
        <v>9</v>
      </c>
      <c r="B65" s="184" t="s">
        <v>439</v>
      </c>
      <c r="C65" s="184">
        <f>data!C321</f>
        <v>0</v>
      </c>
    </row>
    <row r="66" spans="1:3" ht="20.100000000000001" customHeight="1" x14ac:dyDescent="0.25">
      <c r="A66" s="182">
        <v>10</v>
      </c>
      <c r="B66" s="184" t="s">
        <v>440</v>
      </c>
      <c r="C66" s="184">
        <f>data!C322</f>
        <v>10486453</v>
      </c>
    </row>
    <row r="67" spans="1:3" ht="20.100000000000001" customHeight="1" x14ac:dyDescent="0.25">
      <c r="A67" s="182">
        <v>11</v>
      </c>
      <c r="B67" s="184" t="s">
        <v>900</v>
      </c>
      <c r="C67" s="184">
        <f>data!C323</f>
        <v>2567645</v>
      </c>
    </row>
    <row r="68" spans="1:3" ht="20.100000000000001" customHeight="1" x14ac:dyDescent="0.25">
      <c r="A68" s="182">
        <v>12</v>
      </c>
      <c r="B68" s="184" t="s">
        <v>901</v>
      </c>
      <c r="C68" s="184">
        <f>data!D324</f>
        <v>15505674</v>
      </c>
    </row>
    <row r="69" spans="1:3" ht="20.100000000000001" customHeight="1" x14ac:dyDescent="0.25">
      <c r="A69" s="182">
        <v>13</v>
      </c>
      <c r="B69" s="186"/>
      <c r="C69" s="184"/>
    </row>
    <row r="70" spans="1:3" ht="20.100000000000001" customHeight="1" x14ac:dyDescent="0.25">
      <c r="A70" s="182">
        <v>14</v>
      </c>
      <c r="B70" s="185" t="s">
        <v>902</v>
      </c>
      <c r="C70" s="183"/>
    </row>
    <row r="71" spans="1:3" ht="20.100000000000001" customHeight="1" x14ac:dyDescent="0.25">
      <c r="A71" s="182">
        <v>15</v>
      </c>
      <c r="B71" s="184" t="s">
        <v>444</v>
      </c>
      <c r="C71" s="184">
        <f>data!C326</f>
        <v>0</v>
      </c>
    </row>
    <row r="72" spans="1:3" ht="20.100000000000001" customHeight="1" x14ac:dyDescent="0.25">
      <c r="A72" s="182">
        <v>16</v>
      </c>
      <c r="B72" s="184" t="s">
        <v>903</v>
      </c>
      <c r="C72" s="184">
        <f>data!C327</f>
        <v>0</v>
      </c>
    </row>
    <row r="73" spans="1:3" ht="20.100000000000001" customHeight="1" x14ac:dyDescent="0.25">
      <c r="A73" s="182">
        <v>17</v>
      </c>
      <c r="B73" s="184" t="s">
        <v>446</v>
      </c>
      <c r="C73" s="184">
        <f>data!C328</f>
        <v>0</v>
      </c>
    </row>
    <row r="74" spans="1:3" ht="20.100000000000001" customHeight="1" x14ac:dyDescent="0.25">
      <c r="A74" s="182">
        <v>18</v>
      </c>
      <c r="B74" s="184" t="s">
        <v>904</v>
      </c>
      <c r="C74" s="184">
        <f>data!D329</f>
        <v>0</v>
      </c>
    </row>
    <row r="75" spans="1:3" ht="20.100000000000001" customHeight="1" x14ac:dyDescent="0.25">
      <c r="A75" s="182">
        <v>19</v>
      </c>
      <c r="B75" s="186"/>
      <c r="C75" s="184"/>
    </row>
    <row r="76" spans="1:3" ht="20.100000000000001" customHeight="1" x14ac:dyDescent="0.25">
      <c r="A76" s="182">
        <v>20</v>
      </c>
      <c r="B76" s="185" t="s">
        <v>448</v>
      </c>
      <c r="C76" s="183"/>
    </row>
    <row r="77" spans="1:3" ht="20.100000000000001" customHeight="1" x14ac:dyDescent="0.25">
      <c r="A77" s="182">
        <v>21</v>
      </c>
      <c r="B77" s="184" t="s">
        <v>449</v>
      </c>
      <c r="C77" s="184">
        <f>data!C331</f>
        <v>0</v>
      </c>
    </row>
    <row r="78" spans="1:3" ht="20.100000000000001" customHeight="1" x14ac:dyDescent="0.25">
      <c r="A78" s="182">
        <v>22</v>
      </c>
      <c r="B78" s="184" t="s">
        <v>905</v>
      </c>
      <c r="C78" s="184">
        <f>data!C332</f>
        <v>0</v>
      </c>
    </row>
    <row r="79" spans="1:3" ht="20.100000000000001" customHeight="1" x14ac:dyDescent="0.25">
      <c r="A79" s="182">
        <v>23</v>
      </c>
      <c r="B79" s="184" t="s">
        <v>451</v>
      </c>
      <c r="C79" s="184">
        <f>data!C333</f>
        <v>24538879</v>
      </c>
    </row>
    <row r="80" spans="1:3" ht="20.100000000000001" customHeight="1" x14ac:dyDescent="0.25">
      <c r="A80" s="182">
        <v>24</v>
      </c>
      <c r="B80" s="184" t="s">
        <v>906</v>
      </c>
      <c r="C80" s="184">
        <f>data!C334</f>
        <v>2837891</v>
      </c>
    </row>
    <row r="81" spans="1:3" ht="20.100000000000001" customHeight="1" x14ac:dyDescent="0.25">
      <c r="A81" s="182">
        <v>25</v>
      </c>
      <c r="B81" s="184" t="s">
        <v>453</v>
      </c>
      <c r="C81" s="184">
        <f>data!C335</f>
        <v>0</v>
      </c>
    </row>
    <row r="82" spans="1:3" ht="20.100000000000001" customHeight="1" x14ac:dyDescent="0.25">
      <c r="A82" s="182">
        <v>26</v>
      </c>
      <c r="B82" s="184" t="s">
        <v>907</v>
      </c>
      <c r="C82" s="184">
        <f>data!C336</f>
        <v>0</v>
      </c>
    </row>
    <row r="83" spans="1:3" ht="20.100000000000001" customHeight="1" x14ac:dyDescent="0.25">
      <c r="A83" s="182">
        <v>27</v>
      </c>
      <c r="B83" s="184" t="s">
        <v>455</v>
      </c>
      <c r="C83" s="184">
        <f>data!C337</f>
        <v>0</v>
      </c>
    </row>
    <row r="84" spans="1:3" ht="20.100000000000001" customHeight="1" x14ac:dyDescent="0.25">
      <c r="A84" s="182">
        <v>28</v>
      </c>
      <c r="B84" s="184" t="s">
        <v>456</v>
      </c>
      <c r="C84" s="184">
        <f>data!C338</f>
        <v>0</v>
      </c>
    </row>
    <row r="85" spans="1:3" ht="20.100000000000001" customHeight="1" x14ac:dyDescent="0.25">
      <c r="A85" s="182">
        <v>29</v>
      </c>
      <c r="B85" s="184" t="s">
        <v>587</v>
      </c>
      <c r="C85" s="184">
        <f>data!D339</f>
        <v>27376770</v>
      </c>
    </row>
    <row r="86" spans="1:3" ht="20.100000000000001" customHeight="1" x14ac:dyDescent="0.25">
      <c r="A86" s="182">
        <v>30</v>
      </c>
      <c r="B86" s="184" t="s">
        <v>908</v>
      </c>
      <c r="C86" s="184">
        <f>data!D340</f>
        <v>2567645</v>
      </c>
    </row>
    <row r="87" spans="1:3" ht="20.100000000000001" customHeight="1" x14ac:dyDescent="0.25">
      <c r="A87" s="182">
        <v>31</v>
      </c>
      <c r="B87" s="184" t="s">
        <v>909</v>
      </c>
      <c r="C87" s="184">
        <f>data!D341</f>
        <v>24809125</v>
      </c>
    </row>
    <row r="88" spans="1:3" ht="20.100000000000001" customHeight="1" x14ac:dyDescent="0.25">
      <c r="A88" s="182">
        <v>32</v>
      </c>
      <c r="B88" s="186"/>
      <c r="C88" s="184"/>
    </row>
    <row r="89" spans="1:3" ht="20.100000000000001" customHeight="1" x14ac:dyDescent="0.25">
      <c r="A89" s="182">
        <v>33</v>
      </c>
      <c r="B89" s="193" t="s">
        <v>910</v>
      </c>
      <c r="C89" s="184">
        <f>data!C343</f>
        <v>76890072</v>
      </c>
    </row>
    <row r="90" spans="1:3" ht="20.100000000000001" customHeight="1" x14ac:dyDescent="0.25">
      <c r="A90" s="182">
        <v>34</v>
      </c>
      <c r="B90" s="184"/>
      <c r="C90" s="184"/>
    </row>
    <row r="91" spans="1:3" ht="20.100000000000001" customHeight="1" x14ac:dyDescent="0.25">
      <c r="A91" s="182">
        <v>35</v>
      </c>
      <c r="B91" s="185" t="s">
        <v>911</v>
      </c>
      <c r="C91" s="183"/>
    </row>
    <row r="92" spans="1:3" ht="20.100000000000001" customHeight="1" x14ac:dyDescent="0.25">
      <c r="A92" s="182">
        <v>36</v>
      </c>
      <c r="B92" s="184" t="s">
        <v>460</v>
      </c>
      <c r="C92" s="184">
        <f>data!C345</f>
        <v>0</v>
      </c>
    </row>
    <row r="93" spans="1:3" ht="20.100000000000001" customHeight="1" x14ac:dyDescent="0.25">
      <c r="A93" s="182">
        <v>37</v>
      </c>
      <c r="B93" s="186"/>
      <c r="C93" s="184"/>
    </row>
    <row r="94" spans="1:3" ht="20.100000000000001" customHeight="1" x14ac:dyDescent="0.25">
      <c r="A94" s="182">
        <v>38</v>
      </c>
      <c r="B94" s="184" t="s">
        <v>461</v>
      </c>
      <c r="C94" s="184">
        <f>data!C346</f>
        <v>0</v>
      </c>
    </row>
    <row r="95" spans="1:3" ht="20.100000000000001" customHeight="1" x14ac:dyDescent="0.25">
      <c r="A95" s="182">
        <v>39</v>
      </c>
      <c r="B95" s="186"/>
      <c r="C95" s="184"/>
    </row>
    <row r="96" spans="1:3" ht="20.100000000000001" customHeight="1" x14ac:dyDescent="0.25">
      <c r="A96" s="182">
        <v>40</v>
      </c>
      <c r="B96" s="184" t="s">
        <v>912</v>
      </c>
      <c r="C96" s="184">
        <f>data!C347</f>
        <v>0</v>
      </c>
    </row>
    <row r="97" spans="1:3" ht="20.100000000000001" customHeight="1" x14ac:dyDescent="0.25">
      <c r="A97" s="182">
        <v>41</v>
      </c>
      <c r="B97" s="186"/>
      <c r="C97" s="184"/>
    </row>
    <row r="98" spans="1:3" ht="20.100000000000001" customHeight="1" x14ac:dyDescent="0.25">
      <c r="A98" s="182">
        <v>42</v>
      </c>
      <c r="B98" s="184" t="s">
        <v>913</v>
      </c>
      <c r="C98" s="184">
        <f>data!C348</f>
        <v>0</v>
      </c>
    </row>
    <row r="99" spans="1:3" ht="20.100000000000001" customHeight="1" x14ac:dyDescent="0.25">
      <c r="A99" s="182">
        <v>43</v>
      </c>
      <c r="B99" s="184" t="s">
        <v>914</v>
      </c>
      <c r="C99" s="184"/>
    </row>
    <row r="100" spans="1:3" ht="20.100000000000001" customHeight="1" x14ac:dyDescent="0.25">
      <c r="A100" s="182">
        <v>44</v>
      </c>
      <c r="B100" s="186"/>
      <c r="C100" s="184"/>
    </row>
    <row r="101" spans="1:3" ht="20.100000000000001" customHeight="1" x14ac:dyDescent="0.25">
      <c r="A101" s="182">
        <v>45</v>
      </c>
      <c r="B101" s="184" t="s">
        <v>915</v>
      </c>
      <c r="C101" s="184">
        <f>data!C349</f>
        <v>0</v>
      </c>
    </row>
    <row r="102" spans="1:3" ht="20.100000000000001" customHeight="1" x14ac:dyDescent="0.25">
      <c r="A102" s="182">
        <v>46</v>
      </c>
      <c r="B102" s="184" t="s">
        <v>916</v>
      </c>
      <c r="C102" s="184">
        <f>data!C343+data!C345+data!C346+data!C347+data!C348-data!C349</f>
        <v>76890072</v>
      </c>
    </row>
    <row r="103" spans="1:3" ht="20.100000000000001" customHeight="1" x14ac:dyDescent="0.25">
      <c r="A103" s="182">
        <v>47</v>
      </c>
      <c r="B103" s="184" t="s">
        <v>917</v>
      </c>
      <c r="C103" s="184">
        <f>data!D352</f>
        <v>117204871</v>
      </c>
    </row>
    <row r="104" spans="1:3" ht="20.100000000000001" customHeight="1" x14ac:dyDescent="0.25"/>
    <row r="105" spans="1:3" ht="20.100000000000001" customHeight="1" x14ac:dyDescent="0.25"/>
    <row r="106" spans="1:3" ht="20.100000000000001" customHeight="1" x14ac:dyDescent="0.25">
      <c r="A106" s="177" t="s">
        <v>918</v>
      </c>
      <c r="B106" s="178"/>
      <c r="C106" s="178"/>
    </row>
    <row r="107" spans="1:3" ht="20.100000000000001" customHeight="1" x14ac:dyDescent="0.25">
      <c r="A107" s="179"/>
      <c r="C107" s="106" t="s">
        <v>919</v>
      </c>
    </row>
    <row r="108" spans="1:3" ht="20.100000000000001" customHeight="1" x14ac:dyDescent="0.25">
      <c r="A108" s="129" t="str">
        <f>"Hospital: "&amp;data!C98</f>
        <v>Hospital: Jefferson County Public Hospital District No 2</v>
      </c>
      <c r="B108" s="179"/>
      <c r="C108" s="151" t="str">
        <f>"FYE: "&amp;data!C96</f>
        <v>FYE: 12/31/2022</v>
      </c>
    </row>
    <row r="109" spans="1:3" ht="20.100000000000001" customHeight="1" x14ac:dyDescent="0.25">
      <c r="A109" s="180"/>
      <c r="B109" s="194"/>
      <c r="C109" s="195"/>
    </row>
    <row r="110" spans="1:3" ht="20.100000000000001" customHeight="1" x14ac:dyDescent="0.25">
      <c r="A110" s="182">
        <v>1</v>
      </c>
      <c r="B110" s="185" t="s">
        <v>920</v>
      </c>
      <c r="C110" s="183"/>
    </row>
    <row r="111" spans="1:3" ht="20.100000000000001" customHeight="1" x14ac:dyDescent="0.25">
      <c r="A111" s="182">
        <v>2</v>
      </c>
      <c r="B111" s="184" t="s">
        <v>469</v>
      </c>
      <c r="C111" s="184">
        <f>data!C358</f>
        <v>45741344</v>
      </c>
    </row>
    <row r="112" spans="1:3" ht="20.100000000000001" customHeight="1" x14ac:dyDescent="0.25">
      <c r="A112" s="182">
        <v>3</v>
      </c>
      <c r="B112" s="184" t="s">
        <v>470</v>
      </c>
      <c r="C112" s="184">
        <f>data!C359</f>
        <v>274284503</v>
      </c>
    </row>
    <row r="113" spans="1:3" ht="20.100000000000001" customHeight="1" x14ac:dyDescent="0.25">
      <c r="A113" s="182">
        <v>4</v>
      </c>
      <c r="B113" s="184" t="s">
        <v>921</v>
      </c>
      <c r="C113" s="184">
        <f>data!D360</f>
        <v>320025847</v>
      </c>
    </row>
    <row r="114" spans="1:3" ht="20.100000000000001" customHeight="1" x14ac:dyDescent="0.25">
      <c r="A114" s="182">
        <v>5</v>
      </c>
      <c r="B114" s="186"/>
      <c r="C114" s="184"/>
    </row>
    <row r="115" spans="1:3" ht="20.100000000000001" customHeight="1" x14ac:dyDescent="0.25">
      <c r="A115" s="182">
        <v>6</v>
      </c>
      <c r="B115" s="185" t="s">
        <v>922</v>
      </c>
      <c r="C115" s="183"/>
    </row>
    <row r="116" spans="1:3" ht="20.100000000000001" customHeight="1" x14ac:dyDescent="0.25">
      <c r="A116" s="182">
        <v>7</v>
      </c>
      <c r="B116" s="196" t="s">
        <v>923</v>
      </c>
      <c r="C116" s="197">
        <f>data!C362</f>
        <v>3772732</v>
      </c>
    </row>
    <row r="117" spans="1:3" ht="20.100000000000001" customHeight="1" x14ac:dyDescent="0.25">
      <c r="A117" s="182">
        <v>8</v>
      </c>
      <c r="B117" s="184" t="s">
        <v>473</v>
      </c>
      <c r="C117" s="197">
        <f>data!C363</f>
        <v>162559200</v>
      </c>
    </row>
    <row r="118" spans="1:3" ht="20.100000000000001" customHeight="1" x14ac:dyDescent="0.25">
      <c r="A118" s="182">
        <v>9</v>
      </c>
      <c r="B118" s="184" t="s">
        <v>924</v>
      </c>
      <c r="C118" s="197">
        <f>data!C364</f>
        <v>3280565</v>
      </c>
    </row>
    <row r="119" spans="1:3" ht="20.100000000000001" customHeight="1" x14ac:dyDescent="0.25">
      <c r="A119" s="182">
        <v>10</v>
      </c>
      <c r="B119" s="184" t="s">
        <v>925</v>
      </c>
      <c r="C119" s="197">
        <f>data!C365</f>
        <v>0</v>
      </c>
    </row>
    <row r="120" spans="1:3" ht="20.100000000000001" customHeight="1" x14ac:dyDescent="0.25">
      <c r="A120" s="182">
        <v>11</v>
      </c>
      <c r="B120" s="184" t="s">
        <v>869</v>
      </c>
      <c r="C120" s="197">
        <f>data!D366</f>
        <v>169612497</v>
      </c>
    </row>
    <row r="121" spans="1:3" ht="20.100000000000001" customHeight="1" x14ac:dyDescent="0.25">
      <c r="A121" s="182">
        <v>12</v>
      </c>
      <c r="B121" s="184" t="s">
        <v>926</v>
      </c>
      <c r="C121" s="197">
        <f>data!D367</f>
        <v>150413350</v>
      </c>
    </row>
    <row r="122" spans="1:3" ht="20.100000000000001" customHeight="1" x14ac:dyDescent="0.25">
      <c r="A122" s="182">
        <v>13</v>
      </c>
      <c r="B122" s="186"/>
      <c r="C122" s="184"/>
    </row>
    <row r="123" spans="1:3" ht="20.100000000000001" customHeight="1" x14ac:dyDescent="0.25">
      <c r="A123" s="182">
        <v>14</v>
      </c>
      <c r="B123" s="185" t="s">
        <v>477</v>
      </c>
      <c r="C123" s="183"/>
    </row>
    <row r="124" spans="1:3" ht="20.100000000000001" customHeight="1" x14ac:dyDescent="0.25">
      <c r="A124" s="182">
        <v>15</v>
      </c>
      <c r="B124" s="198" t="s">
        <v>478</v>
      </c>
      <c r="C124" s="199"/>
    </row>
    <row r="125" spans="1:3" ht="20.100000000000001" customHeight="1" x14ac:dyDescent="0.25">
      <c r="A125" s="203" t="s">
        <v>927</v>
      </c>
      <c r="B125" s="200" t="s">
        <v>479</v>
      </c>
      <c r="C125" s="199">
        <f>data!C370</f>
        <v>0</v>
      </c>
    </row>
    <row r="126" spans="1:3" ht="20.100000000000001" customHeight="1" x14ac:dyDescent="0.25">
      <c r="A126" s="203" t="s">
        <v>928</v>
      </c>
      <c r="B126" s="200" t="s">
        <v>480</v>
      </c>
      <c r="C126" s="199">
        <f>data!C371</f>
        <v>297516</v>
      </c>
    </row>
    <row r="127" spans="1:3" ht="20.100000000000001" customHeight="1" x14ac:dyDescent="0.25">
      <c r="A127" s="203" t="s">
        <v>929</v>
      </c>
      <c r="B127" s="200" t="s">
        <v>481</v>
      </c>
      <c r="C127" s="199">
        <f>data!C372</f>
        <v>0</v>
      </c>
    </row>
    <row r="128" spans="1:3" ht="20.100000000000001" customHeight="1" x14ac:dyDescent="0.25">
      <c r="A128" s="203" t="s">
        <v>930</v>
      </c>
      <c r="B128" s="200" t="s">
        <v>482</v>
      </c>
      <c r="C128" s="199">
        <f>data!C373</f>
        <v>0</v>
      </c>
    </row>
    <row r="129" spans="1:3" ht="20.100000000000001" customHeight="1" x14ac:dyDescent="0.25">
      <c r="A129" s="203" t="s">
        <v>931</v>
      </c>
      <c r="B129" s="200" t="s">
        <v>483</v>
      </c>
      <c r="C129" s="199">
        <f>data!C374</f>
        <v>2976878</v>
      </c>
    </row>
    <row r="130" spans="1:3" ht="20.100000000000001" customHeight="1" x14ac:dyDescent="0.25">
      <c r="A130" s="203" t="s">
        <v>932</v>
      </c>
      <c r="B130" s="200" t="s">
        <v>484</v>
      </c>
      <c r="C130" s="199">
        <f>data!C375</f>
        <v>0</v>
      </c>
    </row>
    <row r="131" spans="1:3" ht="20.100000000000001" customHeight="1" x14ac:dyDescent="0.25">
      <c r="A131" s="203" t="s">
        <v>933</v>
      </c>
      <c r="B131" s="200" t="s">
        <v>485</v>
      </c>
      <c r="C131" s="199">
        <f>data!C376</f>
        <v>0</v>
      </c>
    </row>
    <row r="132" spans="1:3" ht="20.100000000000001" customHeight="1" x14ac:dyDescent="0.25">
      <c r="A132" s="203" t="s">
        <v>934</v>
      </c>
      <c r="B132" s="200" t="s">
        <v>486</v>
      </c>
      <c r="C132" s="199">
        <f>data!C377</f>
        <v>0</v>
      </c>
    </row>
    <row r="133" spans="1:3" ht="20.100000000000001" customHeight="1" x14ac:dyDescent="0.25">
      <c r="A133" s="203" t="s">
        <v>935</v>
      </c>
      <c r="B133" s="200" t="s">
        <v>487</v>
      </c>
      <c r="C133" s="199">
        <f>data!C378</f>
        <v>18104</v>
      </c>
    </row>
    <row r="134" spans="1:3" ht="20.100000000000001" customHeight="1" x14ac:dyDescent="0.25">
      <c r="A134" s="203" t="s">
        <v>936</v>
      </c>
      <c r="B134" s="200" t="s">
        <v>488</v>
      </c>
      <c r="C134" s="199">
        <f>data!C379</f>
        <v>521937</v>
      </c>
    </row>
    <row r="135" spans="1:3" ht="20.100000000000001" customHeight="1" x14ac:dyDescent="0.25">
      <c r="A135" s="203" t="s">
        <v>937</v>
      </c>
      <c r="B135" s="200" t="s">
        <v>489</v>
      </c>
      <c r="C135" s="199">
        <f>data!C380</f>
        <v>895957</v>
      </c>
    </row>
    <row r="136" spans="1:3" ht="20.100000000000001" customHeight="1" x14ac:dyDescent="0.25">
      <c r="A136" s="182">
        <v>16</v>
      </c>
      <c r="B136" s="184" t="s">
        <v>491</v>
      </c>
      <c r="C136" s="199">
        <f>data!C381</f>
        <v>0</v>
      </c>
    </row>
    <row r="137" spans="1:3" ht="20.100000000000001" customHeight="1" x14ac:dyDescent="0.25">
      <c r="A137" s="182">
        <v>17</v>
      </c>
      <c r="B137" s="184" t="s">
        <v>938</v>
      </c>
      <c r="C137" s="197">
        <f>data!D383</f>
        <v>4710392</v>
      </c>
    </row>
    <row r="138" spans="1:3" ht="20.100000000000001" customHeight="1" x14ac:dyDescent="0.25">
      <c r="A138" s="182">
        <v>18</v>
      </c>
      <c r="B138" s="184" t="s">
        <v>939</v>
      </c>
      <c r="C138" s="197">
        <f>data!D384</f>
        <v>155123742</v>
      </c>
    </row>
    <row r="139" spans="1:3" ht="20.100000000000001" customHeight="1" x14ac:dyDescent="0.25">
      <c r="A139" s="182">
        <v>19</v>
      </c>
      <c r="B139" s="186"/>
      <c r="C139" s="184"/>
    </row>
    <row r="140" spans="1:3" ht="20.100000000000001" customHeight="1" x14ac:dyDescent="0.25">
      <c r="A140" s="182">
        <v>20</v>
      </c>
      <c r="B140" s="185" t="s">
        <v>940</v>
      </c>
      <c r="C140" s="183"/>
    </row>
    <row r="141" spans="1:3" ht="20.100000000000001" customHeight="1" x14ac:dyDescent="0.25">
      <c r="A141" s="182">
        <v>21</v>
      </c>
      <c r="B141" s="184" t="s">
        <v>495</v>
      </c>
      <c r="C141" s="197">
        <f>data!C389</f>
        <v>73833253</v>
      </c>
    </row>
    <row r="142" spans="1:3" ht="20.100000000000001" customHeight="1" x14ac:dyDescent="0.25">
      <c r="A142" s="182">
        <v>22</v>
      </c>
      <c r="B142" s="184" t="s">
        <v>9</v>
      </c>
      <c r="C142" s="197">
        <f>data!C390</f>
        <v>16248274</v>
      </c>
    </row>
    <row r="143" spans="1:3" ht="20.100000000000001" customHeight="1" x14ac:dyDescent="0.25">
      <c r="A143" s="182">
        <v>23</v>
      </c>
      <c r="B143" s="184" t="s">
        <v>249</v>
      </c>
      <c r="C143" s="197">
        <f>data!C391</f>
        <v>6879970</v>
      </c>
    </row>
    <row r="144" spans="1:3" ht="20.100000000000001" customHeight="1" x14ac:dyDescent="0.25">
      <c r="A144" s="182">
        <v>24</v>
      </c>
      <c r="B144" s="184" t="s">
        <v>250</v>
      </c>
      <c r="C144" s="197">
        <f>data!C392</f>
        <v>32788536</v>
      </c>
    </row>
    <row r="145" spans="1:3" ht="20.100000000000001" customHeight="1" x14ac:dyDescent="0.25">
      <c r="A145" s="182">
        <v>25</v>
      </c>
      <c r="B145" s="184" t="s">
        <v>941</v>
      </c>
      <c r="C145" s="197">
        <f>data!C393</f>
        <v>1404708</v>
      </c>
    </row>
    <row r="146" spans="1:3" ht="20.100000000000001" customHeight="1" x14ac:dyDescent="0.25">
      <c r="A146" s="182">
        <v>26</v>
      </c>
      <c r="B146" s="184" t="s">
        <v>942</v>
      </c>
      <c r="C146" s="197">
        <f>data!C394</f>
        <v>8675536</v>
      </c>
    </row>
    <row r="147" spans="1:3" ht="20.100000000000001" customHeight="1" x14ac:dyDescent="0.25">
      <c r="A147" s="182">
        <v>27</v>
      </c>
      <c r="B147" s="184" t="s">
        <v>11</v>
      </c>
      <c r="C147" s="197">
        <f>data!C395</f>
        <v>5005267</v>
      </c>
    </row>
    <row r="148" spans="1:3" ht="20.100000000000001" customHeight="1" x14ac:dyDescent="0.25">
      <c r="A148" s="182">
        <v>28</v>
      </c>
      <c r="B148" s="184" t="s">
        <v>943</v>
      </c>
      <c r="C148" s="197">
        <f>data!C396</f>
        <v>700246</v>
      </c>
    </row>
    <row r="149" spans="1:3" ht="20.100000000000001" customHeight="1" x14ac:dyDescent="0.25">
      <c r="A149" s="182">
        <v>29</v>
      </c>
      <c r="B149" s="184" t="s">
        <v>500</v>
      </c>
      <c r="C149" s="197">
        <f>data!C397</f>
        <v>1389602</v>
      </c>
    </row>
    <row r="150" spans="1:3" ht="20.100000000000001" customHeight="1" x14ac:dyDescent="0.25">
      <c r="A150" s="182">
        <v>30</v>
      </c>
      <c r="B150" s="184" t="s">
        <v>944</v>
      </c>
      <c r="C150" s="197">
        <f>data!C398</f>
        <v>1014306</v>
      </c>
    </row>
    <row r="151" spans="1:3" ht="20.100000000000001" customHeight="1" x14ac:dyDescent="0.25">
      <c r="A151" s="182">
        <v>31</v>
      </c>
      <c r="B151" s="184" t="s">
        <v>502</v>
      </c>
      <c r="C151" s="197">
        <f>data!C399</f>
        <v>950648</v>
      </c>
    </row>
    <row r="152" spans="1:3" ht="20.100000000000001" customHeight="1" x14ac:dyDescent="0.25">
      <c r="A152" s="182">
        <v>32</v>
      </c>
      <c r="B152" s="184" t="s">
        <v>254</v>
      </c>
      <c r="C152" s="197"/>
    </row>
    <row r="153" spans="1:3" ht="20.100000000000001" customHeight="1" x14ac:dyDescent="0.25">
      <c r="A153" s="203" t="s">
        <v>945</v>
      </c>
      <c r="B153" s="201" t="s">
        <v>255</v>
      </c>
      <c r="C153" s="197">
        <f>data!C401</f>
        <v>0</v>
      </c>
    </row>
    <row r="154" spans="1:3" ht="20.100000000000001" customHeight="1" x14ac:dyDescent="0.25">
      <c r="A154" s="203" t="s">
        <v>946</v>
      </c>
      <c r="B154" s="201" t="s">
        <v>256</v>
      </c>
      <c r="C154" s="197">
        <f>data!C402</f>
        <v>0</v>
      </c>
    </row>
    <row r="155" spans="1:3" ht="20.100000000000001" customHeight="1" x14ac:dyDescent="0.25">
      <c r="A155" s="203" t="s">
        <v>947</v>
      </c>
      <c r="B155" s="201" t="s">
        <v>948</v>
      </c>
      <c r="C155" s="197">
        <f>data!C403</f>
        <v>331976</v>
      </c>
    </row>
    <row r="156" spans="1:3" ht="20.100000000000001" customHeight="1" x14ac:dyDescent="0.25">
      <c r="A156" s="203" t="s">
        <v>949</v>
      </c>
      <c r="B156" s="201" t="s">
        <v>258</v>
      </c>
      <c r="C156" s="197">
        <f>data!C404</f>
        <v>0</v>
      </c>
    </row>
    <row r="157" spans="1:3" ht="20.100000000000001" customHeight="1" x14ac:dyDescent="0.25">
      <c r="A157" s="203" t="s">
        <v>950</v>
      </c>
      <c r="B157" s="201" t="s">
        <v>259</v>
      </c>
      <c r="C157" s="197">
        <f>data!C405</f>
        <v>0</v>
      </c>
    </row>
    <row r="158" spans="1:3" ht="20.100000000000001" customHeight="1" x14ac:dyDescent="0.25">
      <c r="A158" s="203" t="s">
        <v>951</v>
      </c>
      <c r="B158" s="201" t="s">
        <v>260</v>
      </c>
      <c r="C158" s="197">
        <f>data!C406</f>
        <v>0</v>
      </c>
    </row>
    <row r="159" spans="1:3" ht="20.100000000000001" customHeight="1" x14ac:dyDescent="0.25">
      <c r="A159" s="203" t="s">
        <v>952</v>
      </c>
      <c r="B159" s="201" t="s">
        <v>261</v>
      </c>
      <c r="C159" s="197">
        <f>data!C407</f>
        <v>0</v>
      </c>
    </row>
    <row r="160" spans="1:3" ht="20.100000000000001" customHeight="1" x14ac:dyDescent="0.25">
      <c r="A160" s="203" t="s">
        <v>953</v>
      </c>
      <c r="B160" s="201" t="s">
        <v>262</v>
      </c>
      <c r="C160" s="197">
        <f>data!C408</f>
        <v>1099220</v>
      </c>
    </row>
    <row r="161" spans="1:3" ht="20.100000000000001" customHeight="1" x14ac:dyDescent="0.25">
      <c r="A161" s="203" t="s">
        <v>954</v>
      </c>
      <c r="B161" s="201" t="s">
        <v>263</v>
      </c>
      <c r="C161" s="197">
        <f>data!C409</f>
        <v>0</v>
      </c>
    </row>
    <row r="162" spans="1:3" ht="20.100000000000001" customHeight="1" x14ac:dyDescent="0.25">
      <c r="A162" s="203" t="s">
        <v>955</v>
      </c>
      <c r="B162" s="201" t="s">
        <v>264</v>
      </c>
      <c r="C162" s="197">
        <f>data!C410</f>
        <v>212061</v>
      </c>
    </row>
    <row r="163" spans="1:3" ht="20.100000000000001" customHeight="1" x14ac:dyDescent="0.25">
      <c r="A163" s="203" t="s">
        <v>956</v>
      </c>
      <c r="B163" s="201" t="s">
        <v>265</v>
      </c>
      <c r="C163" s="197">
        <f>data!C411</f>
        <v>611652</v>
      </c>
    </row>
    <row r="164" spans="1:3" ht="20.100000000000001" customHeight="1" x14ac:dyDescent="0.25">
      <c r="A164" s="203" t="s">
        <v>957</v>
      </c>
      <c r="B164" s="201" t="s">
        <v>266</v>
      </c>
      <c r="C164" s="197">
        <f>data!C412</f>
        <v>0</v>
      </c>
    </row>
    <row r="165" spans="1:3" ht="20.100000000000001" customHeight="1" x14ac:dyDescent="0.25">
      <c r="A165" s="203" t="s">
        <v>958</v>
      </c>
      <c r="B165" s="201" t="s">
        <v>267</v>
      </c>
      <c r="C165" s="197">
        <f>data!C413</f>
        <v>0</v>
      </c>
    </row>
    <row r="166" spans="1:3" ht="20.100000000000001" customHeight="1" x14ac:dyDescent="0.25">
      <c r="A166" s="203" t="s">
        <v>959</v>
      </c>
      <c r="B166" s="201" t="s">
        <v>960</v>
      </c>
      <c r="C166" s="197">
        <f>data!C414</f>
        <v>1353830</v>
      </c>
    </row>
    <row r="167" spans="1:3" ht="20.100000000000001" customHeight="1" x14ac:dyDescent="0.25">
      <c r="A167" s="182">
        <v>34</v>
      </c>
      <c r="B167" s="184" t="s">
        <v>961</v>
      </c>
      <c r="C167" s="197">
        <f>data!D416</f>
        <v>152499085</v>
      </c>
    </row>
    <row r="168" spans="1:3" ht="20.100000000000001" customHeight="1" x14ac:dyDescent="0.25">
      <c r="A168" s="182">
        <v>35</v>
      </c>
      <c r="B168" s="184" t="s">
        <v>962</v>
      </c>
      <c r="C168" s="197">
        <f>data!D417</f>
        <v>2624657</v>
      </c>
    </row>
    <row r="169" spans="1:3" ht="20.100000000000001" customHeight="1" x14ac:dyDescent="0.25">
      <c r="A169" s="182">
        <v>36</v>
      </c>
      <c r="B169" s="186"/>
      <c r="C169" s="184"/>
    </row>
    <row r="170" spans="1:3" ht="20.100000000000001" customHeight="1" x14ac:dyDescent="0.25">
      <c r="A170" s="182">
        <v>37</v>
      </c>
      <c r="B170" s="184" t="s">
        <v>963</v>
      </c>
      <c r="C170" s="197">
        <f>data!D420</f>
        <v>3500891</v>
      </c>
    </row>
    <row r="171" spans="1:3" ht="20.100000000000001" customHeight="1" x14ac:dyDescent="0.25">
      <c r="A171" s="182">
        <v>38</v>
      </c>
      <c r="B171" s="186"/>
      <c r="C171" s="184"/>
    </row>
    <row r="172" spans="1:3" ht="20.100000000000001" customHeight="1" x14ac:dyDescent="0.25">
      <c r="A172" s="182">
        <v>39</v>
      </c>
      <c r="B172" s="184" t="s">
        <v>964</v>
      </c>
      <c r="C172" s="184">
        <f>data!D421</f>
        <v>6125548</v>
      </c>
    </row>
    <row r="173" spans="1:3" ht="20.100000000000001" customHeight="1" x14ac:dyDescent="0.25">
      <c r="A173" s="182">
        <v>40</v>
      </c>
      <c r="B173" s="186"/>
      <c r="C173" s="184"/>
    </row>
    <row r="174" spans="1:3" ht="20.100000000000001" customHeight="1" x14ac:dyDescent="0.25">
      <c r="A174" s="182">
        <v>41</v>
      </c>
      <c r="B174" s="184" t="s">
        <v>965</v>
      </c>
      <c r="C174" s="197">
        <f>data!C422</f>
        <v>0</v>
      </c>
    </row>
    <row r="175" spans="1:3" ht="20.100000000000001" customHeight="1" x14ac:dyDescent="0.25">
      <c r="A175" s="182">
        <v>42</v>
      </c>
      <c r="B175" s="184" t="s">
        <v>966</v>
      </c>
      <c r="C175" s="197">
        <f>data!C423</f>
        <v>0</v>
      </c>
    </row>
    <row r="176" spans="1:3" ht="20.100000000000001" customHeight="1" x14ac:dyDescent="0.25">
      <c r="A176" s="182">
        <v>43</v>
      </c>
      <c r="B176" s="186"/>
      <c r="C176" s="184"/>
    </row>
    <row r="177" spans="1:3" ht="20.100000000000001" customHeight="1" x14ac:dyDescent="0.25">
      <c r="A177" s="182">
        <v>44</v>
      </c>
      <c r="B177" s="184" t="s">
        <v>967</v>
      </c>
      <c r="C177" s="197">
        <f>data!D424</f>
        <v>6125548</v>
      </c>
    </row>
    <row r="178" spans="1:3" ht="20.100000000000001" customHeight="1" x14ac:dyDescent="0.25">
      <c r="A178" s="187">
        <v>45</v>
      </c>
      <c r="B178" s="186" t="s">
        <v>968</v>
      </c>
      <c r="C178" s="184"/>
    </row>
    <row r="179" spans="1:3" ht="20.100000000000001" customHeight="1" x14ac:dyDescent="0.25">
      <c r="A179" s="204"/>
      <c r="B179" s="202"/>
      <c r="C179" s="188"/>
    </row>
  </sheetData>
  <phoneticPr fontId="0" type="noConversion"/>
  <printOptions horizontalCentered="1" verticalCentered="1" gridLines="1" gridLinesSet="0"/>
  <pageMargins left="0" right="0" top="0" bottom="0" header="0" footer="0"/>
  <pageSetup scale="74" fitToHeight="3" orientation="portrait" r:id="rId1"/>
  <headerFooter alignWithMargins="0"/>
  <rowBreaks count="2" manualBreakCount="2">
    <brk id="50" max="1048575" man="1"/>
    <brk id="101" max="10485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2CA7-A4CC-4E3E-A477-14A9ACB5712B}">
  <sheetPr codeName="Sheet11"/>
  <dimension ref="A1:N410"/>
  <sheetViews>
    <sheetView showGridLines="0" zoomScale="65" workbookViewId="0">
      <selection activeCell="E16" sqref="E16"/>
    </sheetView>
  </sheetViews>
  <sheetFormatPr defaultColWidth="8.88671875" defaultRowHeight="20.100000000000001" customHeight="1" x14ac:dyDescent="0.2"/>
  <cols>
    <col min="1" max="1" width="5.77734375" style="275" customWidth="1"/>
    <col min="2" max="2" width="22.44140625" style="275" customWidth="1"/>
    <col min="3" max="8" width="13.77734375" style="275" customWidth="1"/>
    <col min="9" max="9" width="15.77734375" style="275" customWidth="1"/>
    <col min="10" max="10" width="8.88671875" style="275" customWidth="1"/>
    <col min="11" max="16384" width="8.88671875" style="275"/>
  </cols>
  <sheetData>
    <row r="1" spans="1:10" ht="20.100000000000001" customHeight="1" x14ac:dyDescent="0.2">
      <c r="A1" s="273" t="s">
        <v>969</v>
      </c>
      <c r="B1" s="274"/>
      <c r="C1" s="274"/>
      <c r="D1" s="274"/>
      <c r="E1" s="274"/>
      <c r="F1" s="274"/>
      <c r="G1" s="274"/>
      <c r="H1" s="274"/>
    </row>
    <row r="2" spans="1:10" ht="20.100000000000001" customHeight="1" x14ac:dyDescent="0.2">
      <c r="A2" s="276"/>
      <c r="B2" s="363"/>
      <c r="C2" s="364"/>
      <c r="D2" s="364"/>
      <c r="E2" s="364"/>
      <c r="F2" s="364"/>
      <c r="G2" s="364"/>
      <c r="H2" s="364"/>
      <c r="I2" s="365" t="s">
        <v>970</v>
      </c>
      <c r="J2" s="366"/>
    </row>
    <row r="3" spans="1:10" ht="20.100000000000001" customHeight="1" x14ac:dyDescent="0.2">
      <c r="A3" s="276"/>
      <c r="B3" s="367"/>
      <c r="I3" s="276"/>
      <c r="J3" s="368"/>
    </row>
    <row r="4" spans="1:10" ht="20.100000000000001" customHeight="1" x14ac:dyDescent="0.2">
      <c r="A4" s="278" t="str">
        <f>"Hospital: "&amp;data!C98</f>
        <v>Hospital: Jefferson County Public Hospital District No 2</v>
      </c>
      <c r="B4" s="367"/>
      <c r="G4" s="279"/>
      <c r="H4" s="278" t="str">
        <f>"FYE: "&amp;data!C96</f>
        <v>FYE: 12/31/2022</v>
      </c>
      <c r="J4" s="368"/>
    </row>
    <row r="5" spans="1:10" ht="20.100000000000001" customHeight="1" x14ac:dyDescent="0.2">
      <c r="A5" s="272">
        <v>1</v>
      </c>
      <c r="B5" s="272" t="s">
        <v>221</v>
      </c>
      <c r="C5" s="281" t="s">
        <v>21</v>
      </c>
      <c r="D5" s="282" t="s">
        <v>22</v>
      </c>
      <c r="E5" s="282" t="s">
        <v>23</v>
      </c>
      <c r="F5" s="282" t="s">
        <v>24</v>
      </c>
      <c r="G5" s="282" t="s">
        <v>25</v>
      </c>
      <c r="H5" s="282" t="s">
        <v>26</v>
      </c>
      <c r="I5" s="282" t="s">
        <v>27</v>
      </c>
      <c r="J5" s="368"/>
    </row>
    <row r="6" spans="1:10" ht="20.100000000000001" customHeight="1" x14ac:dyDescent="0.2">
      <c r="A6" s="283">
        <v>2</v>
      </c>
      <c r="B6" s="283" t="s">
        <v>971</v>
      </c>
      <c r="C6" s="285" t="s">
        <v>103</v>
      </c>
      <c r="D6" s="286"/>
      <c r="E6" s="286" t="s">
        <v>105</v>
      </c>
      <c r="F6" s="286" t="s">
        <v>106</v>
      </c>
      <c r="G6" s="286" t="s">
        <v>107</v>
      </c>
      <c r="H6" s="286" t="s">
        <v>108</v>
      </c>
      <c r="I6" s="286" t="s">
        <v>109</v>
      </c>
      <c r="J6" s="368"/>
    </row>
    <row r="7" spans="1:10" ht="20.100000000000001" customHeight="1" x14ac:dyDescent="0.2">
      <c r="A7" s="350"/>
      <c r="B7" s="350"/>
      <c r="C7" s="341" t="s">
        <v>175</v>
      </c>
      <c r="D7" s="341"/>
      <c r="E7" s="341" t="s">
        <v>175</v>
      </c>
      <c r="F7" s="341" t="s">
        <v>972</v>
      </c>
      <c r="G7" s="341" t="s">
        <v>177</v>
      </c>
      <c r="H7" s="341" t="s">
        <v>175</v>
      </c>
      <c r="I7" s="341" t="s">
        <v>178</v>
      </c>
      <c r="J7" s="368"/>
    </row>
    <row r="8" spans="1:10" ht="20.100000000000001" customHeight="1" x14ac:dyDescent="0.2">
      <c r="A8" s="351">
        <v>3</v>
      </c>
      <c r="B8" s="350" t="s">
        <v>973</v>
      </c>
      <c r="C8" s="341" t="s">
        <v>227</v>
      </c>
      <c r="D8" s="341"/>
      <c r="E8" s="341" t="s">
        <v>227</v>
      </c>
      <c r="F8" s="341" t="s">
        <v>227</v>
      </c>
      <c r="G8" s="341" t="s">
        <v>227</v>
      </c>
      <c r="H8" s="341" t="s">
        <v>227</v>
      </c>
      <c r="I8" s="341" t="s">
        <v>227</v>
      </c>
      <c r="J8" s="368"/>
    </row>
    <row r="9" spans="1:10" ht="20.100000000000001" customHeight="1" x14ac:dyDescent="0.2">
      <c r="A9" s="351">
        <v>4</v>
      </c>
      <c r="B9" s="350" t="s">
        <v>246</v>
      </c>
      <c r="C9" s="276">
        <f>data!C59</f>
        <v>327</v>
      </c>
      <c r="E9" s="276">
        <f>data!E59</f>
        <v>4044</v>
      </c>
      <c r="F9" s="276">
        <f>data!F59</f>
        <v>0</v>
      </c>
      <c r="G9" s="276">
        <f>data!G59</f>
        <v>0</v>
      </c>
      <c r="H9" s="276">
        <f>data!H59</f>
        <v>0</v>
      </c>
      <c r="I9" s="276">
        <f>data!I59</f>
        <v>0</v>
      </c>
      <c r="J9" s="368"/>
    </row>
    <row r="10" spans="1:10" ht="20.100000000000001" customHeight="1" x14ac:dyDescent="0.2">
      <c r="A10" s="351">
        <v>5</v>
      </c>
      <c r="B10" s="350" t="s">
        <v>247</v>
      </c>
      <c r="C10" s="356">
        <f>data!C60</f>
        <v>6.93</v>
      </c>
      <c r="D10" s="356">
        <f>data!D60</f>
        <v>0</v>
      </c>
      <c r="E10" s="356">
        <f>data!E60</f>
        <v>42.69</v>
      </c>
      <c r="F10" s="356">
        <f>data!F60</f>
        <v>0</v>
      </c>
      <c r="G10" s="356">
        <f>data!G60</f>
        <v>0</v>
      </c>
      <c r="H10" s="356">
        <f>data!H60</f>
        <v>0</v>
      </c>
      <c r="I10" s="356">
        <f>data!I60</f>
        <v>0</v>
      </c>
      <c r="J10" s="368"/>
    </row>
    <row r="11" spans="1:10" ht="20.100000000000001" customHeight="1" x14ac:dyDescent="0.2">
      <c r="A11" s="272">
        <v>6</v>
      </c>
      <c r="B11" s="369" t="s">
        <v>248</v>
      </c>
      <c r="C11" s="342">
        <f>data!C61</f>
        <v>929034</v>
      </c>
      <c r="D11" s="342">
        <f>data!D61</f>
        <v>0</v>
      </c>
      <c r="E11" s="342">
        <f>data!E61</f>
        <v>5529537</v>
      </c>
      <c r="F11" s="342">
        <f>data!F61</f>
        <v>0</v>
      </c>
      <c r="G11" s="342">
        <f>data!G61</f>
        <v>0</v>
      </c>
      <c r="H11" s="280">
        <f>data!H61</f>
        <v>0</v>
      </c>
      <c r="I11" s="280">
        <f>data!I61</f>
        <v>0</v>
      </c>
      <c r="J11" s="368"/>
    </row>
    <row r="12" spans="1:10" ht="20.100000000000001" customHeight="1" x14ac:dyDescent="0.2">
      <c r="A12" s="272">
        <v>7</v>
      </c>
      <c r="B12" s="272" t="s">
        <v>9</v>
      </c>
      <c r="C12" s="280">
        <f>data!C62</f>
        <v>204450</v>
      </c>
      <c r="D12" s="280">
        <f>data!D62</f>
        <v>0</v>
      </c>
      <c r="E12" s="280">
        <f>data!E62</f>
        <v>1216869</v>
      </c>
      <c r="F12" s="280">
        <f>data!F62</f>
        <v>0</v>
      </c>
      <c r="G12" s="280">
        <f>data!G62</f>
        <v>0</v>
      </c>
      <c r="H12" s="280">
        <f>data!H62</f>
        <v>0</v>
      </c>
      <c r="I12" s="280">
        <f>data!I62</f>
        <v>0</v>
      </c>
      <c r="J12" s="368"/>
    </row>
    <row r="13" spans="1:10" ht="20.100000000000001" customHeight="1" x14ac:dyDescent="0.2">
      <c r="A13" s="272">
        <v>8</v>
      </c>
      <c r="B13" s="272" t="s">
        <v>249</v>
      </c>
      <c r="C13" s="280">
        <f>data!C63</f>
        <v>836044</v>
      </c>
      <c r="D13" s="280">
        <f>data!D63</f>
        <v>0</v>
      </c>
      <c r="E13" s="280">
        <f>data!E63</f>
        <v>498509</v>
      </c>
      <c r="F13" s="280">
        <f>data!F63</f>
        <v>0</v>
      </c>
      <c r="G13" s="280">
        <f>data!G63</f>
        <v>0</v>
      </c>
      <c r="H13" s="280">
        <f>data!H63</f>
        <v>0</v>
      </c>
      <c r="I13" s="280">
        <f>data!I63</f>
        <v>0</v>
      </c>
      <c r="J13" s="368"/>
    </row>
    <row r="14" spans="1:10" ht="20.100000000000001" customHeight="1" x14ac:dyDescent="0.2">
      <c r="A14" s="272">
        <v>9</v>
      </c>
      <c r="B14" s="272" t="s">
        <v>250</v>
      </c>
      <c r="C14" s="280">
        <f>data!C64</f>
        <v>70792</v>
      </c>
      <c r="D14" s="280">
        <f>data!D64</f>
        <v>0</v>
      </c>
      <c r="E14" s="280">
        <f>data!E64</f>
        <v>270359</v>
      </c>
      <c r="F14" s="280">
        <f>data!F64</f>
        <v>0</v>
      </c>
      <c r="G14" s="280">
        <f>data!G64</f>
        <v>0</v>
      </c>
      <c r="H14" s="280">
        <f>data!H64</f>
        <v>0</v>
      </c>
      <c r="I14" s="280">
        <f>data!I64</f>
        <v>0</v>
      </c>
      <c r="J14" s="296"/>
    </row>
    <row r="15" spans="1:10" ht="20.100000000000001" customHeight="1" x14ac:dyDescent="0.2">
      <c r="A15" s="272">
        <v>10</v>
      </c>
      <c r="B15" s="342" t="s">
        <v>497</v>
      </c>
      <c r="C15" s="342">
        <f>data!C65</f>
        <v>1745</v>
      </c>
      <c r="D15" s="342">
        <f>data!D65</f>
        <v>0</v>
      </c>
      <c r="E15" s="342">
        <f>data!E65</f>
        <v>0</v>
      </c>
      <c r="F15" s="284">
        <f>data!F65</f>
        <v>0</v>
      </c>
      <c r="G15" s="284">
        <f>data!G65</f>
        <v>0</v>
      </c>
      <c r="H15" s="342">
        <f>data!H65</f>
        <v>0</v>
      </c>
      <c r="I15" s="342">
        <f>data!I65</f>
        <v>0</v>
      </c>
    </row>
    <row r="16" spans="1:10" ht="20.100000000000001" customHeight="1" thickBot="1" x14ac:dyDescent="0.25">
      <c r="A16" s="272">
        <v>11</v>
      </c>
      <c r="B16" s="389" t="s">
        <v>498</v>
      </c>
      <c r="C16" s="389">
        <f>data!C66</f>
        <v>3686</v>
      </c>
      <c r="D16" s="389">
        <f>data!D66</f>
        <v>0</v>
      </c>
      <c r="E16" s="390">
        <f>data!E66</f>
        <v>49106</v>
      </c>
      <c r="F16" s="391"/>
      <c r="G16" s="392"/>
      <c r="H16" s="389">
        <f>data!H66</f>
        <v>0</v>
      </c>
      <c r="I16" s="280">
        <f>data!I66</f>
        <v>0</v>
      </c>
    </row>
    <row r="17" spans="1:9" ht="20.100000000000001" customHeight="1" thickTop="1" x14ac:dyDescent="0.2">
      <c r="A17" s="272">
        <v>12</v>
      </c>
      <c r="B17" s="342" t="s">
        <v>11</v>
      </c>
      <c r="C17" s="342">
        <f>data!C67</f>
        <v>87363</v>
      </c>
      <c r="D17" s="342">
        <f>data!D67</f>
        <v>0</v>
      </c>
      <c r="E17" s="386">
        <f>data!E67</f>
        <v>327049</v>
      </c>
      <c r="F17" s="276"/>
      <c r="G17" s="276"/>
      <c r="H17" s="342">
        <f>data!H67</f>
        <v>0</v>
      </c>
      <c r="I17" s="280">
        <f>data!I67</f>
        <v>0</v>
      </c>
    </row>
    <row r="18" spans="1:9" ht="20.100000000000001" customHeight="1" x14ac:dyDescent="0.2">
      <c r="A18" s="272">
        <v>13</v>
      </c>
      <c r="B18" s="280" t="s">
        <v>974</v>
      </c>
      <c r="C18" s="280">
        <f>data!C68</f>
        <v>0</v>
      </c>
      <c r="D18" s="280">
        <f>data!D68</f>
        <v>0</v>
      </c>
      <c r="E18" s="346">
        <f>data!E68</f>
        <v>538</v>
      </c>
      <c r="F18" s="276"/>
      <c r="G18" s="276"/>
      <c r="H18" s="280">
        <f>data!H68</f>
        <v>0</v>
      </c>
      <c r="I18" s="280">
        <f>data!I68</f>
        <v>0</v>
      </c>
    </row>
    <row r="19" spans="1:9" ht="20.100000000000001" customHeight="1" x14ac:dyDescent="0.2">
      <c r="A19" s="272">
        <v>14</v>
      </c>
      <c r="B19" s="280" t="s">
        <v>975</v>
      </c>
      <c r="C19" s="280">
        <f>data!C69</f>
        <v>7410</v>
      </c>
      <c r="D19" s="280">
        <f>data!D69</f>
        <v>0</v>
      </c>
      <c r="E19" s="346">
        <f>data!E69</f>
        <v>78420</v>
      </c>
      <c r="F19" s="276"/>
      <c r="G19" s="276"/>
      <c r="H19" s="280">
        <f>data!H69</f>
        <v>0</v>
      </c>
      <c r="I19" s="280">
        <f>data!I69</f>
        <v>0</v>
      </c>
    </row>
    <row r="20" spans="1:9" ht="20.100000000000001" customHeight="1" x14ac:dyDescent="0.2">
      <c r="A20" s="272">
        <v>15</v>
      </c>
      <c r="B20" s="280" t="s">
        <v>269</v>
      </c>
      <c r="C20" s="280">
        <f>-data!C84</f>
        <v>0</v>
      </c>
      <c r="D20" s="280">
        <f>-data!D84</f>
        <v>0</v>
      </c>
      <c r="E20" s="280">
        <f>-data!E84</f>
        <v>0</v>
      </c>
      <c r="F20" s="342">
        <f>-data!F84</f>
        <v>0</v>
      </c>
      <c r="G20" s="342">
        <f>-data!G84</f>
        <v>0</v>
      </c>
      <c r="H20" s="280">
        <f>-data!H84</f>
        <v>0</v>
      </c>
      <c r="I20" s="280">
        <f>-data!I84</f>
        <v>0</v>
      </c>
    </row>
    <row r="21" spans="1:9" ht="20.100000000000001" customHeight="1" x14ac:dyDescent="0.2">
      <c r="A21" s="272">
        <v>16</v>
      </c>
      <c r="B21" s="288" t="s">
        <v>976</v>
      </c>
      <c r="C21" s="280">
        <f>data!C85</f>
        <v>2140524</v>
      </c>
      <c r="D21" s="280">
        <f>data!D85</f>
        <v>0</v>
      </c>
      <c r="E21" s="280">
        <f>data!E85</f>
        <v>7970387</v>
      </c>
      <c r="F21" s="280">
        <f>data!F85</f>
        <v>0</v>
      </c>
      <c r="G21" s="280">
        <f>data!G85</f>
        <v>0</v>
      </c>
      <c r="H21" s="280">
        <f>data!H85</f>
        <v>0</v>
      </c>
      <c r="I21" s="280">
        <f>data!I85</f>
        <v>0</v>
      </c>
    </row>
    <row r="22" spans="1:9" ht="20.100000000000001" customHeight="1" x14ac:dyDescent="0.2">
      <c r="A22" s="272">
        <v>17</v>
      </c>
      <c r="B22" s="280" t="s">
        <v>271</v>
      </c>
      <c r="C22" s="289"/>
      <c r="D22" s="290"/>
      <c r="E22" s="290"/>
      <c r="F22" s="290"/>
      <c r="G22" s="290"/>
      <c r="H22" s="290"/>
      <c r="I22" s="290"/>
    </row>
    <row r="23" spans="1:9" ht="20.100000000000001" customHeight="1" x14ac:dyDescent="0.2">
      <c r="A23" s="272">
        <v>18</v>
      </c>
      <c r="B23" s="280" t="s">
        <v>977</v>
      </c>
      <c r="C23" s="288">
        <f>+data!M668</f>
        <v>982592</v>
      </c>
      <c r="D23" s="288">
        <f>+data!M669</f>
        <v>0</v>
      </c>
      <c r="E23" s="288">
        <f>+data!M670</f>
        <v>5133306</v>
      </c>
      <c r="F23" s="288">
        <f>+data!M671</f>
        <v>0</v>
      </c>
      <c r="G23" s="288">
        <f>+data!M672</f>
        <v>0</v>
      </c>
      <c r="H23" s="288">
        <f>+data!M673</f>
        <v>0</v>
      </c>
      <c r="I23" s="288">
        <f>+data!M674</f>
        <v>0</v>
      </c>
    </row>
    <row r="24" spans="1:9" ht="20.100000000000001" customHeight="1" x14ac:dyDescent="0.2">
      <c r="A24" s="272">
        <v>19</v>
      </c>
      <c r="B24" s="288" t="s">
        <v>978</v>
      </c>
      <c r="C24" s="280">
        <f>data!C87</f>
        <v>4016316</v>
      </c>
      <c r="D24" s="280">
        <f>data!D87</f>
        <v>0</v>
      </c>
      <c r="E24" s="280">
        <f>data!E87</f>
        <v>11493553</v>
      </c>
      <c r="F24" s="280">
        <f>data!F87</f>
        <v>0</v>
      </c>
      <c r="G24" s="280">
        <f>data!G87</f>
        <v>0</v>
      </c>
      <c r="H24" s="280">
        <f>data!H87</f>
        <v>0</v>
      </c>
      <c r="I24" s="280">
        <f>data!I87</f>
        <v>0</v>
      </c>
    </row>
    <row r="25" spans="1:9" ht="20.100000000000001" customHeight="1" x14ac:dyDescent="0.2">
      <c r="A25" s="272">
        <v>20</v>
      </c>
      <c r="B25" s="288" t="s">
        <v>979</v>
      </c>
      <c r="C25" s="280">
        <f>data!C88</f>
        <v>14083</v>
      </c>
      <c r="D25" s="280">
        <f>data!D88</f>
        <v>0</v>
      </c>
      <c r="E25" s="280">
        <f>data!E88</f>
        <v>1562425</v>
      </c>
      <c r="F25" s="280">
        <f>data!F88</f>
        <v>0</v>
      </c>
      <c r="G25" s="280">
        <f>data!G88</f>
        <v>0</v>
      </c>
      <c r="H25" s="280">
        <f>data!H88</f>
        <v>0</v>
      </c>
      <c r="I25" s="280">
        <f>data!I88</f>
        <v>0</v>
      </c>
    </row>
    <row r="26" spans="1:9" ht="18" customHeight="1" x14ac:dyDescent="0.2">
      <c r="A26" s="272">
        <v>21</v>
      </c>
      <c r="B26" s="288" t="s">
        <v>980</v>
      </c>
      <c r="C26" s="280">
        <f>data!C89</f>
        <v>4030399</v>
      </c>
      <c r="D26" s="280">
        <f>data!D89</f>
        <v>0</v>
      </c>
      <c r="E26" s="280">
        <f>data!E89</f>
        <v>13055978</v>
      </c>
      <c r="F26" s="280">
        <f>data!F89</f>
        <v>0</v>
      </c>
      <c r="G26" s="280">
        <f>data!G89</f>
        <v>0</v>
      </c>
      <c r="H26" s="280">
        <f>data!H89</f>
        <v>0</v>
      </c>
      <c r="I26" s="280">
        <f>data!I89</f>
        <v>0</v>
      </c>
    </row>
    <row r="27" spans="1:9" ht="20.100000000000001" customHeight="1" x14ac:dyDescent="0.2">
      <c r="A27" s="272" t="s">
        <v>981</v>
      </c>
      <c r="B27" s="280"/>
      <c r="C27" s="290"/>
      <c r="D27" s="290"/>
      <c r="E27" s="290"/>
      <c r="F27" s="290"/>
      <c r="G27" s="290"/>
      <c r="H27" s="290"/>
      <c r="I27" s="290"/>
    </row>
    <row r="28" spans="1:9" ht="20.100000000000001" customHeight="1" x14ac:dyDescent="0.2">
      <c r="A28" s="272">
        <v>22</v>
      </c>
      <c r="B28" s="280" t="s">
        <v>982</v>
      </c>
      <c r="C28" s="280">
        <f>data!C90</f>
        <v>2605</v>
      </c>
      <c r="D28" s="280">
        <f>data!D90</f>
        <v>0</v>
      </c>
      <c r="E28" s="280">
        <f>data!E90</f>
        <v>9752</v>
      </c>
      <c r="F28" s="280">
        <f>data!F90</f>
        <v>0</v>
      </c>
      <c r="G28" s="280">
        <f>data!G90</f>
        <v>0</v>
      </c>
      <c r="H28" s="280">
        <f>data!H90</f>
        <v>0</v>
      </c>
      <c r="I28" s="280">
        <f>data!I90</f>
        <v>0</v>
      </c>
    </row>
    <row r="29" spans="1:9" ht="20.100000000000001" customHeight="1" x14ac:dyDescent="0.2">
      <c r="A29" s="272">
        <v>23</v>
      </c>
      <c r="B29" s="280" t="s">
        <v>983</v>
      </c>
      <c r="C29" s="280">
        <f>data!C91</f>
        <v>1234</v>
      </c>
      <c r="D29" s="280">
        <f>data!D91</f>
        <v>0</v>
      </c>
      <c r="E29" s="280">
        <f>data!E91</f>
        <v>15263</v>
      </c>
      <c r="F29" s="280">
        <f>data!F91</f>
        <v>0</v>
      </c>
      <c r="G29" s="280">
        <f>data!G91</f>
        <v>0</v>
      </c>
      <c r="H29" s="280">
        <f>data!H91</f>
        <v>0</v>
      </c>
      <c r="I29" s="280">
        <f>data!I91</f>
        <v>0</v>
      </c>
    </row>
    <row r="30" spans="1:9" ht="20.100000000000001" customHeight="1" x14ac:dyDescent="0.2">
      <c r="A30" s="272">
        <v>24</v>
      </c>
      <c r="B30" s="280" t="s">
        <v>984</v>
      </c>
      <c r="C30" s="280">
        <f>data!C92</f>
        <v>190</v>
      </c>
      <c r="D30" s="280">
        <f>data!D92</f>
        <v>0</v>
      </c>
      <c r="E30" s="280">
        <f>data!E92</f>
        <v>660</v>
      </c>
      <c r="F30" s="280">
        <f>data!F92</f>
        <v>0</v>
      </c>
      <c r="G30" s="280">
        <f>data!G92</f>
        <v>0</v>
      </c>
      <c r="H30" s="280">
        <f>data!H92</f>
        <v>0</v>
      </c>
      <c r="I30" s="280">
        <f>data!I92</f>
        <v>0</v>
      </c>
    </row>
    <row r="31" spans="1:9" ht="20.100000000000001" customHeight="1" x14ac:dyDescent="0.2">
      <c r="A31" s="272">
        <v>25</v>
      </c>
      <c r="B31" s="280" t="s">
        <v>985</v>
      </c>
      <c r="C31" s="280">
        <f>data!C93</f>
        <v>13901</v>
      </c>
      <c r="D31" s="280">
        <f>data!D93</f>
        <v>0</v>
      </c>
      <c r="E31" s="280">
        <f>data!E93</f>
        <v>47825</v>
      </c>
      <c r="F31" s="280">
        <f>data!F93</f>
        <v>0</v>
      </c>
      <c r="G31" s="280">
        <f>data!G93</f>
        <v>0</v>
      </c>
      <c r="H31" s="280">
        <f>data!H93</f>
        <v>0</v>
      </c>
      <c r="I31" s="280">
        <f>data!I93</f>
        <v>0</v>
      </c>
    </row>
    <row r="32" spans="1:9" ht="20.100000000000001" customHeight="1" x14ac:dyDescent="0.2">
      <c r="A32" s="272">
        <v>26</v>
      </c>
      <c r="B32" s="280" t="s">
        <v>279</v>
      </c>
      <c r="C32" s="287">
        <f>data!C94</f>
        <v>6.93</v>
      </c>
      <c r="D32" s="287">
        <f>data!D94</f>
        <v>0</v>
      </c>
      <c r="E32" s="287">
        <f>data!E94</f>
        <v>35.590000000000003</v>
      </c>
      <c r="F32" s="287">
        <f>data!F94</f>
        <v>0</v>
      </c>
      <c r="G32" s="287">
        <f>data!G94</f>
        <v>0</v>
      </c>
      <c r="H32" s="287">
        <f>data!H94</f>
        <v>0</v>
      </c>
      <c r="I32" s="287">
        <f>data!I94</f>
        <v>0</v>
      </c>
    </row>
    <row r="33" spans="1:9" ht="20.100000000000001" customHeight="1" x14ac:dyDescent="0.2">
      <c r="A33" s="273" t="s">
        <v>969</v>
      </c>
      <c r="B33" s="274"/>
      <c r="C33" s="274"/>
      <c r="D33" s="274"/>
      <c r="E33" s="274"/>
      <c r="F33" s="274"/>
      <c r="G33" s="274"/>
      <c r="H33" s="274"/>
      <c r="I33" s="273"/>
    </row>
    <row r="34" spans="1:9" ht="20.100000000000001" customHeight="1" x14ac:dyDescent="0.2">
      <c r="A34" s="276"/>
      <c r="I34" s="277" t="s">
        <v>986</v>
      </c>
    </row>
    <row r="35" spans="1:9" ht="20.100000000000001" customHeight="1" x14ac:dyDescent="0.2">
      <c r="A35" s="276"/>
      <c r="I35" s="276"/>
    </row>
    <row r="36" spans="1:9" ht="20.100000000000001" customHeight="1" x14ac:dyDescent="0.2">
      <c r="A36" s="278" t="str">
        <f>"Hospital: "&amp;data!C98</f>
        <v>Hospital: Jefferson County Public Hospital District No 2</v>
      </c>
      <c r="G36" s="279"/>
      <c r="H36" s="278" t="str">
        <f>"FYE: "&amp;data!C96</f>
        <v>FYE: 12/31/2022</v>
      </c>
    </row>
    <row r="37" spans="1:9" ht="20.100000000000001" customHeight="1" x14ac:dyDescent="0.2">
      <c r="A37" s="272">
        <v>1</v>
      </c>
      <c r="B37" s="280" t="s">
        <v>221</v>
      </c>
      <c r="C37" s="282" t="s">
        <v>28</v>
      </c>
      <c r="D37" s="282" t="s">
        <v>29</v>
      </c>
      <c r="E37" s="282" t="s">
        <v>30</v>
      </c>
      <c r="F37" s="282" t="s">
        <v>31</v>
      </c>
      <c r="G37" s="282" t="s">
        <v>32</v>
      </c>
      <c r="H37" s="282" t="s">
        <v>33</v>
      </c>
      <c r="I37" s="282" t="s">
        <v>34</v>
      </c>
    </row>
    <row r="38" spans="1:9" ht="20.100000000000001" customHeight="1" x14ac:dyDescent="0.2">
      <c r="A38" s="283">
        <v>2</v>
      </c>
      <c r="B38" s="284" t="s">
        <v>971</v>
      </c>
      <c r="C38" s="286"/>
      <c r="D38" s="286" t="s">
        <v>111</v>
      </c>
      <c r="E38" s="286" t="s">
        <v>112</v>
      </c>
      <c r="F38" s="286" t="s">
        <v>987</v>
      </c>
      <c r="G38" s="286" t="s">
        <v>114</v>
      </c>
      <c r="H38" s="286" t="s">
        <v>988</v>
      </c>
      <c r="I38" s="286" t="s">
        <v>116</v>
      </c>
    </row>
    <row r="39" spans="1:9" ht="20.100000000000001" customHeight="1" x14ac:dyDescent="0.2">
      <c r="A39" s="283"/>
      <c r="B39" s="284"/>
      <c r="C39" s="286" t="s">
        <v>110</v>
      </c>
      <c r="D39" s="286" t="s">
        <v>169</v>
      </c>
      <c r="E39" s="285" t="s">
        <v>179</v>
      </c>
      <c r="F39" s="286" t="s">
        <v>180</v>
      </c>
      <c r="G39" s="286" t="s">
        <v>181</v>
      </c>
      <c r="H39" s="286" t="s">
        <v>182</v>
      </c>
      <c r="I39" s="286" t="s">
        <v>181</v>
      </c>
    </row>
    <row r="40" spans="1:9" ht="20.100000000000001" customHeight="1" x14ac:dyDescent="0.2">
      <c r="A40" s="272">
        <v>3</v>
      </c>
      <c r="B40" s="280" t="s">
        <v>973</v>
      </c>
      <c r="C40" s="282" t="s">
        <v>228</v>
      </c>
      <c r="D40" s="282" t="s">
        <v>227</v>
      </c>
      <c r="E40" s="282" t="s">
        <v>227</v>
      </c>
      <c r="F40" s="282" t="s">
        <v>227</v>
      </c>
      <c r="G40" s="282" t="s">
        <v>227</v>
      </c>
      <c r="H40" s="282" t="s">
        <v>229</v>
      </c>
      <c r="I40" s="281" t="s">
        <v>230</v>
      </c>
    </row>
    <row r="41" spans="1:9" ht="20.100000000000001" customHeight="1" x14ac:dyDescent="0.2">
      <c r="A41" s="272">
        <v>4</v>
      </c>
      <c r="B41" s="280" t="s">
        <v>246</v>
      </c>
      <c r="C41" s="280">
        <f>data!J59</f>
        <v>161</v>
      </c>
      <c r="D41" s="280">
        <f>data!K59</f>
        <v>0</v>
      </c>
      <c r="E41" s="280">
        <f>data!L59</f>
        <v>94</v>
      </c>
      <c r="F41" s="280">
        <f>data!M59</f>
        <v>16183</v>
      </c>
      <c r="G41" s="280">
        <f>data!N59</f>
        <v>0</v>
      </c>
      <c r="H41" s="280">
        <f>data!O59</f>
        <v>62</v>
      </c>
      <c r="I41" s="280">
        <f>data!P59</f>
        <v>187173</v>
      </c>
    </row>
    <row r="42" spans="1:9" ht="20.100000000000001" customHeight="1" x14ac:dyDescent="0.2">
      <c r="A42" s="272">
        <v>5</v>
      </c>
      <c r="B42" s="280" t="s">
        <v>247</v>
      </c>
      <c r="C42" s="287">
        <f>data!J60</f>
        <v>1.7</v>
      </c>
      <c r="D42" s="287">
        <f>data!K60</f>
        <v>0</v>
      </c>
      <c r="E42" s="287">
        <f>data!L60</f>
        <v>0.99</v>
      </c>
      <c r="F42" s="287">
        <f>data!M60</f>
        <v>10.63</v>
      </c>
      <c r="G42" s="287">
        <f>data!N60</f>
        <v>0</v>
      </c>
      <c r="H42" s="287">
        <f>data!O60</f>
        <v>0.65</v>
      </c>
      <c r="I42" s="287">
        <f>data!P60</f>
        <v>12.89</v>
      </c>
    </row>
    <row r="43" spans="1:9" ht="20.100000000000001" customHeight="1" x14ac:dyDescent="0.2">
      <c r="A43" s="272">
        <v>6</v>
      </c>
      <c r="B43" s="280" t="s">
        <v>248</v>
      </c>
      <c r="C43" s="280">
        <f>data!J61</f>
        <v>220142</v>
      </c>
      <c r="D43" s="280">
        <f>data!K61</f>
        <v>0</v>
      </c>
      <c r="E43" s="280">
        <f>data!L61</f>
        <v>128530</v>
      </c>
      <c r="F43" s="280">
        <f>data!M61</f>
        <v>1100979</v>
      </c>
      <c r="G43" s="280">
        <f>data!N61</f>
        <v>0</v>
      </c>
      <c r="H43" s="280">
        <f>data!O61</f>
        <v>84775</v>
      </c>
      <c r="I43" s="280">
        <f>data!P61</f>
        <v>1400867</v>
      </c>
    </row>
    <row r="44" spans="1:9" ht="20.100000000000001" customHeight="1" x14ac:dyDescent="0.2">
      <c r="A44" s="272">
        <v>7</v>
      </c>
      <c r="B44" s="280" t="s">
        <v>9</v>
      </c>
      <c r="C44" s="280">
        <f>data!J62</f>
        <v>48446</v>
      </c>
      <c r="D44" s="280">
        <f>data!K62</f>
        <v>0</v>
      </c>
      <c r="E44" s="280">
        <f>data!L62</f>
        <v>28285</v>
      </c>
      <c r="F44" s="280">
        <f>data!M62</f>
        <v>242289</v>
      </c>
      <c r="G44" s="280">
        <f>data!N62</f>
        <v>0</v>
      </c>
      <c r="H44" s="280">
        <f>data!O62</f>
        <v>18656</v>
      </c>
      <c r="I44" s="280">
        <f>data!P62</f>
        <v>308285</v>
      </c>
    </row>
    <row r="45" spans="1:9" ht="20.100000000000001" customHeight="1" x14ac:dyDescent="0.2">
      <c r="A45" s="272">
        <v>8</v>
      </c>
      <c r="B45" s="280" t="s">
        <v>249</v>
      </c>
      <c r="C45" s="280">
        <f>data!J63</f>
        <v>19847</v>
      </c>
      <c r="D45" s="280">
        <f>data!K63</f>
        <v>0</v>
      </c>
      <c r="E45" s="280">
        <f>data!L63</f>
        <v>11588</v>
      </c>
      <c r="F45" s="280">
        <f>data!M63</f>
        <v>0</v>
      </c>
      <c r="G45" s="280">
        <f>data!N63</f>
        <v>0</v>
      </c>
      <c r="H45" s="280">
        <f>data!O63</f>
        <v>7643</v>
      </c>
      <c r="I45" s="280">
        <f>data!P63</f>
        <v>426648</v>
      </c>
    </row>
    <row r="46" spans="1:9" ht="20.100000000000001" customHeight="1" x14ac:dyDescent="0.2">
      <c r="A46" s="272">
        <v>9</v>
      </c>
      <c r="B46" s="280" t="s">
        <v>250</v>
      </c>
      <c r="C46" s="280">
        <f>data!J64</f>
        <v>10764</v>
      </c>
      <c r="D46" s="280">
        <f>data!K64</f>
        <v>0</v>
      </c>
      <c r="E46" s="280">
        <f>data!L64</f>
        <v>6284</v>
      </c>
      <c r="F46" s="280">
        <f>data!M64</f>
        <v>6376</v>
      </c>
      <c r="G46" s="280">
        <f>data!N64</f>
        <v>0</v>
      </c>
      <c r="H46" s="280">
        <f>data!O64</f>
        <v>4145</v>
      </c>
      <c r="I46" s="280">
        <f>data!P64</f>
        <v>650362</v>
      </c>
    </row>
    <row r="47" spans="1:9" ht="20.100000000000001" customHeight="1" x14ac:dyDescent="0.2">
      <c r="A47" s="272">
        <v>10</v>
      </c>
      <c r="B47" s="280" t="s">
        <v>497</v>
      </c>
      <c r="C47" s="280">
        <f>data!J65</f>
        <v>0</v>
      </c>
      <c r="D47" s="280">
        <f>data!K65</f>
        <v>0</v>
      </c>
      <c r="E47" s="280">
        <f>data!L65</f>
        <v>0</v>
      </c>
      <c r="F47" s="280">
        <f>data!M65</f>
        <v>0</v>
      </c>
      <c r="G47" s="280">
        <f>data!N65</f>
        <v>0</v>
      </c>
      <c r="H47" s="280">
        <f>data!O65</f>
        <v>0</v>
      </c>
      <c r="I47" s="280">
        <f>data!P65</f>
        <v>6179</v>
      </c>
    </row>
    <row r="48" spans="1:9" ht="20.100000000000001" customHeight="1" x14ac:dyDescent="0.2">
      <c r="A48" s="272">
        <v>11</v>
      </c>
      <c r="B48" s="280" t="s">
        <v>498</v>
      </c>
      <c r="C48" s="280">
        <f>data!J66</f>
        <v>1955</v>
      </c>
      <c r="D48" s="280">
        <f>data!K66</f>
        <v>0</v>
      </c>
      <c r="E48" s="280">
        <f>data!L66</f>
        <v>1141</v>
      </c>
      <c r="F48" s="280">
        <f>data!M66</f>
        <v>228123</v>
      </c>
      <c r="G48" s="280">
        <f>data!N66</f>
        <v>0</v>
      </c>
      <c r="H48" s="280">
        <f>data!O66</f>
        <v>753</v>
      </c>
      <c r="I48" s="280">
        <f>data!P66</f>
        <v>28877</v>
      </c>
    </row>
    <row r="49" spans="1:11" ht="20.100000000000001" customHeight="1" x14ac:dyDescent="0.2">
      <c r="A49" s="272">
        <v>12</v>
      </c>
      <c r="B49" s="280" t="s">
        <v>11</v>
      </c>
      <c r="C49" s="280">
        <f>data!J67</f>
        <v>13012</v>
      </c>
      <c r="D49" s="280">
        <f>data!K67</f>
        <v>0</v>
      </c>
      <c r="E49" s="280">
        <f>data!L67</f>
        <v>7613</v>
      </c>
      <c r="F49" s="280">
        <f>data!M67</f>
        <v>0</v>
      </c>
      <c r="G49" s="280">
        <f>data!N67</f>
        <v>0</v>
      </c>
      <c r="H49" s="280">
        <f>data!O67</f>
        <v>5030</v>
      </c>
      <c r="I49" s="280">
        <f>data!P67</f>
        <v>400829</v>
      </c>
    </row>
    <row r="50" spans="1:11" ht="20.100000000000001" customHeight="1" x14ac:dyDescent="0.2">
      <c r="A50" s="272">
        <v>13</v>
      </c>
      <c r="B50" s="280" t="s">
        <v>974</v>
      </c>
      <c r="C50" s="280">
        <f>data!J68</f>
        <v>21</v>
      </c>
      <c r="D50" s="280">
        <f>data!K68</f>
        <v>0</v>
      </c>
      <c r="E50" s="280">
        <f>data!L68</f>
        <v>13</v>
      </c>
      <c r="F50" s="280">
        <f>data!M68</f>
        <v>26814</v>
      </c>
      <c r="G50" s="280">
        <f>data!N68</f>
        <v>0</v>
      </c>
      <c r="H50" s="280">
        <f>data!O68</f>
        <v>8</v>
      </c>
      <c r="I50" s="280">
        <f>data!P68</f>
        <v>5094</v>
      </c>
    </row>
    <row r="51" spans="1:11" ht="20.100000000000001" customHeight="1" x14ac:dyDescent="0.2">
      <c r="A51" s="272">
        <v>14</v>
      </c>
      <c r="B51" s="280" t="s">
        <v>975</v>
      </c>
      <c r="C51" s="280">
        <f>data!J69</f>
        <v>3122</v>
      </c>
      <c r="D51" s="280">
        <f>data!K69</f>
        <v>0</v>
      </c>
      <c r="E51" s="280">
        <f>data!L69</f>
        <v>1823</v>
      </c>
      <c r="F51" s="280">
        <f>data!M69</f>
        <v>34354</v>
      </c>
      <c r="G51" s="280">
        <f>data!N69</f>
        <v>0</v>
      </c>
      <c r="H51" s="280">
        <f>data!O69</f>
        <v>1202</v>
      </c>
      <c r="I51" s="280">
        <f>data!P69</f>
        <v>77742</v>
      </c>
    </row>
    <row r="52" spans="1:11" ht="20.100000000000001" customHeight="1" x14ac:dyDescent="0.2">
      <c r="A52" s="272">
        <v>15</v>
      </c>
      <c r="B52" s="280" t="s">
        <v>269</v>
      </c>
      <c r="C52" s="280">
        <f>-data!J84</f>
        <v>0</v>
      </c>
      <c r="D52" s="280">
        <f>-data!K84</f>
        <v>0</v>
      </c>
      <c r="E52" s="280">
        <f>-data!L84</f>
        <v>0</v>
      </c>
      <c r="F52" s="280">
        <f>-data!M84</f>
        <v>0</v>
      </c>
      <c r="G52" s="280">
        <f>-data!N84</f>
        <v>0</v>
      </c>
      <c r="H52" s="280">
        <f>-data!O84</f>
        <v>0</v>
      </c>
      <c r="I52" s="280">
        <f>-data!P84</f>
        <v>0</v>
      </c>
    </row>
    <row r="53" spans="1:11" ht="20.100000000000001" customHeight="1" x14ac:dyDescent="0.2">
      <c r="A53" s="272">
        <v>16</v>
      </c>
      <c r="B53" s="288" t="s">
        <v>976</v>
      </c>
      <c r="C53" s="280">
        <f>data!J85</f>
        <v>317309</v>
      </c>
      <c r="D53" s="280">
        <f>data!K85</f>
        <v>0</v>
      </c>
      <c r="E53" s="280">
        <f>data!L85</f>
        <v>185277</v>
      </c>
      <c r="F53" s="280">
        <f>data!M85</f>
        <v>1638935</v>
      </c>
      <c r="G53" s="280">
        <f>data!N85</f>
        <v>0</v>
      </c>
      <c r="H53" s="280">
        <f>data!O85</f>
        <v>122212</v>
      </c>
      <c r="I53" s="280">
        <f>data!P85</f>
        <v>3304883</v>
      </c>
    </row>
    <row r="54" spans="1:11" ht="20.100000000000001" customHeight="1" x14ac:dyDescent="0.2">
      <c r="A54" s="272">
        <v>17</v>
      </c>
      <c r="B54" s="280" t="s">
        <v>271</v>
      </c>
      <c r="C54" s="290"/>
      <c r="D54" s="290"/>
      <c r="E54" s="290"/>
      <c r="F54" s="290"/>
      <c r="G54" s="290"/>
      <c r="H54" s="290"/>
      <c r="I54" s="290"/>
    </row>
    <row r="55" spans="1:11" ht="20.100000000000001" customHeight="1" x14ac:dyDescent="0.2">
      <c r="A55" s="272">
        <v>18</v>
      </c>
      <c r="B55" s="280" t="s">
        <v>977</v>
      </c>
      <c r="C55" s="288">
        <f>+data!M675</f>
        <v>130648</v>
      </c>
      <c r="D55" s="288">
        <f>+data!M676</f>
        <v>0</v>
      </c>
      <c r="E55" s="288">
        <f>+data!M677</f>
        <v>114611</v>
      </c>
      <c r="F55" s="288">
        <f>+data!M678</f>
        <v>262933</v>
      </c>
      <c r="G55" s="288">
        <f>+data!M679</f>
        <v>0</v>
      </c>
      <c r="H55" s="288">
        <f>+data!M680</f>
        <v>81009</v>
      </c>
      <c r="I55" s="288">
        <f>+data!M681</f>
        <v>2620153</v>
      </c>
    </row>
    <row r="56" spans="1:11" ht="20.100000000000001" customHeight="1" x14ac:dyDescent="0.2">
      <c r="A56" s="272">
        <v>19</v>
      </c>
      <c r="B56" s="288" t="s">
        <v>978</v>
      </c>
      <c r="C56" s="280">
        <f>data!J87</f>
        <v>266939</v>
      </c>
      <c r="D56" s="280">
        <f>data!K87</f>
        <v>0</v>
      </c>
      <c r="E56" s="280">
        <f>data!L87</f>
        <v>171093</v>
      </c>
      <c r="F56" s="280">
        <f>data!M87</f>
        <v>3316315</v>
      </c>
      <c r="G56" s="280">
        <f>data!N87</f>
        <v>0</v>
      </c>
      <c r="H56" s="280">
        <f>data!O87</f>
        <v>820696</v>
      </c>
      <c r="I56" s="280">
        <f>data!P87</f>
        <v>6784779</v>
      </c>
    </row>
    <row r="57" spans="1:11" ht="20.100000000000001" customHeight="1" x14ac:dyDescent="0.2">
      <c r="A57" s="272">
        <v>20</v>
      </c>
      <c r="B57" s="288" t="s">
        <v>979</v>
      </c>
      <c r="C57" s="280">
        <f>data!J88</f>
        <v>811</v>
      </c>
      <c r="D57" s="280">
        <f>data!K88</f>
        <v>0</v>
      </c>
      <c r="E57" s="280">
        <f>data!L88</f>
        <v>0</v>
      </c>
      <c r="F57" s="280">
        <f>data!M88</f>
        <v>0</v>
      </c>
      <c r="G57" s="280">
        <f>data!N88</f>
        <v>0</v>
      </c>
      <c r="H57" s="280">
        <f>data!O88</f>
        <v>159320</v>
      </c>
      <c r="I57" s="280">
        <f>data!P88</f>
        <v>25442736</v>
      </c>
    </row>
    <row r="58" spans="1:11" ht="20.100000000000001" customHeight="1" x14ac:dyDescent="0.2">
      <c r="A58" s="272">
        <v>21</v>
      </c>
      <c r="B58" s="288" t="s">
        <v>980</v>
      </c>
      <c r="C58" s="280">
        <f>data!J89</f>
        <v>267750</v>
      </c>
      <c r="D58" s="280">
        <f>data!K89</f>
        <v>0</v>
      </c>
      <c r="E58" s="280">
        <f>data!L89</f>
        <v>171093</v>
      </c>
      <c r="F58" s="280">
        <f>data!M89</f>
        <v>3316315</v>
      </c>
      <c r="G58" s="280">
        <f>data!N89</f>
        <v>0</v>
      </c>
      <c r="H58" s="280">
        <f>data!O89</f>
        <v>980016</v>
      </c>
      <c r="I58" s="280">
        <f>data!P89</f>
        <v>32227515</v>
      </c>
    </row>
    <row r="59" spans="1:11" ht="20.100000000000001" customHeight="1" x14ac:dyDescent="0.2">
      <c r="A59" s="272" t="s">
        <v>981</v>
      </c>
      <c r="B59" s="280"/>
      <c r="C59" s="290"/>
      <c r="D59" s="290"/>
      <c r="E59" s="290"/>
      <c r="F59" s="290"/>
      <c r="G59" s="290"/>
      <c r="H59" s="290"/>
      <c r="I59" s="290"/>
    </row>
    <row r="60" spans="1:11" ht="20.100000000000001" customHeight="1" x14ac:dyDescent="0.25">
      <c r="A60" s="272">
        <v>22</v>
      </c>
      <c r="B60" s="280" t="s">
        <v>982</v>
      </c>
      <c r="C60" s="280">
        <f>data!J90</f>
        <v>388</v>
      </c>
      <c r="D60" s="280">
        <f>data!K90</f>
        <v>0</v>
      </c>
      <c r="E60" s="280">
        <f>data!L90</f>
        <v>227</v>
      </c>
      <c r="F60" s="280">
        <f>data!M90</f>
        <v>0</v>
      </c>
      <c r="G60" s="280">
        <f>data!N90</f>
        <v>0</v>
      </c>
      <c r="H60" s="280">
        <f>data!O90</f>
        <v>150</v>
      </c>
      <c r="I60" s="280">
        <f>data!P90</f>
        <v>11952</v>
      </c>
      <c r="K60" s="291"/>
    </row>
    <row r="61" spans="1:11" ht="20.100000000000001" customHeight="1" x14ac:dyDescent="0.2">
      <c r="A61" s="272">
        <v>23</v>
      </c>
      <c r="B61" s="280" t="s">
        <v>983</v>
      </c>
      <c r="C61" s="280">
        <f>data!J91</f>
        <v>0</v>
      </c>
      <c r="D61" s="280">
        <f>data!K91</f>
        <v>0</v>
      </c>
      <c r="E61" s="280">
        <f>data!L91</f>
        <v>355</v>
      </c>
      <c r="F61" s="280">
        <f>data!M91</f>
        <v>0</v>
      </c>
      <c r="G61" s="280">
        <f>data!N91</f>
        <v>0</v>
      </c>
      <c r="H61" s="280">
        <f>data!O91</f>
        <v>0</v>
      </c>
      <c r="I61" s="280">
        <f>data!P91</f>
        <v>0</v>
      </c>
    </row>
    <row r="62" spans="1:11" ht="20.100000000000001" customHeight="1" x14ac:dyDescent="0.2">
      <c r="A62" s="272">
        <v>24</v>
      </c>
      <c r="B62" s="280" t="s">
        <v>984</v>
      </c>
      <c r="C62" s="280">
        <f>data!J92</f>
        <v>26</v>
      </c>
      <c r="D62" s="280">
        <f>data!K92</f>
        <v>0</v>
      </c>
      <c r="E62" s="280">
        <f>data!L92</f>
        <v>15</v>
      </c>
      <c r="F62" s="280">
        <f>data!M92</f>
        <v>0</v>
      </c>
      <c r="G62" s="280">
        <f>data!N92</f>
        <v>0</v>
      </c>
      <c r="H62" s="280">
        <f>data!O92</f>
        <v>10</v>
      </c>
      <c r="I62" s="280">
        <f>data!P92</f>
        <v>440</v>
      </c>
    </row>
    <row r="63" spans="1:11" ht="20.100000000000001" customHeight="1" x14ac:dyDescent="0.2">
      <c r="A63" s="272">
        <v>25</v>
      </c>
      <c r="B63" s="280" t="s">
        <v>985</v>
      </c>
      <c r="C63" s="280">
        <f>data!J93</f>
        <v>1904</v>
      </c>
      <c r="D63" s="280">
        <f>data!K93</f>
        <v>0</v>
      </c>
      <c r="E63" s="280">
        <f>data!L93</f>
        <v>1112</v>
      </c>
      <c r="F63" s="280">
        <f>data!M93</f>
        <v>0</v>
      </c>
      <c r="G63" s="280">
        <f>data!N93</f>
        <v>0</v>
      </c>
      <c r="H63" s="280">
        <f>data!O93</f>
        <v>733</v>
      </c>
      <c r="I63" s="280">
        <f>data!P93</f>
        <v>37239</v>
      </c>
    </row>
    <row r="64" spans="1:11" ht="20.100000000000001" customHeight="1" x14ac:dyDescent="0.2">
      <c r="A64" s="272">
        <v>26</v>
      </c>
      <c r="B64" s="280" t="s">
        <v>279</v>
      </c>
      <c r="C64" s="287">
        <f>data!J94</f>
        <v>1.42</v>
      </c>
      <c r="D64" s="287">
        <f>data!K94</f>
        <v>0</v>
      </c>
      <c r="E64" s="287">
        <f>data!L94</f>
        <v>0.83</v>
      </c>
      <c r="F64" s="287">
        <f>data!M94</f>
        <v>0</v>
      </c>
      <c r="G64" s="287">
        <f>data!N94</f>
        <v>0</v>
      </c>
      <c r="H64" s="287">
        <f>data!O94</f>
        <v>0.55000000000000004</v>
      </c>
      <c r="I64" s="287">
        <f>data!P94</f>
        <v>7.22</v>
      </c>
    </row>
    <row r="65" spans="1:9" ht="20.100000000000001" customHeight="1" x14ac:dyDescent="0.2">
      <c r="A65" s="273" t="s">
        <v>969</v>
      </c>
      <c r="B65" s="274"/>
      <c r="C65" s="274"/>
      <c r="D65" s="274"/>
      <c r="E65" s="274"/>
      <c r="F65" s="274"/>
      <c r="G65" s="274"/>
      <c r="H65" s="274"/>
      <c r="I65" s="273"/>
    </row>
    <row r="66" spans="1:9" ht="20.100000000000001" customHeight="1" x14ac:dyDescent="0.2">
      <c r="D66" s="276"/>
      <c r="I66" s="277" t="s">
        <v>989</v>
      </c>
    </row>
    <row r="67" spans="1:9" ht="20.100000000000001" customHeight="1" x14ac:dyDescent="0.2">
      <c r="A67" s="276"/>
    </row>
    <row r="68" spans="1:9" ht="20.100000000000001" customHeight="1" x14ac:dyDescent="0.2">
      <c r="A68" s="278" t="str">
        <f>"Hospital: "&amp;data!C98</f>
        <v>Hospital: Jefferson County Public Hospital District No 2</v>
      </c>
      <c r="G68" s="279"/>
      <c r="H68" s="278" t="str">
        <f>"FYE: "&amp;data!C96</f>
        <v>FYE: 12/31/2022</v>
      </c>
    </row>
    <row r="69" spans="1:9" ht="20.100000000000001" customHeight="1" x14ac:dyDescent="0.2">
      <c r="A69" s="272">
        <v>1</v>
      </c>
      <c r="B69" s="280" t="s">
        <v>221</v>
      </c>
      <c r="C69" s="282" t="s">
        <v>35</v>
      </c>
      <c r="D69" s="282" t="s">
        <v>36</v>
      </c>
      <c r="E69" s="282" t="s">
        <v>37</v>
      </c>
      <c r="F69" s="282" t="s">
        <v>38</v>
      </c>
      <c r="G69" s="282" t="s">
        <v>39</v>
      </c>
      <c r="H69" s="282" t="s">
        <v>40</v>
      </c>
      <c r="I69" s="282" t="s">
        <v>41</v>
      </c>
    </row>
    <row r="70" spans="1:9" ht="20.100000000000001" customHeight="1" x14ac:dyDescent="0.2">
      <c r="A70" s="283">
        <v>2</v>
      </c>
      <c r="B70" s="284" t="s">
        <v>971</v>
      </c>
      <c r="C70" s="286" t="s">
        <v>117</v>
      </c>
      <c r="D70" s="286"/>
      <c r="E70" s="286" t="s">
        <v>119</v>
      </c>
      <c r="F70" s="286" t="s">
        <v>120</v>
      </c>
      <c r="G70" s="286"/>
      <c r="H70" s="286" t="s">
        <v>122</v>
      </c>
      <c r="I70" s="286" t="s">
        <v>123</v>
      </c>
    </row>
    <row r="71" spans="1:9" ht="20.100000000000001" customHeight="1" x14ac:dyDescent="0.2">
      <c r="A71" s="283"/>
      <c r="B71" s="284"/>
      <c r="C71" s="286" t="s">
        <v>183</v>
      </c>
      <c r="D71" s="286" t="s">
        <v>990</v>
      </c>
      <c r="E71" s="286" t="s">
        <v>181</v>
      </c>
      <c r="F71" s="286" t="s">
        <v>184</v>
      </c>
      <c r="G71" s="286" t="s">
        <v>121</v>
      </c>
      <c r="H71" s="286" t="s">
        <v>185</v>
      </c>
      <c r="I71" s="286" t="s">
        <v>186</v>
      </c>
    </row>
    <row r="72" spans="1:9" ht="20.100000000000001" customHeight="1" x14ac:dyDescent="0.2">
      <c r="A72" s="272">
        <v>3</v>
      </c>
      <c r="B72" s="280" t="s">
        <v>973</v>
      </c>
      <c r="C72" s="282" t="s">
        <v>991</v>
      </c>
      <c r="D72" s="281" t="s">
        <v>992</v>
      </c>
      <c r="E72" s="292"/>
      <c r="F72" s="292"/>
      <c r="G72" s="281" t="s">
        <v>993</v>
      </c>
      <c r="H72" s="281" t="s">
        <v>993</v>
      </c>
      <c r="I72" s="282" t="s">
        <v>235</v>
      </c>
    </row>
    <row r="73" spans="1:9" ht="20.100000000000001" customHeight="1" x14ac:dyDescent="0.2">
      <c r="A73" s="272">
        <v>4</v>
      </c>
      <c r="B73" s="280" t="s">
        <v>246</v>
      </c>
      <c r="C73" s="280">
        <f>data!Q59</f>
        <v>36897</v>
      </c>
      <c r="D73" s="288">
        <f>data!R59</f>
        <v>187173</v>
      </c>
      <c r="E73" s="292"/>
      <c r="F73" s="292"/>
      <c r="G73" s="280">
        <f>data!U59</f>
        <v>249460</v>
      </c>
      <c r="H73" s="280">
        <f>data!V59</f>
        <v>0</v>
      </c>
      <c r="I73" s="280">
        <f>data!W59</f>
        <v>2448</v>
      </c>
    </row>
    <row r="74" spans="1:9" ht="20.100000000000001" customHeight="1" x14ac:dyDescent="0.2">
      <c r="A74" s="272">
        <v>5</v>
      </c>
      <c r="B74" s="280" t="s">
        <v>247</v>
      </c>
      <c r="C74" s="287">
        <f>data!Q60</f>
        <v>5.0999999999999996</v>
      </c>
      <c r="D74" s="287">
        <f>data!R60</f>
        <v>23.02</v>
      </c>
      <c r="E74" s="287">
        <f>data!S60</f>
        <v>10.47</v>
      </c>
      <c r="F74" s="287">
        <f>data!T60</f>
        <v>0</v>
      </c>
      <c r="G74" s="287">
        <f>data!U60</f>
        <v>24.9</v>
      </c>
      <c r="H74" s="287">
        <f>data!V60</f>
        <v>0</v>
      </c>
      <c r="I74" s="287">
        <f>data!W60</f>
        <v>1.5</v>
      </c>
    </row>
    <row r="75" spans="1:9" ht="20.100000000000001" customHeight="1" x14ac:dyDescent="0.2">
      <c r="A75" s="272">
        <v>6</v>
      </c>
      <c r="B75" s="280" t="s">
        <v>248</v>
      </c>
      <c r="C75" s="280">
        <f>data!Q61</f>
        <v>641193</v>
      </c>
      <c r="D75" s="280">
        <f>data!R61</f>
        <v>1261905</v>
      </c>
      <c r="E75" s="280">
        <f>data!S61</f>
        <v>175696</v>
      </c>
      <c r="F75" s="280">
        <f>data!T61</f>
        <v>0</v>
      </c>
      <c r="G75" s="280">
        <f>data!U61</f>
        <v>1865091</v>
      </c>
      <c r="H75" s="280">
        <f>data!V61</f>
        <v>0</v>
      </c>
      <c r="I75" s="280">
        <f>data!W61</f>
        <v>160110</v>
      </c>
    </row>
    <row r="76" spans="1:9" ht="20.100000000000001" customHeight="1" x14ac:dyDescent="0.2">
      <c r="A76" s="272">
        <v>7</v>
      </c>
      <c r="B76" s="280" t="s">
        <v>9</v>
      </c>
      <c r="C76" s="280">
        <f>data!Q62</f>
        <v>141106</v>
      </c>
      <c r="D76" s="280">
        <f>data!R62</f>
        <v>277704</v>
      </c>
      <c r="E76" s="280">
        <f>data!S62</f>
        <v>38665</v>
      </c>
      <c r="F76" s="280">
        <f>data!T62</f>
        <v>0</v>
      </c>
      <c r="G76" s="280">
        <f>data!U62</f>
        <v>410445</v>
      </c>
      <c r="H76" s="280">
        <f>data!V62</f>
        <v>0</v>
      </c>
      <c r="I76" s="280">
        <f>data!W62</f>
        <v>35235</v>
      </c>
    </row>
    <row r="77" spans="1:9" ht="20.100000000000001" customHeight="1" x14ac:dyDescent="0.2">
      <c r="A77" s="272">
        <v>8</v>
      </c>
      <c r="B77" s="280" t="s">
        <v>249</v>
      </c>
      <c r="C77" s="280">
        <f>data!Q63</f>
        <v>0</v>
      </c>
      <c r="D77" s="280">
        <f>data!R63</f>
        <v>0</v>
      </c>
      <c r="E77" s="280">
        <f>data!S63</f>
        <v>16302</v>
      </c>
      <c r="F77" s="280">
        <f>data!T63</f>
        <v>0</v>
      </c>
      <c r="G77" s="280">
        <f>data!U63</f>
        <v>360400</v>
      </c>
      <c r="H77" s="280">
        <f>data!V63</f>
        <v>0</v>
      </c>
      <c r="I77" s="280">
        <f>data!W63</f>
        <v>50423</v>
      </c>
    </row>
    <row r="78" spans="1:9" ht="20.100000000000001" customHeight="1" x14ac:dyDescent="0.2">
      <c r="A78" s="272">
        <v>9</v>
      </c>
      <c r="B78" s="280" t="s">
        <v>250</v>
      </c>
      <c r="C78" s="280">
        <f>data!Q64</f>
        <v>35861</v>
      </c>
      <c r="D78" s="280">
        <f>data!R64</f>
        <v>79722</v>
      </c>
      <c r="E78" s="280">
        <f>data!S64</f>
        <v>3522620</v>
      </c>
      <c r="F78" s="280">
        <f>data!T64</f>
        <v>0</v>
      </c>
      <c r="G78" s="280">
        <f>data!U64</f>
        <v>2349575</v>
      </c>
      <c r="H78" s="280">
        <f>data!V64</f>
        <v>0</v>
      </c>
      <c r="I78" s="280">
        <f>data!W64</f>
        <v>23468</v>
      </c>
    </row>
    <row r="79" spans="1:9" ht="20.100000000000001" customHeight="1" x14ac:dyDescent="0.2">
      <c r="A79" s="272">
        <v>10</v>
      </c>
      <c r="B79" s="280" t="s">
        <v>497</v>
      </c>
      <c r="C79" s="280">
        <f>data!Q65</f>
        <v>0</v>
      </c>
      <c r="D79" s="280">
        <f>data!R65</f>
        <v>0</v>
      </c>
      <c r="E79" s="280">
        <f>data!S65</f>
        <v>3456</v>
      </c>
      <c r="F79" s="280">
        <f>data!T65</f>
        <v>0</v>
      </c>
      <c r="G79" s="280">
        <f>data!U65</f>
        <v>2056</v>
      </c>
      <c r="H79" s="280">
        <f>data!V65</f>
        <v>0</v>
      </c>
      <c r="I79" s="280">
        <f>data!W65</f>
        <v>0</v>
      </c>
    </row>
    <row r="80" spans="1:9" ht="20.100000000000001" customHeight="1" x14ac:dyDescent="0.2">
      <c r="A80" s="272">
        <v>11</v>
      </c>
      <c r="B80" s="280" t="s">
        <v>498</v>
      </c>
      <c r="C80" s="280">
        <f>data!Q66</f>
        <v>0</v>
      </c>
      <c r="D80" s="280">
        <f>data!R66</f>
        <v>5478</v>
      </c>
      <c r="E80" s="280">
        <f>data!S66</f>
        <v>312</v>
      </c>
      <c r="F80" s="280">
        <f>data!T66</f>
        <v>0</v>
      </c>
      <c r="G80" s="280">
        <f>data!U66</f>
        <v>1702743</v>
      </c>
      <c r="H80" s="280">
        <f>data!V66</f>
        <v>0</v>
      </c>
      <c r="I80" s="280">
        <f>data!W66</f>
        <v>43805</v>
      </c>
    </row>
    <row r="81" spans="1:9" ht="20.100000000000001" customHeight="1" x14ac:dyDescent="0.2">
      <c r="A81" s="272">
        <v>12</v>
      </c>
      <c r="B81" s="280" t="s">
        <v>11</v>
      </c>
      <c r="C81" s="280">
        <f>data!Q67</f>
        <v>19753</v>
      </c>
      <c r="D81" s="280">
        <f>data!R67</f>
        <v>4561</v>
      </c>
      <c r="E81" s="280">
        <f>data!S67</f>
        <v>107585</v>
      </c>
      <c r="F81" s="280">
        <f>data!T67</f>
        <v>0</v>
      </c>
      <c r="G81" s="280">
        <f>data!U67</f>
        <v>132034</v>
      </c>
      <c r="H81" s="280">
        <f>data!V67</f>
        <v>0</v>
      </c>
      <c r="I81" s="280">
        <f>data!W67</f>
        <v>14723</v>
      </c>
    </row>
    <row r="82" spans="1:9" ht="20.100000000000001" customHeight="1" x14ac:dyDescent="0.2">
      <c r="A82" s="272">
        <v>13</v>
      </c>
      <c r="B82" s="280" t="s">
        <v>974</v>
      </c>
      <c r="C82" s="280">
        <f>data!Q68</f>
        <v>0</v>
      </c>
      <c r="D82" s="280">
        <f>data!R68</f>
        <v>2071</v>
      </c>
      <c r="E82" s="280">
        <f>data!S68</f>
        <v>4379</v>
      </c>
      <c r="F82" s="280">
        <f>data!T68</f>
        <v>0</v>
      </c>
      <c r="G82" s="280">
        <f>data!U68</f>
        <v>76763</v>
      </c>
      <c r="H82" s="280">
        <f>data!V68</f>
        <v>0</v>
      </c>
      <c r="I82" s="280">
        <f>data!W68</f>
        <v>13715</v>
      </c>
    </row>
    <row r="83" spans="1:9" ht="20.100000000000001" customHeight="1" x14ac:dyDescent="0.2">
      <c r="A83" s="272">
        <v>14</v>
      </c>
      <c r="B83" s="280" t="s">
        <v>975</v>
      </c>
      <c r="C83" s="280">
        <f>data!Q69</f>
        <v>0</v>
      </c>
      <c r="D83" s="280">
        <f>data!R69</f>
        <v>44778</v>
      </c>
      <c r="E83" s="280">
        <f>data!S69</f>
        <v>87822</v>
      </c>
      <c r="F83" s="280">
        <f>data!T69</f>
        <v>0</v>
      </c>
      <c r="G83" s="280">
        <f>data!U69</f>
        <v>165248</v>
      </c>
      <c r="H83" s="280">
        <f>data!V69</f>
        <v>0</v>
      </c>
      <c r="I83" s="280">
        <f>data!W69</f>
        <v>40267</v>
      </c>
    </row>
    <row r="84" spans="1:9" ht="20.100000000000001" customHeight="1" x14ac:dyDescent="0.2">
      <c r="A84" s="272">
        <v>15</v>
      </c>
      <c r="B84" s="280" t="s">
        <v>269</v>
      </c>
      <c r="C84" s="280">
        <f>data!Q84</f>
        <v>0</v>
      </c>
      <c r="D84" s="280">
        <f>data!R84</f>
        <v>0</v>
      </c>
      <c r="E84" s="280">
        <f>data!S84</f>
        <v>0</v>
      </c>
      <c r="F84" s="280">
        <f>data!T84</f>
        <v>0</v>
      </c>
      <c r="G84" s="280">
        <f>data!U84</f>
        <v>0</v>
      </c>
      <c r="H84" s="280">
        <f>data!V84</f>
        <v>0</v>
      </c>
      <c r="I84" s="280">
        <f>data!W84</f>
        <v>0</v>
      </c>
    </row>
    <row r="85" spans="1:9" ht="20.100000000000001" customHeight="1" x14ac:dyDescent="0.2">
      <c r="A85" s="272">
        <v>16</v>
      </c>
      <c r="B85" s="288" t="s">
        <v>976</v>
      </c>
      <c r="C85" s="280">
        <f>data!Q85</f>
        <v>837913</v>
      </c>
      <c r="D85" s="280">
        <f>data!R85</f>
        <v>1676219</v>
      </c>
      <c r="E85" s="280">
        <f>data!S85</f>
        <v>3956837</v>
      </c>
      <c r="F85" s="280">
        <f>data!T85</f>
        <v>0</v>
      </c>
      <c r="G85" s="280">
        <f>data!U85</f>
        <v>7064355</v>
      </c>
      <c r="H85" s="280">
        <f>data!V85</f>
        <v>0</v>
      </c>
      <c r="I85" s="280">
        <f>data!W85</f>
        <v>381746</v>
      </c>
    </row>
    <row r="86" spans="1:9" ht="20.100000000000001" customHeight="1" x14ac:dyDescent="0.2">
      <c r="A86" s="272">
        <v>17</v>
      </c>
      <c r="B86" s="280" t="s">
        <v>271</v>
      </c>
      <c r="C86" s="290"/>
      <c r="D86" s="290"/>
      <c r="E86" s="290"/>
      <c r="F86" s="290"/>
      <c r="G86" s="290"/>
      <c r="H86" s="290"/>
      <c r="I86" s="290"/>
    </row>
    <row r="87" spans="1:9" ht="20.100000000000001" customHeight="1" x14ac:dyDescent="0.2">
      <c r="A87" s="272">
        <v>18</v>
      </c>
      <c r="B87" s="280" t="s">
        <v>977</v>
      </c>
      <c r="C87" s="288">
        <f>+data!M682</f>
        <v>573414</v>
      </c>
      <c r="D87" s="288">
        <f>+data!M683</f>
        <v>1040329</v>
      </c>
      <c r="E87" s="288">
        <f>+data!M684</f>
        <v>554060</v>
      </c>
      <c r="F87" s="288">
        <f>+data!M685</f>
        <v>0</v>
      </c>
      <c r="G87" s="288">
        <f>+data!M686</f>
        <v>1682733</v>
      </c>
      <c r="H87" s="288">
        <f>+data!M687</f>
        <v>0</v>
      </c>
      <c r="I87" s="288">
        <f>+data!M688</f>
        <v>283845</v>
      </c>
    </row>
    <row r="88" spans="1:9" ht="20.100000000000001" customHeight="1" x14ac:dyDescent="0.2">
      <c r="A88" s="272">
        <v>19</v>
      </c>
      <c r="B88" s="288" t="s">
        <v>978</v>
      </c>
      <c r="C88" s="280">
        <f>data!Q87</f>
        <v>458317</v>
      </c>
      <c r="D88" s="280">
        <f>data!R87</f>
        <v>2390611</v>
      </c>
      <c r="E88" s="280">
        <f>data!S87</f>
        <v>3775</v>
      </c>
      <c r="F88" s="280">
        <f>data!T87</f>
        <v>0</v>
      </c>
      <c r="G88" s="280">
        <f>data!U87</f>
        <v>2185967</v>
      </c>
      <c r="H88" s="280">
        <f>data!V87</f>
        <v>0</v>
      </c>
      <c r="I88" s="280">
        <f>data!W87</f>
        <v>339763</v>
      </c>
    </row>
    <row r="89" spans="1:9" ht="20.100000000000001" customHeight="1" x14ac:dyDescent="0.2">
      <c r="A89" s="272">
        <v>20</v>
      </c>
      <c r="B89" s="288" t="s">
        <v>979</v>
      </c>
      <c r="C89" s="280">
        <f>data!Q88</f>
        <v>5010471</v>
      </c>
      <c r="D89" s="280">
        <f>data!R88</f>
        <v>9120346</v>
      </c>
      <c r="E89" s="280">
        <f>data!S88</f>
        <v>546620</v>
      </c>
      <c r="F89" s="280">
        <f>data!T88</f>
        <v>0</v>
      </c>
      <c r="G89" s="280">
        <f>data!U88</f>
        <v>21375265</v>
      </c>
      <c r="H89" s="280">
        <f>data!V88</f>
        <v>0</v>
      </c>
      <c r="I89" s="280">
        <f>data!W88</f>
        <v>6006226</v>
      </c>
    </row>
    <row r="90" spans="1:9" ht="20.100000000000001" customHeight="1" x14ac:dyDescent="0.2">
      <c r="A90" s="272">
        <v>21</v>
      </c>
      <c r="B90" s="288" t="s">
        <v>980</v>
      </c>
      <c r="C90" s="280">
        <f>data!Q89</f>
        <v>5468788</v>
      </c>
      <c r="D90" s="280">
        <f>data!R89</f>
        <v>11510957</v>
      </c>
      <c r="E90" s="280">
        <f>data!S89</f>
        <v>550395</v>
      </c>
      <c r="F90" s="280">
        <f>data!T89</f>
        <v>0</v>
      </c>
      <c r="G90" s="280">
        <f>data!U89</f>
        <v>23561232</v>
      </c>
      <c r="H90" s="280">
        <f>data!V89</f>
        <v>0</v>
      </c>
      <c r="I90" s="280">
        <f>data!W89</f>
        <v>6345989</v>
      </c>
    </row>
    <row r="91" spans="1:9" ht="20.100000000000001" customHeight="1" x14ac:dyDescent="0.2">
      <c r="A91" s="272" t="s">
        <v>981</v>
      </c>
      <c r="B91" s="280"/>
      <c r="C91" s="290"/>
      <c r="D91" s="290"/>
      <c r="E91" s="290"/>
      <c r="F91" s="290"/>
      <c r="G91" s="290"/>
      <c r="H91" s="290"/>
      <c r="I91" s="290"/>
    </row>
    <row r="92" spans="1:9" ht="20.100000000000001" customHeight="1" x14ac:dyDescent="0.2">
      <c r="A92" s="272">
        <v>22</v>
      </c>
      <c r="B92" s="280" t="s">
        <v>982</v>
      </c>
      <c r="C92" s="280">
        <f>data!Q90</f>
        <v>589</v>
      </c>
      <c r="D92" s="280">
        <f>data!R90</f>
        <v>136</v>
      </c>
      <c r="E92" s="280">
        <f>data!S90</f>
        <v>3208</v>
      </c>
      <c r="F92" s="280">
        <f>data!T90</f>
        <v>0</v>
      </c>
      <c r="G92" s="280">
        <f>data!U90</f>
        <v>3937</v>
      </c>
      <c r="H92" s="280">
        <f>data!V90</f>
        <v>0</v>
      </c>
      <c r="I92" s="280">
        <f>data!W90</f>
        <v>439</v>
      </c>
    </row>
    <row r="93" spans="1:9" ht="20.100000000000001" customHeight="1" x14ac:dyDescent="0.2">
      <c r="A93" s="272">
        <v>23</v>
      </c>
      <c r="B93" s="280" t="s">
        <v>983</v>
      </c>
      <c r="C93" s="280">
        <f>data!Q91</f>
        <v>0</v>
      </c>
      <c r="D93" s="280">
        <f>data!R91</f>
        <v>0</v>
      </c>
      <c r="E93" s="280">
        <f>data!S91</f>
        <v>0</v>
      </c>
      <c r="F93" s="280">
        <f>data!T91</f>
        <v>0</v>
      </c>
      <c r="G93" s="280">
        <f>data!U91</f>
        <v>0</v>
      </c>
      <c r="H93" s="280">
        <f>data!V91</f>
        <v>0</v>
      </c>
      <c r="I93" s="280">
        <f>data!W91</f>
        <v>0</v>
      </c>
    </row>
    <row r="94" spans="1:9" ht="20.100000000000001" customHeight="1" x14ac:dyDescent="0.2">
      <c r="A94" s="272">
        <v>24</v>
      </c>
      <c r="B94" s="280" t="s">
        <v>984</v>
      </c>
      <c r="C94" s="280">
        <f>data!Q92</f>
        <v>107</v>
      </c>
      <c r="D94" s="280">
        <f>data!R92</f>
        <v>0</v>
      </c>
      <c r="E94" s="280">
        <f>data!S92</f>
        <v>30</v>
      </c>
      <c r="F94" s="280">
        <f>data!T92</f>
        <v>0</v>
      </c>
      <c r="G94" s="280">
        <f>data!U92</f>
        <v>105</v>
      </c>
      <c r="H94" s="280">
        <f>data!V92</f>
        <v>0</v>
      </c>
      <c r="I94" s="280">
        <f>data!W92</f>
        <v>10</v>
      </c>
    </row>
    <row r="95" spans="1:9" ht="20.100000000000001" customHeight="1" x14ac:dyDescent="0.2">
      <c r="A95" s="272">
        <v>25</v>
      </c>
      <c r="B95" s="280" t="s">
        <v>985</v>
      </c>
      <c r="C95" s="280">
        <f>data!Q93</f>
        <v>8069</v>
      </c>
      <c r="D95" s="280">
        <f>data!R93</f>
        <v>8381</v>
      </c>
      <c r="E95" s="280">
        <f>data!S93</f>
        <v>0</v>
      </c>
      <c r="F95" s="280">
        <f>data!T93</f>
        <v>0</v>
      </c>
      <c r="G95" s="280">
        <f>data!U93</f>
        <v>52</v>
      </c>
      <c r="H95" s="280">
        <f>data!V93</f>
        <v>0</v>
      </c>
      <c r="I95" s="280">
        <f>data!W93</f>
        <v>2193</v>
      </c>
    </row>
    <row r="96" spans="1:9" ht="20.100000000000001" customHeight="1" x14ac:dyDescent="0.2">
      <c r="A96" s="272">
        <v>26</v>
      </c>
      <c r="B96" s="280" t="s">
        <v>279</v>
      </c>
      <c r="C96" s="287">
        <f>data!Q94</f>
        <v>5.0999999999999996</v>
      </c>
      <c r="D96" s="287">
        <f>data!R94</f>
        <v>11.05</v>
      </c>
      <c r="E96" s="287">
        <f>data!S94</f>
        <v>0</v>
      </c>
      <c r="F96" s="287">
        <f>data!T94</f>
        <v>0</v>
      </c>
      <c r="G96" s="287">
        <f>data!U94</f>
        <v>0</v>
      </c>
      <c r="H96" s="287">
        <f>data!V94</f>
        <v>0</v>
      </c>
      <c r="I96" s="287">
        <f>data!W94</f>
        <v>0</v>
      </c>
    </row>
    <row r="97" spans="1:9" ht="20.100000000000001" customHeight="1" x14ac:dyDescent="0.2">
      <c r="A97" s="273" t="s">
        <v>969</v>
      </c>
      <c r="B97" s="274"/>
      <c r="C97" s="274"/>
      <c r="D97" s="274"/>
      <c r="E97" s="274"/>
      <c r="F97" s="274"/>
      <c r="G97" s="274"/>
      <c r="H97" s="274"/>
      <c r="I97" s="273"/>
    </row>
    <row r="98" spans="1:9" ht="20.100000000000001" customHeight="1" x14ac:dyDescent="0.2">
      <c r="D98" s="276"/>
      <c r="I98" s="277" t="s">
        <v>994</v>
      </c>
    </row>
    <row r="99" spans="1:9" ht="20.100000000000001" customHeight="1" x14ac:dyDescent="0.2">
      <c r="A99" s="276"/>
    </row>
    <row r="100" spans="1:9" ht="20.100000000000001" customHeight="1" x14ac:dyDescent="0.2">
      <c r="A100" s="278" t="str">
        <f>"Hospital: "&amp;data!C98</f>
        <v>Hospital: Jefferson County Public Hospital District No 2</v>
      </c>
      <c r="G100" s="279"/>
      <c r="H100" s="278" t="str">
        <f>"FYE: "&amp;data!C96</f>
        <v>FYE: 12/31/2022</v>
      </c>
    </row>
    <row r="101" spans="1:9" ht="20.100000000000001" customHeight="1" x14ac:dyDescent="0.2">
      <c r="A101" s="272">
        <v>1</v>
      </c>
      <c r="B101" s="280" t="s">
        <v>221</v>
      </c>
      <c r="C101" s="282" t="s">
        <v>42</v>
      </c>
      <c r="D101" s="282" t="s">
        <v>43</v>
      </c>
      <c r="E101" s="282" t="s">
        <v>44</v>
      </c>
      <c r="F101" s="282" t="s">
        <v>45</v>
      </c>
      <c r="G101" s="282" t="s">
        <v>46</v>
      </c>
      <c r="H101" s="282" t="s">
        <v>47</v>
      </c>
      <c r="I101" s="282" t="s">
        <v>48</v>
      </c>
    </row>
    <row r="102" spans="1:9" ht="20.100000000000001" customHeight="1" x14ac:dyDescent="0.2">
      <c r="A102" s="283">
        <v>2</v>
      </c>
      <c r="B102" s="284" t="s">
        <v>971</v>
      </c>
      <c r="C102" s="286" t="s">
        <v>995</v>
      </c>
      <c r="D102" s="286" t="s">
        <v>996</v>
      </c>
      <c r="E102" s="286" t="s">
        <v>996</v>
      </c>
      <c r="F102" s="286" t="s">
        <v>126</v>
      </c>
      <c r="G102" s="286"/>
      <c r="H102" s="286" t="s">
        <v>128</v>
      </c>
      <c r="I102" s="286"/>
    </row>
    <row r="103" spans="1:9" ht="20.100000000000001" customHeight="1" x14ac:dyDescent="0.2">
      <c r="A103" s="283"/>
      <c r="B103" s="284"/>
      <c r="C103" s="286" t="s">
        <v>187</v>
      </c>
      <c r="D103" s="286" t="s">
        <v>188</v>
      </c>
      <c r="E103" s="286" t="s">
        <v>189</v>
      </c>
      <c r="F103" s="286" t="s">
        <v>190</v>
      </c>
      <c r="G103" s="286" t="s">
        <v>127</v>
      </c>
      <c r="H103" s="286" t="s">
        <v>184</v>
      </c>
      <c r="I103" s="286" t="s">
        <v>129</v>
      </c>
    </row>
    <row r="104" spans="1:9" ht="20.100000000000001" customHeight="1" x14ac:dyDescent="0.2">
      <c r="A104" s="272">
        <v>3</v>
      </c>
      <c r="B104" s="280" t="s">
        <v>973</v>
      </c>
      <c r="C104" s="281" t="s">
        <v>236</v>
      </c>
      <c r="D104" s="282" t="s">
        <v>997</v>
      </c>
      <c r="E104" s="282" t="s">
        <v>997</v>
      </c>
      <c r="F104" s="282" t="s">
        <v>997</v>
      </c>
      <c r="G104" s="292"/>
      <c r="H104" s="282" t="s">
        <v>238</v>
      </c>
      <c r="I104" s="282" t="s">
        <v>239</v>
      </c>
    </row>
    <row r="105" spans="1:9" ht="20.100000000000001" customHeight="1" x14ac:dyDescent="0.2">
      <c r="A105" s="272">
        <v>4</v>
      </c>
      <c r="B105" s="280" t="s">
        <v>246</v>
      </c>
      <c r="C105" s="280">
        <f>data!X59</f>
        <v>7011</v>
      </c>
      <c r="D105" s="280">
        <f>data!Y59</f>
        <v>26867</v>
      </c>
      <c r="E105" s="280">
        <f>data!Z59</f>
        <v>0</v>
      </c>
      <c r="F105" s="280">
        <f>data!AA59</f>
        <v>483</v>
      </c>
      <c r="G105" s="292"/>
      <c r="H105" s="280">
        <f>data!AC59</f>
        <v>37190</v>
      </c>
      <c r="I105" s="280">
        <f>data!AD59</f>
        <v>0</v>
      </c>
    </row>
    <row r="106" spans="1:9" ht="20.100000000000001" customHeight="1" x14ac:dyDescent="0.2">
      <c r="A106" s="272">
        <v>5</v>
      </c>
      <c r="B106" s="280" t="s">
        <v>247</v>
      </c>
      <c r="C106" s="287">
        <f>data!X60</f>
        <v>4.29</v>
      </c>
      <c r="D106" s="287">
        <f>data!Y60</f>
        <v>16.45</v>
      </c>
      <c r="E106" s="287">
        <f>data!Z60</f>
        <v>0</v>
      </c>
      <c r="F106" s="287">
        <f>data!AA60</f>
        <v>0.3</v>
      </c>
      <c r="G106" s="287">
        <f>data!AB60</f>
        <v>12.18</v>
      </c>
      <c r="H106" s="287">
        <f>data!AC60</f>
        <v>16.809999999999999</v>
      </c>
      <c r="I106" s="287">
        <f>data!AD60</f>
        <v>0</v>
      </c>
    </row>
    <row r="107" spans="1:9" ht="20.100000000000001" customHeight="1" x14ac:dyDescent="0.2">
      <c r="A107" s="272">
        <v>6</v>
      </c>
      <c r="B107" s="280" t="s">
        <v>248</v>
      </c>
      <c r="C107" s="280">
        <f>data!X61</f>
        <v>458550</v>
      </c>
      <c r="D107" s="280">
        <f>data!Y61</f>
        <v>1757218</v>
      </c>
      <c r="E107" s="280">
        <f>data!Z61</f>
        <v>0</v>
      </c>
      <c r="F107" s="280">
        <f>data!AA61</f>
        <v>31590</v>
      </c>
      <c r="G107" s="280">
        <f>data!AB61</f>
        <v>1437217</v>
      </c>
      <c r="H107" s="280">
        <f>data!AC61</f>
        <v>1342313</v>
      </c>
      <c r="I107" s="280">
        <f>data!AD61</f>
        <v>0</v>
      </c>
    </row>
    <row r="108" spans="1:9" ht="20.100000000000001" customHeight="1" x14ac:dyDescent="0.2">
      <c r="A108" s="272">
        <v>7</v>
      </c>
      <c r="B108" s="280" t="s">
        <v>9</v>
      </c>
      <c r="C108" s="280">
        <f>data!X62</f>
        <v>100912</v>
      </c>
      <c r="D108" s="280">
        <f>data!Y62</f>
        <v>386706</v>
      </c>
      <c r="E108" s="280">
        <f>data!Z62</f>
        <v>0</v>
      </c>
      <c r="F108" s="280">
        <f>data!AA62</f>
        <v>6952</v>
      </c>
      <c r="G108" s="280">
        <f>data!AB62</f>
        <v>316284</v>
      </c>
      <c r="H108" s="280">
        <f>data!AC62</f>
        <v>295399</v>
      </c>
      <c r="I108" s="280">
        <f>data!AD62</f>
        <v>0</v>
      </c>
    </row>
    <row r="109" spans="1:9" ht="20.100000000000001" customHeight="1" x14ac:dyDescent="0.2">
      <c r="A109" s="272">
        <v>8</v>
      </c>
      <c r="B109" s="280" t="s">
        <v>249</v>
      </c>
      <c r="C109" s="280">
        <f>data!X63</f>
        <v>144411</v>
      </c>
      <c r="D109" s="280">
        <f>data!Y63</f>
        <v>553402</v>
      </c>
      <c r="E109" s="280">
        <f>data!Z63</f>
        <v>0</v>
      </c>
      <c r="F109" s="280">
        <f>data!AA63</f>
        <v>9949</v>
      </c>
      <c r="G109" s="280">
        <f>data!AB63</f>
        <v>769834</v>
      </c>
      <c r="H109" s="280">
        <f>data!AC63</f>
        <v>419233</v>
      </c>
      <c r="I109" s="280">
        <f>data!AD63</f>
        <v>0</v>
      </c>
    </row>
    <row r="110" spans="1:9" ht="20.100000000000001" customHeight="1" x14ac:dyDescent="0.2">
      <c r="A110" s="272">
        <v>9</v>
      </c>
      <c r="B110" s="280" t="s">
        <v>250</v>
      </c>
      <c r="C110" s="280">
        <f>data!X64</f>
        <v>67211</v>
      </c>
      <c r="D110" s="280">
        <f>data!Y64</f>
        <v>257562</v>
      </c>
      <c r="E110" s="280">
        <f>data!Z64</f>
        <v>0</v>
      </c>
      <c r="F110" s="280">
        <f>data!AA64</f>
        <v>4630</v>
      </c>
      <c r="G110" s="280">
        <f>data!AB64</f>
        <v>19824455</v>
      </c>
      <c r="H110" s="280">
        <f>data!AC64</f>
        <v>112110</v>
      </c>
      <c r="I110" s="280">
        <f>data!AD64</f>
        <v>0</v>
      </c>
    </row>
    <row r="111" spans="1:9" ht="20.100000000000001" customHeight="1" x14ac:dyDescent="0.2">
      <c r="A111" s="272">
        <v>10</v>
      </c>
      <c r="B111" s="280" t="s">
        <v>497</v>
      </c>
      <c r="C111" s="280">
        <f>data!X65</f>
        <v>0</v>
      </c>
      <c r="D111" s="280">
        <f>data!Y65</f>
        <v>0</v>
      </c>
      <c r="E111" s="280">
        <f>data!Z65</f>
        <v>0</v>
      </c>
      <c r="F111" s="280">
        <f>data!AA65</f>
        <v>0</v>
      </c>
      <c r="G111" s="280">
        <f>data!AB65</f>
        <v>10764</v>
      </c>
      <c r="H111" s="280">
        <f>data!AC65</f>
        <v>75</v>
      </c>
      <c r="I111" s="280">
        <f>data!AD65</f>
        <v>0</v>
      </c>
    </row>
    <row r="112" spans="1:9" ht="20.100000000000001" customHeight="1" x14ac:dyDescent="0.2">
      <c r="A112" s="272">
        <v>11</v>
      </c>
      <c r="B112" s="280" t="s">
        <v>498</v>
      </c>
      <c r="C112" s="280">
        <f>data!X66</f>
        <v>125458</v>
      </c>
      <c r="D112" s="280">
        <f>data!Y66</f>
        <v>480769</v>
      </c>
      <c r="E112" s="280">
        <f>data!Z66</f>
        <v>0</v>
      </c>
      <c r="F112" s="280">
        <f>data!AA66</f>
        <v>8643</v>
      </c>
      <c r="G112" s="280">
        <f>data!AB66</f>
        <v>175850</v>
      </c>
      <c r="H112" s="280">
        <f>data!AC66</f>
        <v>4419</v>
      </c>
      <c r="I112" s="280">
        <f>data!AD66</f>
        <v>0</v>
      </c>
    </row>
    <row r="113" spans="1:9" ht="20.100000000000001" customHeight="1" x14ac:dyDescent="0.2">
      <c r="A113" s="272">
        <v>12</v>
      </c>
      <c r="B113" s="280" t="s">
        <v>11</v>
      </c>
      <c r="C113" s="280">
        <f>data!X67</f>
        <v>42189</v>
      </c>
      <c r="D113" s="280">
        <f>data!Y67</f>
        <v>161680</v>
      </c>
      <c r="E113" s="280">
        <f>data!Z67</f>
        <v>0</v>
      </c>
      <c r="F113" s="280">
        <f>data!AA67</f>
        <v>2918</v>
      </c>
      <c r="G113" s="280">
        <f>data!AB67</f>
        <v>50540</v>
      </c>
      <c r="H113" s="280">
        <f>data!AC67</f>
        <v>128110</v>
      </c>
      <c r="I113" s="280">
        <f>data!AD67</f>
        <v>0</v>
      </c>
    </row>
    <row r="114" spans="1:9" ht="20.100000000000001" customHeight="1" x14ac:dyDescent="0.2">
      <c r="A114" s="272">
        <v>13</v>
      </c>
      <c r="B114" s="280" t="s">
        <v>974</v>
      </c>
      <c r="C114" s="280">
        <f>data!X68</f>
        <v>39279</v>
      </c>
      <c r="D114" s="280">
        <f>data!Y68</f>
        <v>150524</v>
      </c>
      <c r="E114" s="280">
        <f>data!Z68</f>
        <v>0</v>
      </c>
      <c r="F114" s="280">
        <f>data!AA68</f>
        <v>2706</v>
      </c>
      <c r="G114" s="280">
        <f>data!AB68</f>
        <v>24984</v>
      </c>
      <c r="H114" s="280">
        <f>data!AC68</f>
        <v>37963</v>
      </c>
      <c r="I114" s="280">
        <f>data!AD68</f>
        <v>0</v>
      </c>
    </row>
    <row r="115" spans="1:9" ht="20.100000000000001" customHeight="1" x14ac:dyDescent="0.2">
      <c r="A115" s="272">
        <v>14</v>
      </c>
      <c r="B115" s="280" t="s">
        <v>975</v>
      </c>
      <c r="C115" s="280">
        <f>data!X69</f>
        <v>115324</v>
      </c>
      <c r="D115" s="280">
        <f>data!Y69</f>
        <v>441935</v>
      </c>
      <c r="E115" s="280">
        <f>data!Z69</f>
        <v>0</v>
      </c>
      <c r="F115" s="280">
        <f>data!AA69</f>
        <v>7945</v>
      </c>
      <c r="G115" s="280">
        <f>data!AB69</f>
        <v>102761</v>
      </c>
      <c r="H115" s="280">
        <f>data!AC69</f>
        <v>47677</v>
      </c>
      <c r="I115" s="280">
        <f>data!AD69</f>
        <v>0</v>
      </c>
    </row>
    <row r="116" spans="1:9" ht="20.100000000000001" customHeight="1" x14ac:dyDescent="0.2">
      <c r="A116" s="272">
        <v>15</v>
      </c>
      <c r="B116" s="280" t="s">
        <v>269</v>
      </c>
      <c r="C116" s="280">
        <f>-data!X84</f>
        <v>0</v>
      </c>
      <c r="D116" s="280">
        <f>-data!Y84</f>
        <v>0</v>
      </c>
      <c r="E116" s="280">
        <f>-data!Z84</f>
        <v>0</v>
      </c>
      <c r="F116" s="280">
        <f>-data!AA84</f>
        <v>0</v>
      </c>
      <c r="G116" s="280">
        <f>-data!AB84</f>
        <v>0</v>
      </c>
      <c r="H116" s="280">
        <f>-data!AC84</f>
        <v>0</v>
      </c>
      <c r="I116" s="280">
        <f>-data!AD84</f>
        <v>0</v>
      </c>
    </row>
    <row r="117" spans="1:9" ht="20.100000000000001" customHeight="1" x14ac:dyDescent="0.2">
      <c r="A117" s="272">
        <v>16</v>
      </c>
      <c r="B117" s="288" t="s">
        <v>976</v>
      </c>
      <c r="C117" s="280">
        <f>data!X85</f>
        <v>1093334</v>
      </c>
      <c r="D117" s="280">
        <f>data!Y85</f>
        <v>4189796</v>
      </c>
      <c r="E117" s="280">
        <f>data!Z85</f>
        <v>0</v>
      </c>
      <c r="F117" s="280">
        <f>data!AA85</f>
        <v>75333</v>
      </c>
      <c r="G117" s="280">
        <f>data!AB85</f>
        <v>22712689</v>
      </c>
      <c r="H117" s="280">
        <f>data!AC85</f>
        <v>2387299</v>
      </c>
      <c r="I117" s="280">
        <f>data!AD85</f>
        <v>0</v>
      </c>
    </row>
    <row r="118" spans="1:9" ht="20.100000000000001" customHeight="1" x14ac:dyDescent="0.2">
      <c r="A118" s="272">
        <v>17</v>
      </c>
      <c r="B118" s="280" t="s">
        <v>271</v>
      </c>
      <c r="C118" s="290"/>
      <c r="D118" s="290"/>
      <c r="E118" s="290"/>
      <c r="F118" s="290"/>
      <c r="G118" s="290"/>
      <c r="H118" s="290"/>
      <c r="I118" s="290"/>
    </row>
    <row r="119" spans="1:9" ht="20.100000000000001" customHeight="1" x14ac:dyDescent="0.2">
      <c r="A119" s="272">
        <v>18</v>
      </c>
      <c r="B119" s="280" t="s">
        <v>977</v>
      </c>
      <c r="C119" s="288">
        <f>+data!M689</f>
        <v>837830</v>
      </c>
      <c r="D119" s="288">
        <f>+data!M690</f>
        <v>1327174</v>
      </c>
      <c r="E119" s="288">
        <f>+data!M691</f>
        <v>0</v>
      </c>
      <c r="F119" s="288">
        <f>+data!M692</f>
        <v>12406</v>
      </c>
      <c r="G119" s="288">
        <f>+data!M693</f>
        <v>4077663</v>
      </c>
      <c r="H119" s="288">
        <f>+data!M694</f>
        <v>774304</v>
      </c>
      <c r="I119" s="288">
        <f>+data!M695</f>
        <v>0</v>
      </c>
    </row>
    <row r="120" spans="1:9" ht="20.100000000000001" customHeight="1" x14ac:dyDescent="0.2">
      <c r="A120" s="272">
        <v>19</v>
      </c>
      <c r="B120" s="288" t="s">
        <v>978</v>
      </c>
      <c r="C120" s="280">
        <f>data!X87</f>
        <v>1454051</v>
      </c>
      <c r="D120" s="280">
        <f>data!Y87</f>
        <v>1408086</v>
      </c>
      <c r="E120" s="280">
        <f>data!Z87</f>
        <v>0</v>
      </c>
      <c r="F120" s="280">
        <f>data!AA87</f>
        <v>0</v>
      </c>
      <c r="G120" s="280">
        <f>data!AB87</f>
        <v>4247800</v>
      </c>
      <c r="H120" s="280">
        <f>data!AC87</f>
        <v>2333502</v>
      </c>
      <c r="I120" s="280">
        <f>data!AD87</f>
        <v>0</v>
      </c>
    </row>
    <row r="121" spans="1:9" ht="20.100000000000001" customHeight="1" x14ac:dyDescent="0.2">
      <c r="A121" s="272">
        <v>20</v>
      </c>
      <c r="B121" s="288" t="s">
        <v>979</v>
      </c>
      <c r="C121" s="280">
        <f>data!X88</f>
        <v>17427629</v>
      </c>
      <c r="D121" s="280">
        <f>data!Y88</f>
        <v>16904901</v>
      </c>
      <c r="E121" s="280">
        <f>data!Z88</f>
        <v>0</v>
      </c>
      <c r="F121" s="280">
        <f>data!AA88</f>
        <v>0</v>
      </c>
      <c r="G121" s="280">
        <f>data!AB88</f>
        <v>56016350</v>
      </c>
      <c r="H121" s="280">
        <f>data!AC88</f>
        <v>5010719</v>
      </c>
      <c r="I121" s="280">
        <f>data!AD88</f>
        <v>0</v>
      </c>
    </row>
    <row r="122" spans="1:9" ht="20.100000000000001" customHeight="1" x14ac:dyDescent="0.2">
      <c r="A122" s="272">
        <v>21</v>
      </c>
      <c r="B122" s="288" t="s">
        <v>980</v>
      </c>
      <c r="C122" s="280">
        <f>data!X89</f>
        <v>18881680</v>
      </c>
      <c r="D122" s="280">
        <f>data!Y89</f>
        <v>18312987</v>
      </c>
      <c r="E122" s="280">
        <f>data!Z89</f>
        <v>0</v>
      </c>
      <c r="F122" s="280">
        <f>data!AA89</f>
        <v>0</v>
      </c>
      <c r="G122" s="280">
        <f>data!AB89</f>
        <v>60264150</v>
      </c>
      <c r="H122" s="280">
        <f>data!AC89</f>
        <v>7344221</v>
      </c>
      <c r="I122" s="280">
        <f>data!AD89</f>
        <v>0</v>
      </c>
    </row>
    <row r="123" spans="1:9" ht="20.100000000000001" customHeight="1" x14ac:dyDescent="0.2">
      <c r="A123" s="272" t="s">
        <v>981</v>
      </c>
      <c r="B123" s="280"/>
      <c r="C123" s="290"/>
      <c r="D123" s="290"/>
      <c r="E123" s="290"/>
      <c r="F123" s="290"/>
      <c r="G123" s="290"/>
      <c r="H123" s="290"/>
      <c r="I123" s="290"/>
    </row>
    <row r="124" spans="1:9" ht="20.100000000000001" customHeight="1" x14ac:dyDescent="0.2">
      <c r="A124" s="272">
        <v>22</v>
      </c>
      <c r="B124" s="280" t="s">
        <v>982</v>
      </c>
      <c r="C124" s="280">
        <f>data!X90</f>
        <v>1258</v>
      </c>
      <c r="D124" s="280">
        <f>data!Y90</f>
        <v>4821</v>
      </c>
      <c r="E124" s="280">
        <f>data!Z90</f>
        <v>0</v>
      </c>
      <c r="F124" s="280">
        <f>data!AA90</f>
        <v>87</v>
      </c>
      <c r="G124" s="280">
        <f>data!AB90</f>
        <v>1507</v>
      </c>
      <c r="H124" s="280">
        <f>data!AC90</f>
        <v>3820</v>
      </c>
      <c r="I124" s="280">
        <f>data!AD90</f>
        <v>0</v>
      </c>
    </row>
    <row r="125" spans="1:9" ht="20.100000000000001" customHeight="1" x14ac:dyDescent="0.2">
      <c r="A125" s="272">
        <v>23</v>
      </c>
      <c r="B125" s="280" t="s">
        <v>983</v>
      </c>
      <c r="C125" s="280">
        <f>data!X91</f>
        <v>0</v>
      </c>
      <c r="D125" s="280">
        <f>data!Y91</f>
        <v>0</v>
      </c>
      <c r="E125" s="280">
        <f>data!Z91</f>
        <v>0</v>
      </c>
      <c r="F125" s="280">
        <f>data!AA91</f>
        <v>0</v>
      </c>
      <c r="G125" s="280">
        <f>data!AB91</f>
        <v>0</v>
      </c>
      <c r="H125" s="280">
        <f>data!AC91</f>
        <v>0</v>
      </c>
      <c r="I125" s="280">
        <f>data!AD91</f>
        <v>0</v>
      </c>
    </row>
    <row r="126" spans="1:9" ht="20.100000000000001" customHeight="1" x14ac:dyDescent="0.2">
      <c r="A126" s="272">
        <v>24</v>
      </c>
      <c r="B126" s="280" t="s">
        <v>984</v>
      </c>
      <c r="C126" s="280">
        <f>data!X92</f>
        <v>29</v>
      </c>
      <c r="D126" s="280">
        <f>data!Y92</f>
        <v>112</v>
      </c>
      <c r="E126" s="280">
        <f>data!Z92</f>
        <v>0</v>
      </c>
      <c r="F126" s="280">
        <f>data!AA92</f>
        <v>2</v>
      </c>
      <c r="G126" s="280">
        <f>data!AB92</f>
        <v>80</v>
      </c>
      <c r="H126" s="280">
        <f>data!AC92</f>
        <v>125</v>
      </c>
      <c r="I126" s="280">
        <f>data!AD92</f>
        <v>0</v>
      </c>
    </row>
    <row r="127" spans="1:9" ht="20.100000000000001" customHeight="1" x14ac:dyDescent="0.2">
      <c r="A127" s="272">
        <v>25</v>
      </c>
      <c r="B127" s="280" t="s">
        <v>985</v>
      </c>
      <c r="C127" s="280">
        <f>data!X93</f>
        <v>6282</v>
      </c>
      <c r="D127" s="280">
        <f>data!Y93</f>
        <v>24073</v>
      </c>
      <c r="E127" s="280">
        <f>data!Z93</f>
        <v>0</v>
      </c>
      <c r="F127" s="280">
        <f>data!AA93</f>
        <v>433</v>
      </c>
      <c r="G127" s="280">
        <f>data!AB93</f>
        <v>0</v>
      </c>
      <c r="H127" s="280">
        <f>data!AC93</f>
        <v>4915</v>
      </c>
      <c r="I127" s="280">
        <f>data!AD93</f>
        <v>0</v>
      </c>
    </row>
    <row r="128" spans="1:9" ht="20.100000000000001" customHeight="1" x14ac:dyDescent="0.2">
      <c r="A128" s="272">
        <v>26</v>
      </c>
      <c r="B128" s="280" t="s">
        <v>279</v>
      </c>
      <c r="C128" s="287">
        <f>data!X94</f>
        <v>0</v>
      </c>
      <c r="D128" s="287">
        <f>data!Y94</f>
        <v>0</v>
      </c>
      <c r="E128" s="287">
        <f>data!Z94</f>
        <v>0</v>
      </c>
      <c r="F128" s="287">
        <f>data!AA94</f>
        <v>0</v>
      </c>
      <c r="G128" s="287">
        <f>data!AB94</f>
        <v>0</v>
      </c>
      <c r="H128" s="287">
        <f>data!AC94</f>
        <v>0.39</v>
      </c>
      <c r="I128" s="287">
        <f>data!AD94</f>
        <v>0</v>
      </c>
    </row>
    <row r="129" spans="1:14" ht="20.100000000000001" customHeight="1" x14ac:dyDescent="0.2">
      <c r="A129" s="273" t="s">
        <v>969</v>
      </c>
      <c r="B129" s="274"/>
      <c r="C129" s="274"/>
      <c r="D129" s="274"/>
      <c r="E129" s="274"/>
      <c r="F129" s="274"/>
      <c r="G129" s="274"/>
      <c r="H129" s="274"/>
      <c r="I129" s="273"/>
    </row>
    <row r="130" spans="1:14" ht="20.100000000000001" customHeight="1" x14ac:dyDescent="0.2">
      <c r="D130" s="276"/>
      <c r="I130" s="277" t="s">
        <v>998</v>
      </c>
    </row>
    <row r="131" spans="1:14" ht="20.100000000000001" customHeight="1" x14ac:dyDescent="0.2">
      <c r="A131" s="276"/>
    </row>
    <row r="132" spans="1:14" ht="20.100000000000001" customHeight="1" x14ac:dyDescent="0.2">
      <c r="A132" s="278" t="str">
        <f>"Hospital: "&amp;data!C98</f>
        <v>Hospital: Jefferson County Public Hospital District No 2</v>
      </c>
      <c r="G132" s="279"/>
      <c r="H132" s="278" t="str">
        <f>"FYE: "&amp;data!C96</f>
        <v>FYE: 12/31/2022</v>
      </c>
    </row>
    <row r="133" spans="1:14" ht="20.100000000000001" customHeight="1" x14ac:dyDescent="0.2">
      <c r="A133" s="272">
        <v>1</v>
      </c>
      <c r="B133" s="280" t="s">
        <v>221</v>
      </c>
      <c r="C133" s="282" t="s">
        <v>49</v>
      </c>
      <c r="D133" s="282" t="s">
        <v>50</v>
      </c>
      <c r="E133" s="282" t="s">
        <v>51</v>
      </c>
      <c r="F133" s="282" t="s">
        <v>52</v>
      </c>
      <c r="G133" s="282" t="s">
        <v>53</v>
      </c>
      <c r="H133" s="282" t="s">
        <v>54</v>
      </c>
      <c r="I133" s="282" t="s">
        <v>55</v>
      </c>
    </row>
    <row r="134" spans="1:14" ht="20.100000000000001" customHeight="1" x14ac:dyDescent="0.2">
      <c r="A134" s="283">
        <v>2</v>
      </c>
      <c r="B134" s="284" t="s">
        <v>971</v>
      </c>
      <c r="C134" s="286" t="s">
        <v>107</v>
      </c>
      <c r="D134" s="286" t="s">
        <v>108</v>
      </c>
      <c r="E134" s="286" t="s">
        <v>130</v>
      </c>
      <c r="F134" s="286"/>
      <c r="G134" s="286" t="s">
        <v>999</v>
      </c>
      <c r="H134" s="286"/>
      <c r="I134" s="286" t="s">
        <v>134</v>
      </c>
    </row>
    <row r="135" spans="1:14" ht="20.100000000000001" customHeight="1" x14ac:dyDescent="0.2">
      <c r="A135" s="283"/>
      <c r="B135" s="284"/>
      <c r="C135" s="286" t="s">
        <v>184</v>
      </c>
      <c r="D135" s="286" t="s">
        <v>191</v>
      </c>
      <c r="E135" s="286" t="s">
        <v>183</v>
      </c>
      <c r="F135" s="286" t="s">
        <v>131</v>
      </c>
      <c r="G135" s="286" t="s">
        <v>192</v>
      </c>
      <c r="H135" s="286" t="s">
        <v>133</v>
      </c>
      <c r="I135" s="286" t="s">
        <v>184</v>
      </c>
    </row>
    <row r="136" spans="1:14" ht="20.100000000000001" customHeight="1" x14ac:dyDescent="0.2">
      <c r="A136" s="272">
        <v>3</v>
      </c>
      <c r="B136" s="280" t="s">
        <v>973</v>
      </c>
      <c r="C136" s="282" t="s">
        <v>238</v>
      </c>
      <c r="D136" s="282" t="s">
        <v>240</v>
      </c>
      <c r="E136" s="282" t="s">
        <v>240</v>
      </c>
      <c r="F136" s="282" t="s">
        <v>241</v>
      </c>
      <c r="G136" s="281" t="s">
        <v>1000</v>
      </c>
      <c r="H136" s="282" t="s">
        <v>240</v>
      </c>
      <c r="I136" s="282" t="s">
        <v>238</v>
      </c>
    </row>
    <row r="137" spans="1:14" ht="20.100000000000001" customHeight="1" x14ac:dyDescent="0.25">
      <c r="A137" s="272">
        <v>4</v>
      </c>
      <c r="B137" s="280" t="s">
        <v>246</v>
      </c>
      <c r="C137" s="280">
        <f>data!AE59</f>
        <v>94355</v>
      </c>
      <c r="D137" s="280">
        <f>data!AF59</f>
        <v>0</v>
      </c>
      <c r="E137" s="280">
        <f>data!AG59</f>
        <v>12941</v>
      </c>
      <c r="F137" s="280">
        <f>data!AH59</f>
        <v>0</v>
      </c>
      <c r="G137" s="280">
        <f>data!AI59</f>
        <v>0</v>
      </c>
      <c r="H137" s="280">
        <f>data!AJ59</f>
        <v>111252</v>
      </c>
      <c r="I137" s="280">
        <f>data!AK59</f>
        <v>0</v>
      </c>
      <c r="K137" s="291"/>
      <c r="L137" s="293"/>
      <c r="M137" s="293"/>
      <c r="N137" s="293"/>
    </row>
    <row r="138" spans="1:14" ht="20.100000000000001" customHeight="1" x14ac:dyDescent="0.2">
      <c r="A138" s="272">
        <v>5</v>
      </c>
      <c r="B138" s="280" t="s">
        <v>247</v>
      </c>
      <c r="C138" s="287">
        <f>data!AE60</f>
        <v>33.67</v>
      </c>
      <c r="D138" s="287">
        <f>data!AF60</f>
        <v>0</v>
      </c>
      <c r="E138" s="287">
        <f>data!AG60</f>
        <v>36.090000000000003</v>
      </c>
      <c r="F138" s="287">
        <f>data!AH60</f>
        <v>0</v>
      </c>
      <c r="G138" s="287">
        <f>data!AI60</f>
        <v>0</v>
      </c>
      <c r="H138" s="287">
        <f>data!AJ60</f>
        <v>223.98</v>
      </c>
      <c r="I138" s="287">
        <f>data!AK60</f>
        <v>0</v>
      </c>
    </row>
    <row r="139" spans="1:14" ht="20.100000000000001" customHeight="1" x14ac:dyDescent="0.2">
      <c r="A139" s="272">
        <v>6</v>
      </c>
      <c r="B139" s="280" t="s">
        <v>248</v>
      </c>
      <c r="C139" s="280">
        <f>data!AE61</f>
        <v>3148540</v>
      </c>
      <c r="D139" s="280">
        <f>data!AF61</f>
        <v>0</v>
      </c>
      <c r="E139" s="280">
        <f>data!AG61</f>
        <v>5248843</v>
      </c>
      <c r="F139" s="280">
        <f>data!AH61</f>
        <v>0</v>
      </c>
      <c r="G139" s="280">
        <f>data!AI61</f>
        <v>0</v>
      </c>
      <c r="H139" s="280">
        <f>data!AJ61</f>
        <v>25734150</v>
      </c>
      <c r="I139" s="280">
        <f>data!AK61</f>
        <v>0</v>
      </c>
    </row>
    <row r="140" spans="1:14" ht="20.100000000000001" customHeight="1" x14ac:dyDescent="0.2">
      <c r="A140" s="272">
        <v>7</v>
      </c>
      <c r="B140" s="280" t="s">
        <v>9</v>
      </c>
      <c r="C140" s="280">
        <f>data!AE62</f>
        <v>692890</v>
      </c>
      <c r="D140" s="280">
        <f>data!AF62</f>
        <v>0</v>
      </c>
      <c r="E140" s="280">
        <f>data!AG62</f>
        <v>1155098</v>
      </c>
      <c r="F140" s="280">
        <f>data!AH62</f>
        <v>0</v>
      </c>
      <c r="G140" s="280">
        <f>data!AI62</f>
        <v>0</v>
      </c>
      <c r="H140" s="280">
        <f>data!AJ62</f>
        <v>5663241</v>
      </c>
      <c r="I140" s="280">
        <f>data!AK62</f>
        <v>0</v>
      </c>
    </row>
    <row r="141" spans="1:14" ht="20.100000000000001" customHeight="1" x14ac:dyDescent="0.2">
      <c r="A141" s="272">
        <v>8</v>
      </c>
      <c r="B141" s="280" t="s">
        <v>249</v>
      </c>
      <c r="C141" s="280">
        <f>data!AE63</f>
        <v>-5500</v>
      </c>
      <c r="D141" s="280">
        <f>data!AF63</f>
        <v>0</v>
      </c>
      <c r="E141" s="280">
        <f>data!AG63</f>
        <v>390106</v>
      </c>
      <c r="F141" s="280">
        <f>data!AH63</f>
        <v>0</v>
      </c>
      <c r="G141" s="280">
        <f>data!AI63</f>
        <v>0</v>
      </c>
      <c r="H141" s="280">
        <f>data!AJ63</f>
        <v>1071816</v>
      </c>
      <c r="I141" s="280">
        <f>data!AK63</f>
        <v>0</v>
      </c>
    </row>
    <row r="142" spans="1:14" ht="20.100000000000001" customHeight="1" x14ac:dyDescent="0.2">
      <c r="A142" s="272">
        <v>9</v>
      </c>
      <c r="B142" s="280" t="s">
        <v>250</v>
      </c>
      <c r="C142" s="280">
        <f>data!AE64</f>
        <v>90697</v>
      </c>
      <c r="D142" s="280">
        <f>data!AF64</f>
        <v>0</v>
      </c>
      <c r="E142" s="280">
        <f>data!AG64</f>
        <v>318707</v>
      </c>
      <c r="F142" s="280">
        <f>data!AH64</f>
        <v>0</v>
      </c>
      <c r="G142" s="280">
        <f>data!AI64</f>
        <v>0</v>
      </c>
      <c r="H142" s="280">
        <f>data!AJ64</f>
        <v>1945692</v>
      </c>
      <c r="I142" s="280">
        <f>data!AK64</f>
        <v>0</v>
      </c>
    </row>
    <row r="143" spans="1:14" ht="20.100000000000001" customHeight="1" x14ac:dyDescent="0.2">
      <c r="A143" s="272">
        <v>10</v>
      </c>
      <c r="B143" s="280" t="s">
        <v>497</v>
      </c>
      <c r="C143" s="280">
        <f>data!AE65</f>
        <v>0</v>
      </c>
      <c r="D143" s="280">
        <f>data!AF65</f>
        <v>0</v>
      </c>
      <c r="E143" s="280">
        <f>data!AG65</f>
        <v>0</v>
      </c>
      <c r="F143" s="280">
        <f>data!AH65</f>
        <v>0</v>
      </c>
      <c r="G143" s="280">
        <f>data!AI65</f>
        <v>0</v>
      </c>
      <c r="H143" s="280">
        <f>data!AJ65</f>
        <v>127047</v>
      </c>
      <c r="I143" s="280">
        <f>data!AK65</f>
        <v>0</v>
      </c>
    </row>
    <row r="144" spans="1:14" ht="20.100000000000001" customHeight="1" x14ac:dyDescent="0.2">
      <c r="A144" s="272">
        <v>11</v>
      </c>
      <c r="B144" s="280" t="s">
        <v>498</v>
      </c>
      <c r="C144" s="280">
        <f>data!AE66</f>
        <v>6888</v>
      </c>
      <c r="D144" s="280">
        <f>data!AF66</f>
        <v>0</v>
      </c>
      <c r="E144" s="280">
        <f>data!AG66</f>
        <v>61809</v>
      </c>
      <c r="F144" s="280">
        <f>data!AH66</f>
        <v>0</v>
      </c>
      <c r="G144" s="280">
        <f>data!AI66</f>
        <v>0</v>
      </c>
      <c r="H144" s="280">
        <f>data!AJ66</f>
        <v>430702</v>
      </c>
      <c r="I144" s="280">
        <f>data!AK66</f>
        <v>0</v>
      </c>
    </row>
    <row r="145" spans="1:9" ht="20.100000000000001" customHeight="1" x14ac:dyDescent="0.2">
      <c r="A145" s="272">
        <v>12</v>
      </c>
      <c r="B145" s="280" t="s">
        <v>11</v>
      </c>
      <c r="C145" s="280">
        <f>data!AE67</f>
        <v>217585</v>
      </c>
      <c r="D145" s="280">
        <f>data!AF67</f>
        <v>0</v>
      </c>
      <c r="E145" s="280">
        <f>data!AG67</f>
        <v>212957</v>
      </c>
      <c r="F145" s="280">
        <f>data!AH67</f>
        <v>0</v>
      </c>
      <c r="G145" s="280">
        <f>data!AI67</f>
        <v>0</v>
      </c>
      <c r="H145" s="280">
        <f>data!AJ67</f>
        <v>1287905</v>
      </c>
      <c r="I145" s="280">
        <f>data!AK67</f>
        <v>0</v>
      </c>
    </row>
    <row r="146" spans="1:9" ht="20.100000000000001" customHeight="1" x14ac:dyDescent="0.2">
      <c r="A146" s="272">
        <v>13</v>
      </c>
      <c r="B146" s="280" t="s">
        <v>974</v>
      </c>
      <c r="C146" s="280">
        <f>data!AE68</f>
        <v>0</v>
      </c>
      <c r="D146" s="280">
        <f>data!AF68</f>
        <v>0</v>
      </c>
      <c r="E146" s="280">
        <f>data!AG68</f>
        <v>953</v>
      </c>
      <c r="F146" s="280">
        <f>data!AH68</f>
        <v>0</v>
      </c>
      <c r="G146" s="280">
        <f>data!AI68</f>
        <v>0</v>
      </c>
      <c r="H146" s="280">
        <f>data!AJ68</f>
        <v>27349</v>
      </c>
      <c r="I146" s="280">
        <f>data!AK68</f>
        <v>0</v>
      </c>
    </row>
    <row r="147" spans="1:9" ht="20.100000000000001" customHeight="1" x14ac:dyDescent="0.2">
      <c r="A147" s="272">
        <v>14</v>
      </c>
      <c r="B147" s="280" t="s">
        <v>975</v>
      </c>
      <c r="C147" s="280">
        <f>data!AE69</f>
        <v>26032</v>
      </c>
      <c r="D147" s="280">
        <f>data!AF69</f>
        <v>0</v>
      </c>
      <c r="E147" s="280">
        <f>data!AG69</f>
        <v>56474</v>
      </c>
      <c r="F147" s="280">
        <f>data!AH69</f>
        <v>0</v>
      </c>
      <c r="G147" s="280">
        <f>data!AI69</f>
        <v>0</v>
      </c>
      <c r="H147" s="280">
        <f>data!AJ69</f>
        <v>339753</v>
      </c>
      <c r="I147" s="280">
        <f>data!AK69</f>
        <v>0</v>
      </c>
    </row>
    <row r="148" spans="1:9" ht="20.100000000000001" customHeight="1" x14ac:dyDescent="0.2">
      <c r="A148" s="272">
        <v>15</v>
      </c>
      <c r="B148" s="280" t="s">
        <v>269</v>
      </c>
      <c r="C148" s="280">
        <f>-data!AE84</f>
        <v>0</v>
      </c>
      <c r="D148" s="280">
        <f>-data!AF84</f>
        <v>0</v>
      </c>
      <c r="E148" s="280">
        <f>-data!AG84</f>
        <v>0</v>
      </c>
      <c r="F148" s="280">
        <f>-data!AH84</f>
        <v>0</v>
      </c>
      <c r="G148" s="280">
        <f>-data!AI84</f>
        <v>0</v>
      </c>
      <c r="H148" s="280">
        <f>-data!AJ84</f>
        <v>0</v>
      </c>
      <c r="I148" s="280">
        <f>-data!AK84</f>
        <v>0</v>
      </c>
    </row>
    <row r="149" spans="1:9" ht="20.100000000000001" customHeight="1" x14ac:dyDescent="0.2">
      <c r="A149" s="272">
        <v>16</v>
      </c>
      <c r="B149" s="288" t="s">
        <v>976</v>
      </c>
      <c r="C149" s="280">
        <f>data!AE85</f>
        <v>4177132</v>
      </c>
      <c r="D149" s="280">
        <f>data!AF85</f>
        <v>0</v>
      </c>
      <c r="E149" s="280">
        <f>data!AG85</f>
        <v>7444947</v>
      </c>
      <c r="F149" s="280">
        <f>data!AH85</f>
        <v>0</v>
      </c>
      <c r="G149" s="280">
        <f>data!AI85</f>
        <v>0</v>
      </c>
      <c r="H149" s="280">
        <f>data!AJ85</f>
        <v>36627655</v>
      </c>
      <c r="I149" s="280">
        <f>data!AK85</f>
        <v>0</v>
      </c>
    </row>
    <row r="150" spans="1:9" ht="20.100000000000001" customHeight="1" x14ac:dyDescent="0.2">
      <c r="A150" s="272">
        <v>17</v>
      </c>
      <c r="B150" s="280" t="s">
        <v>271</v>
      </c>
      <c r="C150" s="290"/>
      <c r="D150" s="290"/>
      <c r="E150" s="290"/>
      <c r="F150" s="290"/>
      <c r="G150" s="290"/>
      <c r="H150" s="290"/>
      <c r="I150" s="290"/>
    </row>
    <row r="151" spans="1:9" ht="20.100000000000001" customHeight="1" x14ac:dyDescent="0.2">
      <c r="A151" s="272">
        <v>18</v>
      </c>
      <c r="B151" s="280" t="s">
        <v>977</v>
      </c>
      <c r="C151" s="288">
        <f>+data!M696</f>
        <v>1258403</v>
      </c>
      <c r="D151" s="288">
        <f>+data!M697</f>
        <v>0</v>
      </c>
      <c r="E151" s="288">
        <f>+data!M698</f>
        <v>3235636</v>
      </c>
      <c r="F151" s="288">
        <f>+data!M699</f>
        <v>0</v>
      </c>
      <c r="G151" s="288">
        <f>+data!M700</f>
        <v>0</v>
      </c>
      <c r="H151" s="288">
        <f>+data!M701</f>
        <v>7242332</v>
      </c>
      <c r="I151" s="288">
        <f>+data!M702</f>
        <v>0</v>
      </c>
    </row>
    <row r="152" spans="1:9" ht="20.100000000000001" customHeight="1" x14ac:dyDescent="0.2">
      <c r="A152" s="272">
        <v>19</v>
      </c>
      <c r="B152" s="288" t="s">
        <v>978</v>
      </c>
      <c r="C152" s="280">
        <f>data!AE87</f>
        <v>595538</v>
      </c>
      <c r="D152" s="280">
        <f>data!AF87</f>
        <v>0</v>
      </c>
      <c r="E152" s="280">
        <f>data!AG87</f>
        <v>1552035</v>
      </c>
      <c r="F152" s="280">
        <f>data!AH87</f>
        <v>0</v>
      </c>
      <c r="G152" s="280">
        <f>data!AI87</f>
        <v>0</v>
      </c>
      <c r="H152" s="280">
        <f>data!AJ87</f>
        <v>1689049</v>
      </c>
      <c r="I152" s="280">
        <f>data!AK87</f>
        <v>0</v>
      </c>
    </row>
    <row r="153" spans="1:9" ht="20.100000000000001" customHeight="1" x14ac:dyDescent="0.2">
      <c r="A153" s="272">
        <v>20</v>
      </c>
      <c r="B153" s="288" t="s">
        <v>979</v>
      </c>
      <c r="C153" s="280">
        <f>data!AE88</f>
        <v>10610018</v>
      </c>
      <c r="D153" s="280">
        <f>data!AF88</f>
        <v>0</v>
      </c>
      <c r="E153" s="280">
        <f>data!AG88</f>
        <v>39955851</v>
      </c>
      <c r="F153" s="280">
        <f>data!AH88</f>
        <v>0</v>
      </c>
      <c r="G153" s="280">
        <f>data!AI88</f>
        <v>0</v>
      </c>
      <c r="H153" s="280">
        <f>data!AJ88</f>
        <v>44505624</v>
      </c>
      <c r="I153" s="280">
        <f>data!AK88</f>
        <v>0</v>
      </c>
    </row>
    <row r="154" spans="1:9" ht="20.100000000000001" customHeight="1" x14ac:dyDescent="0.2">
      <c r="A154" s="272">
        <v>21</v>
      </c>
      <c r="B154" s="288" t="s">
        <v>980</v>
      </c>
      <c r="C154" s="280">
        <f>data!AE89</f>
        <v>11205556</v>
      </c>
      <c r="D154" s="280">
        <f>data!AF89</f>
        <v>0</v>
      </c>
      <c r="E154" s="280">
        <f>data!AG89</f>
        <v>41507886</v>
      </c>
      <c r="F154" s="280">
        <f>data!AH89</f>
        <v>0</v>
      </c>
      <c r="G154" s="280">
        <f>data!AI89</f>
        <v>0</v>
      </c>
      <c r="H154" s="280">
        <f>data!AJ89</f>
        <v>46194673</v>
      </c>
      <c r="I154" s="280">
        <f>data!AK89</f>
        <v>0</v>
      </c>
    </row>
    <row r="155" spans="1:9" ht="20.100000000000001" customHeight="1" x14ac:dyDescent="0.2">
      <c r="A155" s="272" t="s">
        <v>981</v>
      </c>
      <c r="B155" s="280"/>
      <c r="C155" s="290"/>
      <c r="D155" s="290"/>
      <c r="E155" s="290"/>
      <c r="F155" s="290"/>
      <c r="G155" s="290"/>
      <c r="H155" s="290"/>
      <c r="I155" s="290"/>
    </row>
    <row r="156" spans="1:9" ht="20.100000000000001" customHeight="1" x14ac:dyDescent="0.2">
      <c r="A156" s="272">
        <v>22</v>
      </c>
      <c r="B156" s="280" t="s">
        <v>982</v>
      </c>
      <c r="C156" s="280">
        <f>data!AE90</f>
        <v>6488</v>
      </c>
      <c r="D156" s="280">
        <f>data!AF90</f>
        <v>0</v>
      </c>
      <c r="E156" s="280">
        <f>data!AG90</f>
        <v>6350</v>
      </c>
      <c r="F156" s="280">
        <f>data!AH90</f>
        <v>0</v>
      </c>
      <c r="G156" s="280">
        <f>data!AI90</f>
        <v>0</v>
      </c>
      <c r="H156" s="280">
        <f>data!AJ90</f>
        <v>38403</v>
      </c>
      <c r="I156" s="280">
        <f>data!AK90</f>
        <v>0</v>
      </c>
    </row>
    <row r="157" spans="1:9" ht="20.100000000000001" customHeight="1" x14ac:dyDescent="0.2">
      <c r="A157" s="272">
        <v>23</v>
      </c>
      <c r="B157" s="280" t="s">
        <v>983</v>
      </c>
      <c r="C157" s="280">
        <f>data!AE91</f>
        <v>0</v>
      </c>
      <c r="D157" s="280">
        <f>data!AF91</f>
        <v>0</v>
      </c>
      <c r="E157" s="280">
        <f>data!AG91</f>
        <v>0</v>
      </c>
      <c r="F157" s="280">
        <f>data!AH91</f>
        <v>0</v>
      </c>
      <c r="G157" s="280">
        <f>data!AI91</f>
        <v>0</v>
      </c>
      <c r="H157" s="280">
        <f>data!AJ91</f>
        <v>0</v>
      </c>
      <c r="I157" s="280">
        <f>data!AK91</f>
        <v>0</v>
      </c>
    </row>
    <row r="158" spans="1:9" ht="20.100000000000001" customHeight="1" x14ac:dyDescent="0.2">
      <c r="A158" s="272">
        <v>24</v>
      </c>
      <c r="B158" s="280" t="s">
        <v>984</v>
      </c>
      <c r="C158" s="280">
        <f>data!AE92</f>
        <v>160</v>
      </c>
      <c r="D158" s="280">
        <f>data!AF92</f>
        <v>0</v>
      </c>
      <c r="E158" s="280">
        <f>data!AG92</f>
        <v>240</v>
      </c>
      <c r="F158" s="280">
        <f>data!AH92</f>
        <v>0</v>
      </c>
      <c r="G158" s="280">
        <f>data!AI92</f>
        <v>0</v>
      </c>
      <c r="H158" s="280">
        <f>data!AJ92</f>
        <v>433</v>
      </c>
      <c r="I158" s="280">
        <f>data!AK92</f>
        <v>0</v>
      </c>
    </row>
    <row r="159" spans="1:9" ht="20.100000000000001" customHeight="1" x14ac:dyDescent="0.2">
      <c r="A159" s="272">
        <v>25</v>
      </c>
      <c r="B159" s="280" t="s">
        <v>985</v>
      </c>
      <c r="C159" s="280">
        <f>data!AE93</f>
        <v>25647</v>
      </c>
      <c r="D159" s="280">
        <f>data!AF93</f>
        <v>0</v>
      </c>
      <c r="E159" s="280">
        <f>data!AG93</f>
        <v>63339</v>
      </c>
      <c r="F159" s="280">
        <f>data!AH93</f>
        <v>0</v>
      </c>
      <c r="G159" s="280">
        <f>data!AI93</f>
        <v>0</v>
      </c>
      <c r="H159" s="280">
        <f>data!AJ93</f>
        <v>25122</v>
      </c>
      <c r="I159" s="280">
        <f>data!AK93</f>
        <v>0</v>
      </c>
    </row>
    <row r="160" spans="1:9" ht="20.100000000000001" customHeight="1" x14ac:dyDescent="0.2">
      <c r="A160" s="272">
        <v>26</v>
      </c>
      <c r="B160" s="280" t="s">
        <v>279</v>
      </c>
      <c r="C160" s="287">
        <f>data!AE94</f>
        <v>0</v>
      </c>
      <c r="D160" s="287">
        <f>data!AF94</f>
        <v>0</v>
      </c>
      <c r="E160" s="287">
        <f>data!AG94</f>
        <v>15.57</v>
      </c>
      <c r="F160" s="287">
        <f>data!AH94</f>
        <v>0</v>
      </c>
      <c r="G160" s="287">
        <f>data!AI94</f>
        <v>0</v>
      </c>
      <c r="H160" s="287">
        <f>data!AJ94</f>
        <v>3.02</v>
      </c>
      <c r="I160" s="287">
        <f>data!AK94</f>
        <v>0</v>
      </c>
    </row>
    <row r="161" spans="1:9" ht="20.100000000000001" customHeight="1" x14ac:dyDescent="0.2">
      <c r="A161" s="273" t="s">
        <v>969</v>
      </c>
      <c r="B161" s="274"/>
      <c r="C161" s="274"/>
      <c r="D161" s="274"/>
      <c r="E161" s="274"/>
      <c r="F161" s="274"/>
      <c r="G161" s="274"/>
      <c r="H161" s="274"/>
      <c r="I161" s="273"/>
    </row>
    <row r="162" spans="1:9" ht="20.100000000000001" customHeight="1" x14ac:dyDescent="0.2">
      <c r="D162" s="276"/>
      <c r="I162" s="277" t="s">
        <v>1001</v>
      </c>
    </row>
    <row r="163" spans="1:9" ht="20.100000000000001" customHeight="1" x14ac:dyDescent="0.2">
      <c r="A163" s="276"/>
    </row>
    <row r="164" spans="1:9" ht="20.100000000000001" customHeight="1" x14ac:dyDescent="0.2">
      <c r="A164" s="278" t="str">
        <f>"Hospital: "&amp;data!C98</f>
        <v>Hospital: Jefferson County Public Hospital District No 2</v>
      </c>
      <c r="G164" s="279"/>
      <c r="H164" s="278" t="str">
        <f>"FYE: "&amp;data!C96</f>
        <v>FYE: 12/31/2022</v>
      </c>
    </row>
    <row r="165" spans="1:9" ht="20.100000000000001" customHeight="1" x14ac:dyDescent="0.2">
      <c r="A165" s="272">
        <v>1</v>
      </c>
      <c r="B165" s="280" t="s">
        <v>221</v>
      </c>
      <c r="C165" s="282" t="s">
        <v>56</v>
      </c>
      <c r="D165" s="282" t="s">
        <v>57</v>
      </c>
      <c r="E165" s="282" t="s">
        <v>58</v>
      </c>
      <c r="F165" s="282" t="s">
        <v>59</v>
      </c>
      <c r="G165" s="282" t="s">
        <v>60</v>
      </c>
      <c r="H165" s="282" t="s">
        <v>61</v>
      </c>
      <c r="I165" s="282" t="s">
        <v>62</v>
      </c>
    </row>
    <row r="166" spans="1:9" ht="20.100000000000001" customHeight="1" x14ac:dyDescent="0.2">
      <c r="A166" s="283">
        <v>2</v>
      </c>
      <c r="B166" s="284" t="s">
        <v>971</v>
      </c>
      <c r="C166" s="286" t="s">
        <v>135</v>
      </c>
      <c r="D166" s="286" t="s">
        <v>136</v>
      </c>
      <c r="E166" s="286" t="s">
        <v>122</v>
      </c>
      <c r="F166" s="286" t="s">
        <v>137</v>
      </c>
      <c r="G166" s="286" t="s">
        <v>1002</v>
      </c>
      <c r="H166" s="286" t="s">
        <v>139</v>
      </c>
      <c r="I166" s="286" t="s">
        <v>140</v>
      </c>
    </row>
    <row r="167" spans="1:9" ht="20.100000000000001" customHeight="1" x14ac:dyDescent="0.2">
      <c r="A167" s="283"/>
      <c r="B167" s="284"/>
      <c r="C167" s="286" t="s">
        <v>184</v>
      </c>
      <c r="D167" s="286" t="s">
        <v>184</v>
      </c>
      <c r="E167" s="286" t="s">
        <v>1003</v>
      </c>
      <c r="F167" s="286" t="s">
        <v>194</v>
      </c>
      <c r="G167" s="286" t="s">
        <v>133</v>
      </c>
      <c r="H167" s="285" t="s">
        <v>1004</v>
      </c>
      <c r="I167" s="286" t="s">
        <v>181</v>
      </c>
    </row>
    <row r="168" spans="1:9" ht="20.100000000000001" customHeight="1" x14ac:dyDescent="0.2">
      <c r="A168" s="272">
        <v>3</v>
      </c>
      <c r="B168" s="280" t="s">
        <v>973</v>
      </c>
      <c r="C168" s="282" t="s">
        <v>238</v>
      </c>
      <c r="D168" s="282" t="s">
        <v>238</v>
      </c>
      <c r="E168" s="282" t="s">
        <v>229</v>
      </c>
      <c r="F168" s="282" t="s">
        <v>239</v>
      </c>
      <c r="G168" s="282" t="s">
        <v>240</v>
      </c>
      <c r="H168" s="282" t="s">
        <v>241</v>
      </c>
      <c r="I168" s="282" t="s">
        <v>240</v>
      </c>
    </row>
    <row r="169" spans="1:9" ht="20.100000000000001" customHeight="1" x14ac:dyDescent="0.2">
      <c r="A169" s="272">
        <v>4</v>
      </c>
      <c r="B169" s="280" t="s">
        <v>246</v>
      </c>
      <c r="C169" s="280">
        <f>data!AL59</f>
        <v>0</v>
      </c>
      <c r="D169" s="280">
        <f>data!AM59</f>
        <v>0</v>
      </c>
      <c r="E169" s="280">
        <f>data!AN59</f>
        <v>0</v>
      </c>
      <c r="F169" s="280">
        <f>data!AO59</f>
        <v>9888</v>
      </c>
      <c r="G169" s="280">
        <f>data!AP59</f>
        <v>1920</v>
      </c>
      <c r="H169" s="280">
        <f>data!AQ59</f>
        <v>0</v>
      </c>
      <c r="I169" s="280">
        <f>data!AR59</f>
        <v>6986</v>
      </c>
    </row>
    <row r="170" spans="1:9" ht="20.100000000000001" customHeight="1" x14ac:dyDescent="0.2">
      <c r="A170" s="272">
        <v>5</v>
      </c>
      <c r="B170" s="280" t="s">
        <v>247</v>
      </c>
      <c r="C170" s="287">
        <f>data!AL60</f>
        <v>0</v>
      </c>
      <c r="D170" s="287">
        <f>data!AM60</f>
        <v>0</v>
      </c>
      <c r="E170" s="287">
        <f>data!AN60</f>
        <v>0</v>
      </c>
      <c r="F170" s="287">
        <f>data!AO60</f>
        <v>4.3499999999999996</v>
      </c>
      <c r="G170" s="287">
        <f>data!AP60</f>
        <v>1.72</v>
      </c>
      <c r="H170" s="287">
        <f>data!AQ60</f>
        <v>0</v>
      </c>
      <c r="I170" s="287">
        <f>data!AR60</f>
        <v>23.34</v>
      </c>
    </row>
    <row r="171" spans="1:9" ht="20.100000000000001" customHeight="1" x14ac:dyDescent="0.2">
      <c r="A171" s="272">
        <v>6</v>
      </c>
      <c r="B171" s="280" t="s">
        <v>248</v>
      </c>
      <c r="C171" s="280">
        <f>data!AL61</f>
        <v>0</v>
      </c>
      <c r="D171" s="280">
        <f>data!AM61</f>
        <v>0</v>
      </c>
      <c r="E171" s="280">
        <f>data!AN61</f>
        <v>0</v>
      </c>
      <c r="F171" s="280">
        <f>data!AO61</f>
        <v>563345</v>
      </c>
      <c r="G171" s="280">
        <f>data!AP61</f>
        <v>293189</v>
      </c>
      <c r="H171" s="280">
        <f>data!AQ61</f>
        <v>0</v>
      </c>
      <c r="I171" s="280">
        <f>data!AR61</f>
        <v>2504401</v>
      </c>
    </row>
    <row r="172" spans="1:9" ht="20.100000000000001" customHeight="1" x14ac:dyDescent="0.2">
      <c r="A172" s="272">
        <v>7</v>
      </c>
      <c r="B172" s="280" t="s">
        <v>9</v>
      </c>
      <c r="C172" s="280">
        <f>data!AL62</f>
        <v>0</v>
      </c>
      <c r="D172" s="280">
        <f>data!AM62</f>
        <v>0</v>
      </c>
      <c r="E172" s="280">
        <f>data!AN62</f>
        <v>0</v>
      </c>
      <c r="F172" s="280">
        <f>data!AO62</f>
        <v>123974</v>
      </c>
      <c r="G172" s="280">
        <f>data!AP62</f>
        <v>64521</v>
      </c>
      <c r="H172" s="280">
        <f>data!AQ62</f>
        <v>0</v>
      </c>
      <c r="I172" s="280">
        <f>data!AR62</f>
        <v>551136</v>
      </c>
    </row>
    <row r="173" spans="1:9" ht="20.100000000000001" customHeight="1" x14ac:dyDescent="0.2">
      <c r="A173" s="272">
        <v>8</v>
      </c>
      <c r="B173" s="280" t="s">
        <v>249</v>
      </c>
      <c r="C173" s="280">
        <f>data!AL63</f>
        <v>0</v>
      </c>
      <c r="D173" s="280">
        <f>data!AM63</f>
        <v>0</v>
      </c>
      <c r="E173" s="280">
        <f>data!AN63</f>
        <v>0</v>
      </c>
      <c r="F173" s="280">
        <f>data!AO63</f>
        <v>50788</v>
      </c>
      <c r="G173" s="280">
        <f>data!AP63</f>
        <v>447872</v>
      </c>
      <c r="H173" s="280">
        <f>data!AQ63</f>
        <v>0</v>
      </c>
      <c r="I173" s="280">
        <f>data!AR63</f>
        <v>38291</v>
      </c>
    </row>
    <row r="174" spans="1:9" ht="20.100000000000001" customHeight="1" x14ac:dyDescent="0.2">
      <c r="A174" s="272">
        <v>9</v>
      </c>
      <c r="B174" s="280" t="s">
        <v>250</v>
      </c>
      <c r="C174" s="280">
        <f>data!AL64</f>
        <v>0</v>
      </c>
      <c r="D174" s="280">
        <f>data!AM64</f>
        <v>0</v>
      </c>
      <c r="E174" s="280">
        <f>data!AN64</f>
        <v>0</v>
      </c>
      <c r="F174" s="280">
        <f>data!AO64</f>
        <v>27544</v>
      </c>
      <c r="G174" s="280">
        <f>data!AP64</f>
        <v>1187614</v>
      </c>
      <c r="H174" s="280">
        <f>data!AQ64</f>
        <v>0</v>
      </c>
      <c r="I174" s="280">
        <f>data!AR64</f>
        <v>70549</v>
      </c>
    </row>
    <row r="175" spans="1:9" ht="20.100000000000001" customHeight="1" x14ac:dyDescent="0.2">
      <c r="A175" s="272">
        <v>10</v>
      </c>
      <c r="B175" s="280" t="s">
        <v>497</v>
      </c>
      <c r="C175" s="280">
        <f>data!AL65</f>
        <v>0</v>
      </c>
      <c r="D175" s="280">
        <f>data!AM65</f>
        <v>0</v>
      </c>
      <c r="E175" s="280">
        <f>data!AN65</f>
        <v>0</v>
      </c>
      <c r="F175" s="280">
        <f>data!AO65</f>
        <v>0</v>
      </c>
      <c r="G175" s="280">
        <f>data!AP65</f>
        <v>10786</v>
      </c>
      <c r="H175" s="280">
        <f>data!AQ65</f>
        <v>0</v>
      </c>
      <c r="I175" s="280">
        <f>data!AR65</f>
        <v>1745</v>
      </c>
    </row>
    <row r="176" spans="1:9" ht="20.100000000000001" customHeight="1" x14ac:dyDescent="0.2">
      <c r="A176" s="272">
        <v>11</v>
      </c>
      <c r="B176" s="280" t="s">
        <v>498</v>
      </c>
      <c r="C176" s="280">
        <f>data!AL66</f>
        <v>0</v>
      </c>
      <c r="D176" s="280">
        <f>data!AM66</f>
        <v>0</v>
      </c>
      <c r="E176" s="280">
        <f>data!AN66</f>
        <v>0</v>
      </c>
      <c r="F176" s="280">
        <f>data!AO66</f>
        <v>5003</v>
      </c>
      <c r="G176" s="280">
        <f>data!AP66</f>
        <v>476962</v>
      </c>
      <c r="H176" s="280">
        <f>data!AQ66</f>
        <v>0</v>
      </c>
      <c r="I176" s="280">
        <f>data!AR66</f>
        <v>47676</v>
      </c>
    </row>
    <row r="177" spans="1:9" ht="20.100000000000001" customHeight="1" x14ac:dyDescent="0.2">
      <c r="A177" s="272">
        <v>12</v>
      </c>
      <c r="B177" s="280" t="s">
        <v>11</v>
      </c>
      <c r="C177" s="280">
        <f>data!AL67</f>
        <v>0</v>
      </c>
      <c r="D177" s="280">
        <f>data!AM67</f>
        <v>0</v>
      </c>
      <c r="E177" s="280">
        <f>data!AN67</f>
        <v>0</v>
      </c>
      <c r="F177" s="280">
        <f>data!AO67</f>
        <v>33335</v>
      </c>
      <c r="G177" s="280">
        <f>data!AP67</f>
        <v>0</v>
      </c>
      <c r="H177" s="280">
        <f>data!AQ67</f>
        <v>0</v>
      </c>
      <c r="I177" s="280">
        <f>data!AR67</f>
        <v>0</v>
      </c>
    </row>
    <row r="178" spans="1:9" ht="20.100000000000001" customHeight="1" x14ac:dyDescent="0.2">
      <c r="A178" s="272">
        <v>13</v>
      </c>
      <c r="B178" s="280" t="s">
        <v>974</v>
      </c>
      <c r="C178" s="280">
        <f>data!AL68</f>
        <v>0</v>
      </c>
      <c r="D178" s="280">
        <f>data!AM68</f>
        <v>0</v>
      </c>
      <c r="E178" s="280">
        <f>data!AN68</f>
        <v>0</v>
      </c>
      <c r="F178" s="280">
        <f>data!AO68</f>
        <v>55</v>
      </c>
      <c r="G178" s="280">
        <f>data!AP68</f>
        <v>7370</v>
      </c>
      <c r="H178" s="280">
        <f>data!AQ68</f>
        <v>0</v>
      </c>
      <c r="I178" s="280">
        <f>data!AR68</f>
        <v>11422</v>
      </c>
    </row>
    <row r="179" spans="1:9" ht="20.100000000000001" customHeight="1" x14ac:dyDescent="0.2">
      <c r="A179" s="272">
        <v>14</v>
      </c>
      <c r="B179" s="280" t="s">
        <v>975</v>
      </c>
      <c r="C179" s="280">
        <f>data!AL69</f>
        <v>0</v>
      </c>
      <c r="D179" s="280">
        <f>data!AM69</f>
        <v>0</v>
      </c>
      <c r="E179" s="280">
        <f>data!AN69</f>
        <v>0</v>
      </c>
      <c r="F179" s="280">
        <f>data!AO69</f>
        <v>7990</v>
      </c>
      <c r="G179" s="280">
        <f>data!AP69</f>
        <v>35685</v>
      </c>
      <c r="H179" s="280">
        <f>data!AQ69</f>
        <v>0</v>
      </c>
      <c r="I179" s="280">
        <f>data!AR69</f>
        <v>61499</v>
      </c>
    </row>
    <row r="180" spans="1:9" ht="20.100000000000001" customHeight="1" x14ac:dyDescent="0.2">
      <c r="A180" s="272">
        <v>15</v>
      </c>
      <c r="B180" s="280" t="s">
        <v>269</v>
      </c>
      <c r="C180" s="280">
        <f>data!AL70</f>
        <v>0</v>
      </c>
      <c r="D180" s="280">
        <f>data!AM70</f>
        <v>0</v>
      </c>
      <c r="E180" s="280">
        <f>data!AN70</f>
        <v>0</v>
      </c>
      <c r="F180" s="280">
        <f>data!AO70</f>
        <v>0</v>
      </c>
      <c r="G180" s="280">
        <f>data!AP70</f>
        <v>0</v>
      </c>
      <c r="H180" s="280">
        <f>data!AQ70</f>
        <v>0</v>
      </c>
      <c r="I180" s="280">
        <f>data!AR70</f>
        <v>0</v>
      </c>
    </row>
    <row r="181" spans="1:9" ht="20.100000000000001" customHeight="1" x14ac:dyDescent="0.2">
      <c r="A181" s="272">
        <v>16</v>
      </c>
      <c r="B181" s="288" t="s">
        <v>976</v>
      </c>
      <c r="C181" s="280">
        <f>data!AL85</f>
        <v>0</v>
      </c>
      <c r="D181" s="280">
        <f>data!AM85</f>
        <v>0</v>
      </c>
      <c r="E181" s="280">
        <f>data!AN85</f>
        <v>0</v>
      </c>
      <c r="F181" s="280">
        <f>data!AO85</f>
        <v>812034</v>
      </c>
      <c r="G181" s="280">
        <f>data!AP85</f>
        <v>2523999</v>
      </c>
      <c r="H181" s="280">
        <f>data!AQ85</f>
        <v>0</v>
      </c>
      <c r="I181" s="280">
        <f>data!AR85</f>
        <v>3286719</v>
      </c>
    </row>
    <row r="182" spans="1:9" ht="20.100000000000001" customHeight="1" x14ac:dyDescent="0.2">
      <c r="A182" s="272">
        <v>17</v>
      </c>
      <c r="B182" s="280" t="s">
        <v>271</v>
      </c>
      <c r="C182" s="290"/>
      <c r="D182" s="290"/>
      <c r="E182" s="290"/>
      <c r="F182" s="290"/>
      <c r="G182" s="290"/>
      <c r="H182" s="290"/>
      <c r="I182" s="290"/>
    </row>
    <row r="183" spans="1:9" ht="20.100000000000001" customHeight="1" x14ac:dyDescent="0.2">
      <c r="A183" s="272">
        <v>18</v>
      </c>
      <c r="B183" s="280" t="s">
        <v>977</v>
      </c>
      <c r="C183" s="288">
        <f>+data!M703</f>
        <v>0</v>
      </c>
      <c r="D183" s="288">
        <f>+data!M704</f>
        <v>0</v>
      </c>
      <c r="E183" s="288">
        <f>+data!M705</f>
        <v>0</v>
      </c>
      <c r="F183" s="288">
        <f>+data!M706</f>
        <v>352541</v>
      </c>
      <c r="G183" s="288">
        <f>+data!M707</f>
        <v>307682</v>
      </c>
      <c r="H183" s="288">
        <f>+data!M708</f>
        <v>0</v>
      </c>
      <c r="I183" s="288">
        <f>+data!M709</f>
        <v>394044</v>
      </c>
    </row>
    <row r="184" spans="1:9" ht="20.100000000000001" customHeight="1" x14ac:dyDescent="0.2">
      <c r="A184" s="272">
        <v>19</v>
      </c>
      <c r="B184" s="288" t="s">
        <v>978</v>
      </c>
      <c r="C184" s="280">
        <f>data!AL87</f>
        <v>0</v>
      </c>
      <c r="D184" s="280">
        <f>data!AM87</f>
        <v>0</v>
      </c>
      <c r="E184" s="280">
        <f>data!AN87</f>
        <v>0</v>
      </c>
      <c r="F184" s="280">
        <f>data!AO87</f>
        <v>175950</v>
      </c>
      <c r="G184" s="280">
        <f>data!AP87</f>
        <v>29500</v>
      </c>
      <c r="H184" s="280">
        <f>data!AQ87</f>
        <v>0</v>
      </c>
      <c r="I184" s="280">
        <f>data!AR87</f>
        <v>0</v>
      </c>
    </row>
    <row r="185" spans="1:9" ht="20.100000000000001" customHeight="1" x14ac:dyDescent="0.2">
      <c r="A185" s="272">
        <v>20</v>
      </c>
      <c r="B185" s="288" t="s">
        <v>979</v>
      </c>
      <c r="C185" s="280">
        <f>data!AL88</f>
        <v>0</v>
      </c>
      <c r="D185" s="280">
        <f>data!AM88</f>
        <v>0</v>
      </c>
      <c r="E185" s="280">
        <f>data!AN88</f>
        <v>0</v>
      </c>
      <c r="F185" s="280">
        <f>data!AO88</f>
        <v>1025092</v>
      </c>
      <c r="G185" s="280">
        <f>data!AP88</f>
        <v>3329472</v>
      </c>
      <c r="H185" s="280">
        <f>data!AQ88</f>
        <v>0</v>
      </c>
      <c r="I185" s="280">
        <f>data!AR88</f>
        <v>2584946</v>
      </c>
    </row>
    <row r="186" spans="1:9" ht="20.100000000000001" customHeight="1" x14ac:dyDescent="0.2">
      <c r="A186" s="272">
        <v>21</v>
      </c>
      <c r="B186" s="288" t="s">
        <v>980</v>
      </c>
      <c r="C186" s="280">
        <f>data!AL89</f>
        <v>0</v>
      </c>
      <c r="D186" s="280">
        <f>data!AM89</f>
        <v>0</v>
      </c>
      <c r="E186" s="280">
        <f>data!AN89</f>
        <v>0</v>
      </c>
      <c r="F186" s="280">
        <f>data!AO89</f>
        <v>1201042</v>
      </c>
      <c r="G186" s="280">
        <f>data!AP89</f>
        <v>3358972</v>
      </c>
      <c r="H186" s="280">
        <f>data!AQ89</f>
        <v>0</v>
      </c>
      <c r="I186" s="280">
        <f>data!AR89</f>
        <v>2584946</v>
      </c>
    </row>
    <row r="187" spans="1:9" ht="20.100000000000001" customHeight="1" x14ac:dyDescent="0.2">
      <c r="A187" s="272" t="s">
        <v>981</v>
      </c>
      <c r="B187" s="280"/>
      <c r="C187" s="290"/>
      <c r="D187" s="290"/>
      <c r="E187" s="290"/>
      <c r="F187" s="290"/>
      <c r="G187" s="290"/>
      <c r="H187" s="290"/>
      <c r="I187" s="290"/>
    </row>
    <row r="188" spans="1:9" ht="20.100000000000001" customHeight="1" x14ac:dyDescent="0.2">
      <c r="A188" s="272">
        <v>22</v>
      </c>
      <c r="B188" s="280" t="s">
        <v>982</v>
      </c>
      <c r="C188" s="280">
        <f>data!AL90</f>
        <v>0</v>
      </c>
      <c r="D188" s="280">
        <f>data!AM90</f>
        <v>0</v>
      </c>
      <c r="E188" s="280">
        <f>data!AN90</f>
        <v>0</v>
      </c>
      <c r="F188" s="280">
        <f>data!AO90</f>
        <v>994</v>
      </c>
      <c r="G188" s="280">
        <f>data!AP90</f>
        <v>0</v>
      </c>
      <c r="H188" s="280">
        <f>data!AQ90</f>
        <v>0</v>
      </c>
      <c r="I188" s="280">
        <f>data!AR90</f>
        <v>0</v>
      </c>
    </row>
    <row r="189" spans="1:9" ht="20.100000000000001" customHeight="1" x14ac:dyDescent="0.2">
      <c r="A189" s="272">
        <v>23</v>
      </c>
      <c r="B189" s="280" t="s">
        <v>983</v>
      </c>
      <c r="C189" s="280">
        <f>data!AL91</f>
        <v>0</v>
      </c>
      <c r="D189" s="280">
        <f>data!AM91</f>
        <v>0</v>
      </c>
      <c r="E189" s="280">
        <f>data!AN91</f>
        <v>0</v>
      </c>
      <c r="F189" s="280">
        <f>data!AO91</f>
        <v>0</v>
      </c>
      <c r="G189" s="280">
        <f>data!AP91</f>
        <v>0</v>
      </c>
      <c r="H189" s="280">
        <f>data!AQ91</f>
        <v>0</v>
      </c>
      <c r="I189" s="280">
        <f>data!AR91</f>
        <v>0</v>
      </c>
    </row>
    <row r="190" spans="1:9" ht="20.100000000000001" customHeight="1" x14ac:dyDescent="0.2">
      <c r="A190" s="272">
        <v>24</v>
      </c>
      <c r="B190" s="280" t="s">
        <v>984</v>
      </c>
      <c r="C190" s="280">
        <f>data!AL92</f>
        <v>0</v>
      </c>
      <c r="D190" s="280">
        <f>data!AM92</f>
        <v>0</v>
      </c>
      <c r="E190" s="280">
        <f>data!AN92</f>
        <v>0</v>
      </c>
      <c r="F190" s="280">
        <f>data!AO92</f>
        <v>67</v>
      </c>
      <c r="G190" s="280">
        <f>data!AP92</f>
        <v>0</v>
      </c>
      <c r="H190" s="280">
        <f>data!AQ92</f>
        <v>0</v>
      </c>
      <c r="I190" s="280">
        <f>data!AR92</f>
        <v>0</v>
      </c>
    </row>
    <row r="191" spans="1:9" ht="20.100000000000001" customHeight="1" x14ac:dyDescent="0.2">
      <c r="A191" s="272">
        <v>25</v>
      </c>
      <c r="B191" s="280" t="s">
        <v>985</v>
      </c>
      <c r="C191" s="280">
        <f>data!AL93</f>
        <v>0</v>
      </c>
      <c r="D191" s="280">
        <f>data!AM93</f>
        <v>0</v>
      </c>
      <c r="E191" s="280">
        <f>data!AN93</f>
        <v>0</v>
      </c>
      <c r="F191" s="280">
        <f>data!AO93</f>
        <v>4872</v>
      </c>
      <c r="G191" s="280">
        <f>data!AP93</f>
        <v>0</v>
      </c>
      <c r="H191" s="280">
        <f>data!AQ93</f>
        <v>0</v>
      </c>
      <c r="I191" s="280">
        <f>data!AR93</f>
        <v>0</v>
      </c>
    </row>
    <row r="192" spans="1:9" ht="20.100000000000001" customHeight="1" x14ac:dyDescent="0.2">
      <c r="A192" s="272">
        <v>26</v>
      </c>
      <c r="B192" s="280" t="s">
        <v>279</v>
      </c>
      <c r="C192" s="287">
        <f>data!AL94</f>
        <v>0</v>
      </c>
      <c r="D192" s="287">
        <f>data!AM94</f>
        <v>0</v>
      </c>
      <c r="E192" s="287">
        <f>data!AN94</f>
        <v>0</v>
      </c>
      <c r="F192" s="287">
        <f>data!AO94</f>
        <v>3.63</v>
      </c>
      <c r="G192" s="287">
        <f>data!AP94</f>
        <v>0</v>
      </c>
      <c r="H192" s="287">
        <f>data!AQ94</f>
        <v>0</v>
      </c>
      <c r="I192" s="287">
        <f>data!AR94</f>
        <v>0</v>
      </c>
    </row>
    <row r="193" spans="1:9" ht="20.100000000000001" customHeight="1" x14ac:dyDescent="0.2">
      <c r="A193" s="273" t="s">
        <v>969</v>
      </c>
      <c r="B193" s="274"/>
      <c r="C193" s="274"/>
      <c r="D193" s="274"/>
      <c r="E193" s="274"/>
      <c r="F193" s="274"/>
      <c r="G193" s="274"/>
      <c r="H193" s="274"/>
      <c r="I193" s="273"/>
    </row>
    <row r="194" spans="1:9" ht="20.100000000000001" customHeight="1" x14ac:dyDescent="0.2">
      <c r="D194" s="276"/>
      <c r="I194" s="277" t="s">
        <v>1005</v>
      </c>
    </row>
    <row r="195" spans="1:9" ht="20.100000000000001" customHeight="1" x14ac:dyDescent="0.2">
      <c r="A195" s="276"/>
    </row>
    <row r="196" spans="1:9" ht="20.100000000000001" customHeight="1" x14ac:dyDescent="0.2">
      <c r="A196" s="278" t="str">
        <f>"Hospital: "&amp;data!C98</f>
        <v>Hospital: Jefferson County Public Hospital District No 2</v>
      </c>
      <c r="G196" s="279"/>
      <c r="H196" s="278" t="str">
        <f>"FYE: "&amp;data!C96</f>
        <v>FYE: 12/31/2022</v>
      </c>
    </row>
    <row r="197" spans="1:9" ht="20.100000000000001" customHeight="1" x14ac:dyDescent="0.2">
      <c r="A197" s="272">
        <v>1</v>
      </c>
      <c r="B197" s="280" t="s">
        <v>221</v>
      </c>
      <c r="C197" s="282" t="s">
        <v>63</v>
      </c>
      <c r="D197" s="282" t="s">
        <v>64</v>
      </c>
      <c r="E197" s="282" t="s">
        <v>65</v>
      </c>
      <c r="F197" s="282" t="s">
        <v>66</v>
      </c>
      <c r="G197" s="282" t="s">
        <v>67</v>
      </c>
      <c r="H197" s="282" t="s">
        <v>68</v>
      </c>
      <c r="I197" s="282" t="s">
        <v>69</v>
      </c>
    </row>
    <row r="198" spans="1:9" ht="20.100000000000001" customHeight="1" x14ac:dyDescent="0.2">
      <c r="A198" s="283">
        <v>2</v>
      </c>
      <c r="B198" s="284" t="s">
        <v>971</v>
      </c>
      <c r="C198" s="286"/>
      <c r="D198" s="286" t="s">
        <v>142</v>
      </c>
      <c r="E198" s="286" t="s">
        <v>143</v>
      </c>
      <c r="F198" s="286" t="s">
        <v>144</v>
      </c>
      <c r="G198" s="286" t="s">
        <v>1006</v>
      </c>
      <c r="H198" s="286" t="s">
        <v>146</v>
      </c>
      <c r="I198" s="286"/>
    </row>
    <row r="199" spans="1:9" ht="20.100000000000001" customHeight="1" x14ac:dyDescent="0.2">
      <c r="A199" s="283"/>
      <c r="B199" s="284"/>
      <c r="C199" s="286" t="s">
        <v>141</v>
      </c>
      <c r="D199" s="286" t="s">
        <v>243</v>
      </c>
      <c r="E199" s="286" t="s">
        <v>1007</v>
      </c>
      <c r="F199" s="286" t="s">
        <v>198</v>
      </c>
      <c r="G199" s="286" t="s">
        <v>213</v>
      </c>
      <c r="H199" s="286" t="s">
        <v>200</v>
      </c>
      <c r="I199" s="286" t="s">
        <v>147</v>
      </c>
    </row>
    <row r="200" spans="1:9" ht="20.100000000000001" customHeight="1" x14ac:dyDescent="0.2">
      <c r="A200" s="272">
        <v>3</v>
      </c>
      <c r="B200" s="280" t="s">
        <v>973</v>
      </c>
      <c r="C200" s="282" t="s">
        <v>238</v>
      </c>
      <c r="D200" s="282" t="s">
        <v>243</v>
      </c>
      <c r="E200" s="282" t="s">
        <v>240</v>
      </c>
      <c r="F200" s="292"/>
      <c r="G200" s="292"/>
      <c r="H200" s="292"/>
      <c r="I200" s="282" t="s">
        <v>244</v>
      </c>
    </row>
    <row r="201" spans="1:9" ht="20.100000000000001" customHeight="1" x14ac:dyDescent="0.2">
      <c r="A201" s="272">
        <v>4</v>
      </c>
      <c r="B201" s="280" t="s">
        <v>246</v>
      </c>
      <c r="C201" s="280">
        <f>data!AS59</f>
        <v>0</v>
      </c>
      <c r="D201" s="280">
        <f>data!AT59</f>
        <v>0</v>
      </c>
      <c r="E201" s="280">
        <f>data!AU59</f>
        <v>0</v>
      </c>
      <c r="F201" s="292"/>
      <c r="G201" s="292"/>
      <c r="H201" s="292"/>
      <c r="I201" s="280">
        <f>data!AY59</f>
        <v>16852</v>
      </c>
    </row>
    <row r="202" spans="1:9" ht="20.100000000000001" customHeight="1" x14ac:dyDescent="0.2">
      <c r="A202" s="272">
        <v>5</v>
      </c>
      <c r="B202" s="280" t="s">
        <v>247</v>
      </c>
      <c r="C202" s="287">
        <f>data!AS60</f>
        <v>0</v>
      </c>
      <c r="D202" s="287">
        <f>data!AT60</f>
        <v>0</v>
      </c>
      <c r="E202" s="287">
        <f>data!AU60</f>
        <v>0</v>
      </c>
      <c r="F202" s="287">
        <f>data!AV60</f>
        <v>4.2699999999999996</v>
      </c>
      <c r="G202" s="287">
        <f>data!AW60</f>
        <v>0</v>
      </c>
      <c r="H202" s="287">
        <f>data!AX60</f>
        <v>0</v>
      </c>
      <c r="I202" s="287">
        <f>data!AY60</f>
        <v>16.7</v>
      </c>
    </row>
    <row r="203" spans="1:9" ht="20.100000000000001" customHeight="1" x14ac:dyDescent="0.2">
      <c r="A203" s="272">
        <v>6</v>
      </c>
      <c r="B203" s="280" t="s">
        <v>248</v>
      </c>
      <c r="C203" s="280">
        <f>data!AS61</f>
        <v>0</v>
      </c>
      <c r="D203" s="280">
        <f>data!AT61</f>
        <v>0</v>
      </c>
      <c r="E203" s="280">
        <f>data!AU61</f>
        <v>0</v>
      </c>
      <c r="F203" s="280">
        <f>data!AV61</f>
        <v>2298125</v>
      </c>
      <c r="G203" s="280">
        <f>data!AW61</f>
        <v>0</v>
      </c>
      <c r="H203" s="280">
        <f>data!AX61</f>
        <v>0</v>
      </c>
      <c r="I203" s="280">
        <f>data!AY61</f>
        <v>926851</v>
      </c>
    </row>
    <row r="204" spans="1:9" ht="20.100000000000001" customHeight="1" x14ac:dyDescent="0.2">
      <c r="A204" s="272">
        <v>7</v>
      </c>
      <c r="B204" s="280" t="s">
        <v>9</v>
      </c>
      <c r="C204" s="280">
        <f>data!AS62</f>
        <v>0</v>
      </c>
      <c r="D204" s="280">
        <f>data!AT62</f>
        <v>0</v>
      </c>
      <c r="E204" s="280">
        <f>data!AU62</f>
        <v>0</v>
      </c>
      <c r="F204" s="280">
        <f>data!AV62</f>
        <v>505742</v>
      </c>
      <c r="G204" s="280">
        <f>data!AW62</f>
        <v>0</v>
      </c>
      <c r="H204" s="280">
        <f>data!AX62</f>
        <v>0</v>
      </c>
      <c r="I204" s="280">
        <f>data!AY62</f>
        <v>203969</v>
      </c>
    </row>
    <row r="205" spans="1:9" ht="20.100000000000001" customHeight="1" x14ac:dyDescent="0.2">
      <c r="A205" s="272">
        <v>8</v>
      </c>
      <c r="B205" s="280" t="s">
        <v>249</v>
      </c>
      <c r="C205" s="280">
        <f>data!AS63</f>
        <v>0</v>
      </c>
      <c r="D205" s="280">
        <f>data!AT63</f>
        <v>0</v>
      </c>
      <c r="E205" s="280">
        <f>data!AU63</f>
        <v>0</v>
      </c>
      <c r="F205" s="280">
        <f>data!AV63</f>
        <v>0</v>
      </c>
      <c r="G205" s="280">
        <f>data!AW63</f>
        <v>0</v>
      </c>
      <c r="H205" s="280">
        <f>data!AX63</f>
        <v>0</v>
      </c>
      <c r="I205" s="280">
        <f>data!AY63</f>
        <v>0</v>
      </c>
    </row>
    <row r="206" spans="1:9" ht="20.100000000000001" customHeight="1" x14ac:dyDescent="0.2">
      <c r="A206" s="272">
        <v>9</v>
      </c>
      <c r="B206" s="280" t="s">
        <v>250</v>
      </c>
      <c r="C206" s="280">
        <f>data!AS64</f>
        <v>0</v>
      </c>
      <c r="D206" s="280">
        <f>data!AT64</f>
        <v>0</v>
      </c>
      <c r="E206" s="280">
        <f>data!AU64</f>
        <v>0</v>
      </c>
      <c r="F206" s="280">
        <f>data!AV64</f>
        <v>330528</v>
      </c>
      <c r="G206" s="280">
        <f>data!AW64</f>
        <v>0</v>
      </c>
      <c r="H206" s="280">
        <f>data!AX64</f>
        <v>0</v>
      </c>
      <c r="I206" s="280">
        <f>data!AY64</f>
        <v>507439</v>
      </c>
    </row>
    <row r="207" spans="1:9" ht="20.100000000000001" customHeight="1" x14ac:dyDescent="0.2">
      <c r="A207" s="272">
        <v>10</v>
      </c>
      <c r="B207" s="280" t="s">
        <v>497</v>
      </c>
      <c r="C207" s="280">
        <f>data!AS65</f>
        <v>0</v>
      </c>
      <c r="D207" s="280">
        <f>data!AT65</f>
        <v>0</v>
      </c>
      <c r="E207" s="280">
        <f>data!AU65</f>
        <v>0</v>
      </c>
      <c r="F207" s="280">
        <f>data!AV65</f>
        <v>0</v>
      </c>
      <c r="G207" s="280">
        <f>data!AW65</f>
        <v>0</v>
      </c>
      <c r="H207" s="280">
        <f>data!AX65</f>
        <v>0</v>
      </c>
      <c r="I207" s="280">
        <f>data!AY65</f>
        <v>471</v>
      </c>
    </row>
    <row r="208" spans="1:9" ht="20.100000000000001" customHeight="1" x14ac:dyDescent="0.2">
      <c r="A208" s="272">
        <v>11</v>
      </c>
      <c r="B208" s="280" t="s">
        <v>498</v>
      </c>
      <c r="C208" s="280">
        <f>data!AS66</f>
        <v>0</v>
      </c>
      <c r="D208" s="280">
        <f>data!AT66</f>
        <v>0</v>
      </c>
      <c r="E208" s="280">
        <f>data!AU66</f>
        <v>0</v>
      </c>
      <c r="F208" s="280">
        <f>data!AV66</f>
        <v>98766</v>
      </c>
      <c r="G208" s="280">
        <f>data!AW66</f>
        <v>0</v>
      </c>
      <c r="H208" s="280">
        <f>data!AX66</f>
        <v>0</v>
      </c>
      <c r="I208" s="280">
        <f>data!AY66</f>
        <v>6772</v>
      </c>
    </row>
    <row r="209" spans="1:9" ht="20.100000000000001" customHeight="1" x14ac:dyDescent="0.2">
      <c r="A209" s="272">
        <v>12</v>
      </c>
      <c r="B209" s="280" t="s">
        <v>11</v>
      </c>
      <c r="C209" s="280">
        <f>data!AS67</f>
        <v>0</v>
      </c>
      <c r="D209" s="280">
        <f>data!AT67</f>
        <v>0</v>
      </c>
      <c r="E209" s="280">
        <f>data!AU67</f>
        <v>0</v>
      </c>
      <c r="F209" s="280">
        <f>data!AV67</f>
        <v>130323</v>
      </c>
      <c r="G209" s="280">
        <f>data!AW67</f>
        <v>0</v>
      </c>
      <c r="H209" s="280">
        <f>data!AX67</f>
        <v>0</v>
      </c>
      <c r="I209" s="280">
        <f>data!AY67</f>
        <v>0</v>
      </c>
    </row>
    <row r="210" spans="1:9" ht="20.100000000000001" customHeight="1" x14ac:dyDescent="0.2">
      <c r="A210" s="272">
        <v>13</v>
      </c>
      <c r="B210" s="280" t="s">
        <v>974</v>
      </c>
      <c r="C210" s="280">
        <f>data!AS68</f>
        <v>0</v>
      </c>
      <c r="D210" s="280">
        <f>data!AT68</f>
        <v>0</v>
      </c>
      <c r="E210" s="280">
        <f>data!AU68</f>
        <v>0</v>
      </c>
      <c r="F210" s="280">
        <f>data!AV68</f>
        <v>0</v>
      </c>
      <c r="G210" s="280">
        <f>data!AW68</f>
        <v>0</v>
      </c>
      <c r="H210" s="280">
        <f>data!AX68</f>
        <v>0</v>
      </c>
      <c r="I210" s="280">
        <f>data!AY68</f>
        <v>4724</v>
      </c>
    </row>
    <row r="211" spans="1:9" ht="20.100000000000001" customHeight="1" x14ac:dyDescent="0.2">
      <c r="A211" s="272">
        <v>14</v>
      </c>
      <c r="B211" s="280" t="s">
        <v>975</v>
      </c>
      <c r="C211" s="280">
        <f>data!AS69</f>
        <v>0</v>
      </c>
      <c r="D211" s="280">
        <f>data!AT69</f>
        <v>0</v>
      </c>
      <c r="E211" s="280">
        <f>data!AU69</f>
        <v>0</v>
      </c>
      <c r="F211" s="280">
        <f>data!AV69</f>
        <v>31217</v>
      </c>
      <c r="G211" s="280">
        <f>data!AW69</f>
        <v>0</v>
      </c>
      <c r="H211" s="280">
        <f>data!AX69</f>
        <v>0</v>
      </c>
      <c r="I211" s="280">
        <f>data!AY69</f>
        <v>30221</v>
      </c>
    </row>
    <row r="212" spans="1:9" ht="20.100000000000001" customHeight="1" x14ac:dyDescent="0.2">
      <c r="A212" s="272">
        <v>15</v>
      </c>
      <c r="B212" s="280" t="s">
        <v>269</v>
      </c>
      <c r="C212" s="280">
        <f>-data!AS84</f>
        <v>0</v>
      </c>
      <c r="D212" s="280">
        <f>-data!AT84</f>
        <v>0</v>
      </c>
      <c r="E212" s="280">
        <f>-data!AU84</f>
        <v>0</v>
      </c>
      <c r="F212" s="280">
        <f>-data!AV84</f>
        <v>0</v>
      </c>
      <c r="G212" s="280">
        <f>-data!AW84</f>
        <v>0</v>
      </c>
      <c r="H212" s="280">
        <f>-data!AX84</f>
        <v>0</v>
      </c>
      <c r="I212" s="280">
        <f>-data!AY84</f>
        <v>0</v>
      </c>
    </row>
    <row r="213" spans="1:9" ht="20.100000000000001" customHeight="1" x14ac:dyDescent="0.2">
      <c r="A213" s="272">
        <v>16</v>
      </c>
      <c r="B213" s="288" t="s">
        <v>976</v>
      </c>
      <c r="C213" s="280">
        <f>data!AS85</f>
        <v>0</v>
      </c>
      <c r="D213" s="280">
        <f>data!AT85</f>
        <v>0</v>
      </c>
      <c r="E213" s="280">
        <f>data!AU85</f>
        <v>0</v>
      </c>
      <c r="F213" s="280">
        <f>data!AV85</f>
        <v>3394701</v>
      </c>
      <c r="G213" s="280">
        <f>data!AW85</f>
        <v>0</v>
      </c>
      <c r="H213" s="280">
        <f>data!AX85</f>
        <v>0</v>
      </c>
      <c r="I213" s="280">
        <f>data!AY85</f>
        <v>1680447</v>
      </c>
    </row>
    <row r="214" spans="1:9" ht="20.100000000000001" customHeight="1" x14ac:dyDescent="0.2">
      <c r="A214" s="272">
        <v>17</v>
      </c>
      <c r="B214" s="280" t="s">
        <v>271</v>
      </c>
      <c r="C214" s="290"/>
      <c r="D214" s="290"/>
      <c r="E214" s="290"/>
      <c r="F214" s="290"/>
      <c r="G214" s="290"/>
      <c r="H214" s="290"/>
      <c r="I214" s="290"/>
    </row>
    <row r="215" spans="1:9" ht="20.100000000000001" customHeight="1" x14ac:dyDescent="0.2">
      <c r="A215" s="272">
        <v>18</v>
      </c>
      <c r="B215" s="280" t="s">
        <v>977</v>
      </c>
      <c r="C215" s="288">
        <f>+data!M710</f>
        <v>0</v>
      </c>
      <c r="D215" s="288">
        <f>+data!M711</f>
        <v>0</v>
      </c>
      <c r="E215" s="288">
        <f>+data!M712</f>
        <v>0</v>
      </c>
      <c r="F215" s="288">
        <f>+data!M713</f>
        <v>897274</v>
      </c>
      <c r="G215" s="294"/>
      <c r="H215" s="280"/>
      <c r="I215" s="280"/>
    </row>
    <row r="216" spans="1:9" ht="20.100000000000001" customHeight="1" x14ac:dyDescent="0.2">
      <c r="A216" s="272">
        <v>19</v>
      </c>
      <c r="B216" s="288" t="s">
        <v>978</v>
      </c>
      <c r="C216" s="280">
        <f>data!AS87</f>
        <v>0</v>
      </c>
      <c r="D216" s="280">
        <f>data!AT87</f>
        <v>0</v>
      </c>
      <c r="E216" s="280">
        <f>data!AU87</f>
        <v>0</v>
      </c>
      <c r="F216" s="280">
        <f>data!AV87</f>
        <v>7709</v>
      </c>
      <c r="G216" s="295" t="str">
        <f>IF(data!AW73&gt;0,data!AW73,"")</f>
        <v/>
      </c>
      <c r="H216" s="295" t="str">
        <f>IF(data!AX73&gt;0,data!AX73,"")</f>
        <v/>
      </c>
      <c r="I216" s="295" t="str">
        <f>IF(data!AY73&gt;0,data!AY73,"")</f>
        <v/>
      </c>
    </row>
    <row r="217" spans="1:9" ht="20.100000000000001" customHeight="1" x14ac:dyDescent="0.2">
      <c r="A217" s="272">
        <v>20</v>
      </c>
      <c r="B217" s="288" t="s">
        <v>979</v>
      </c>
      <c r="C217" s="280">
        <f>data!AS88</f>
        <v>0</v>
      </c>
      <c r="D217" s="280">
        <f>data!AT88</f>
        <v>0</v>
      </c>
      <c r="E217" s="280">
        <f>data!AU88</f>
        <v>0</v>
      </c>
      <c r="F217" s="280">
        <f>data!AV88</f>
        <v>7675598</v>
      </c>
      <c r="G217" s="295" t="str">
        <f>IF(data!AW74&gt;0,data!AW74,"")</f>
        <v/>
      </c>
      <c r="H217" s="295" t="str">
        <f>IF(data!AX74&gt;0,data!AX74,"")</f>
        <v/>
      </c>
      <c r="I217" s="295" t="str">
        <f>IF(data!AY74&gt;0,data!AY74,"")</f>
        <v/>
      </c>
    </row>
    <row r="218" spans="1:9" ht="20.100000000000001" customHeight="1" x14ac:dyDescent="0.2">
      <c r="A218" s="272">
        <v>21</v>
      </c>
      <c r="B218" s="288" t="s">
        <v>980</v>
      </c>
      <c r="C218" s="280">
        <f>data!AS89</f>
        <v>0</v>
      </c>
      <c r="D218" s="280">
        <f>data!AT89</f>
        <v>0</v>
      </c>
      <c r="E218" s="280">
        <f>data!AU89</f>
        <v>0</v>
      </c>
      <c r="F218" s="280">
        <f>data!AV89</f>
        <v>7683307</v>
      </c>
      <c r="G218" s="295" t="str">
        <f>IF(data!AW75&gt;0,data!AW75,"")</f>
        <v/>
      </c>
      <c r="H218" s="295" t="str">
        <f>IF(data!AX75&gt;0,data!AX75,"")</f>
        <v/>
      </c>
      <c r="I218" s="295" t="str">
        <f>IF(data!AY75&gt;0,data!AY75,"")</f>
        <v/>
      </c>
    </row>
    <row r="219" spans="1:9" ht="20.100000000000001" customHeight="1" x14ac:dyDescent="0.2">
      <c r="A219" s="272" t="s">
        <v>981</v>
      </c>
      <c r="B219" s="280"/>
      <c r="C219" s="290"/>
      <c r="D219" s="290"/>
      <c r="E219" s="290"/>
      <c r="F219" s="290"/>
      <c r="G219" s="290"/>
      <c r="H219" s="290"/>
      <c r="I219" s="290"/>
    </row>
    <row r="220" spans="1:9" ht="20.100000000000001" customHeight="1" x14ac:dyDescent="0.2">
      <c r="A220" s="272">
        <v>22</v>
      </c>
      <c r="B220" s="280" t="s">
        <v>982</v>
      </c>
      <c r="C220" s="280">
        <f>data!AS90</f>
        <v>0</v>
      </c>
      <c r="D220" s="280">
        <f>data!AT90</f>
        <v>0</v>
      </c>
      <c r="E220" s="280">
        <f>data!AU90</f>
        <v>0</v>
      </c>
      <c r="F220" s="280">
        <f>data!AV90</f>
        <v>3886</v>
      </c>
      <c r="G220" s="280">
        <f>data!AW90</f>
        <v>0</v>
      </c>
      <c r="H220" s="280">
        <f>data!AX90</f>
        <v>0</v>
      </c>
      <c r="I220" s="280">
        <f>data!AY90</f>
        <v>0</v>
      </c>
    </row>
    <row r="221" spans="1:9" ht="20.100000000000001" customHeight="1" x14ac:dyDescent="0.2">
      <c r="A221" s="272">
        <v>23</v>
      </c>
      <c r="B221" s="280" t="s">
        <v>983</v>
      </c>
      <c r="C221" s="280">
        <f>data!AS91</f>
        <v>0</v>
      </c>
      <c r="D221" s="280">
        <f>data!AT91</f>
        <v>0</v>
      </c>
      <c r="E221" s="280">
        <f>data!AU91</f>
        <v>0</v>
      </c>
      <c r="F221" s="280">
        <f>data!AV91</f>
        <v>0</v>
      </c>
      <c r="G221" s="280">
        <f>data!AW91</f>
        <v>0</v>
      </c>
      <c r="H221" s="295" t="str">
        <f>IF(data!AX77&gt;0,data!AX77,"")</f>
        <v/>
      </c>
      <c r="I221" s="295"/>
    </row>
    <row r="222" spans="1:9" ht="20.100000000000001" customHeight="1" x14ac:dyDescent="0.2">
      <c r="A222" s="272">
        <v>24</v>
      </c>
      <c r="B222" s="280" t="s">
        <v>984</v>
      </c>
      <c r="C222" s="280">
        <f>data!AS92</f>
        <v>0</v>
      </c>
      <c r="D222" s="280">
        <f>data!AT92</f>
        <v>0</v>
      </c>
      <c r="E222" s="280">
        <f>data!AU92</f>
        <v>0</v>
      </c>
      <c r="F222" s="280">
        <f>data!AV92</f>
        <v>200</v>
      </c>
      <c r="G222" s="280">
        <f>data!AW92</f>
        <v>0</v>
      </c>
      <c r="H222" s="295" t="str">
        <f>IF(data!AX78&gt;0,data!AX78,"")</f>
        <v/>
      </c>
      <c r="I222" s="295" t="str">
        <f>IF(data!AY78&gt;0,data!AY78,"")</f>
        <v/>
      </c>
    </row>
    <row r="223" spans="1:9" ht="20.100000000000001" customHeight="1" x14ac:dyDescent="0.2">
      <c r="A223" s="272">
        <v>25</v>
      </c>
      <c r="B223" s="280" t="s">
        <v>985</v>
      </c>
      <c r="C223" s="280">
        <f>data!AS93</f>
        <v>0</v>
      </c>
      <c r="D223" s="280">
        <f>data!AT93</f>
        <v>0</v>
      </c>
      <c r="E223" s="280">
        <f>data!AU93</f>
        <v>0</v>
      </c>
      <c r="F223" s="280">
        <f>data!AV93</f>
        <v>0</v>
      </c>
      <c r="G223" s="280">
        <f>data!AW93</f>
        <v>0</v>
      </c>
      <c r="H223" s="295" t="str">
        <f>IF(data!AX79&gt;0,data!AX79,"")</f>
        <v/>
      </c>
      <c r="I223" s="295" t="str">
        <f>IF(data!AY79&gt;0,data!AY79,"")</f>
        <v/>
      </c>
    </row>
    <row r="224" spans="1:9" ht="20.100000000000001" customHeight="1" x14ac:dyDescent="0.2">
      <c r="A224" s="272">
        <v>26</v>
      </c>
      <c r="B224" s="280" t="s">
        <v>279</v>
      </c>
      <c r="C224" s="287">
        <f>data!AS94</f>
        <v>0</v>
      </c>
      <c r="D224" s="287">
        <f>data!AT94</f>
        <v>0</v>
      </c>
      <c r="E224" s="287">
        <f>data!AU94</f>
        <v>0</v>
      </c>
      <c r="F224" s="287">
        <f>data!AV94</f>
        <v>1.46</v>
      </c>
      <c r="G224" s="295" t="str">
        <f>IF(data!AW80&gt;0,data!AW80,"")</f>
        <v/>
      </c>
      <c r="H224" s="295" t="str">
        <f>IF(data!AX80&gt;0,data!AX80,"")</f>
        <v/>
      </c>
      <c r="I224" s="295" t="str">
        <f>IF(data!AY80&gt;0,data!AY80,"")</f>
        <v/>
      </c>
    </row>
    <row r="225" spans="1:9" ht="20.100000000000001" customHeight="1" x14ac:dyDescent="0.2">
      <c r="A225" s="273" t="s">
        <v>969</v>
      </c>
      <c r="B225" s="274"/>
      <c r="C225" s="274"/>
      <c r="D225" s="274"/>
      <c r="E225" s="274"/>
      <c r="F225" s="274"/>
      <c r="G225" s="274"/>
      <c r="H225" s="274"/>
      <c r="I225" s="273"/>
    </row>
    <row r="226" spans="1:9" ht="20.100000000000001" customHeight="1" x14ac:dyDescent="0.2">
      <c r="D226" s="276"/>
      <c r="I226" s="277" t="s">
        <v>1008</v>
      </c>
    </row>
    <row r="227" spans="1:9" ht="20.100000000000001" customHeight="1" x14ac:dyDescent="0.2">
      <c r="A227" s="276"/>
    </row>
    <row r="228" spans="1:9" ht="20.100000000000001" customHeight="1" x14ac:dyDescent="0.2">
      <c r="A228" s="278" t="str">
        <f>"Hospital: "&amp;data!C98</f>
        <v>Hospital: Jefferson County Public Hospital District No 2</v>
      </c>
      <c r="G228" s="279"/>
      <c r="H228" s="278" t="str">
        <f>"FYE: "&amp;data!C96</f>
        <v>FYE: 12/31/2022</v>
      </c>
    </row>
    <row r="229" spans="1:9" ht="20.100000000000001" customHeight="1" x14ac:dyDescent="0.2">
      <c r="A229" s="272">
        <v>1</v>
      </c>
      <c r="B229" s="280" t="s">
        <v>221</v>
      </c>
      <c r="C229" s="282" t="s">
        <v>70</v>
      </c>
      <c r="D229" s="282" t="s">
        <v>71</v>
      </c>
      <c r="E229" s="282" t="s">
        <v>72</v>
      </c>
      <c r="F229" s="282" t="s">
        <v>73</v>
      </c>
      <c r="G229" s="282" t="s">
        <v>74</v>
      </c>
      <c r="H229" s="282" t="s">
        <v>75</v>
      </c>
      <c r="I229" s="282" t="s">
        <v>76</v>
      </c>
    </row>
    <row r="230" spans="1:9" ht="20.100000000000001" customHeight="1" x14ac:dyDescent="0.2">
      <c r="A230" s="283">
        <v>2</v>
      </c>
      <c r="B230" s="284" t="s">
        <v>971</v>
      </c>
      <c r="C230" s="286"/>
      <c r="D230" s="286" t="s">
        <v>149</v>
      </c>
      <c r="E230" s="286" t="s">
        <v>150</v>
      </c>
      <c r="F230" s="286" t="s">
        <v>119</v>
      </c>
      <c r="G230" s="286"/>
      <c r="H230" s="286"/>
      <c r="I230" s="286"/>
    </row>
    <row r="231" spans="1:9" ht="20.100000000000001" customHeight="1" x14ac:dyDescent="0.2">
      <c r="A231" s="283"/>
      <c r="B231" s="284"/>
      <c r="C231" s="286" t="s">
        <v>148</v>
      </c>
      <c r="D231" s="286" t="s">
        <v>201</v>
      </c>
      <c r="E231" s="286" t="s">
        <v>1009</v>
      </c>
      <c r="F231" s="286" t="s">
        <v>1010</v>
      </c>
      <c r="G231" s="286" t="s">
        <v>151</v>
      </c>
      <c r="H231" s="286" t="s">
        <v>152</v>
      </c>
      <c r="I231" s="286" t="s">
        <v>153</v>
      </c>
    </row>
    <row r="232" spans="1:9" ht="20.100000000000001" customHeight="1" x14ac:dyDescent="0.2">
      <c r="A232" s="272">
        <v>3</v>
      </c>
      <c r="B232" s="280" t="s">
        <v>973</v>
      </c>
      <c r="C232" s="282" t="s">
        <v>1011</v>
      </c>
      <c r="D232" s="282" t="s">
        <v>1012</v>
      </c>
      <c r="E232" s="292"/>
      <c r="F232" s="292"/>
      <c r="G232" s="292"/>
      <c r="H232" s="282" t="s">
        <v>245</v>
      </c>
      <c r="I232" s="292"/>
    </row>
    <row r="233" spans="1:9" ht="20.100000000000001" customHeight="1" x14ac:dyDescent="0.2">
      <c r="A233" s="272">
        <v>4</v>
      </c>
      <c r="B233" s="280" t="s">
        <v>246</v>
      </c>
      <c r="C233" s="280">
        <f>data!AZ59</f>
        <v>0</v>
      </c>
      <c r="D233" s="280">
        <f>data!BA59</f>
        <v>279208</v>
      </c>
      <c r="E233" s="292"/>
      <c r="F233" s="292"/>
      <c r="G233" s="292"/>
      <c r="H233" s="280">
        <f>data!BE59</f>
        <v>149248</v>
      </c>
      <c r="I233" s="292"/>
    </row>
    <row r="234" spans="1:9" ht="20.100000000000001" customHeight="1" x14ac:dyDescent="0.2">
      <c r="A234" s="272">
        <v>5</v>
      </c>
      <c r="B234" s="280" t="s">
        <v>247</v>
      </c>
      <c r="C234" s="287">
        <f>data!AZ60</f>
        <v>0</v>
      </c>
      <c r="D234" s="287">
        <f>data!BA60</f>
        <v>0</v>
      </c>
      <c r="E234" s="287">
        <f>data!BB60</f>
        <v>0</v>
      </c>
      <c r="F234" s="287">
        <f>data!BC60</f>
        <v>0</v>
      </c>
      <c r="G234" s="287">
        <f>data!BD60</f>
        <v>0</v>
      </c>
      <c r="H234" s="287">
        <f>data!BE60</f>
        <v>9.85</v>
      </c>
      <c r="I234" s="287">
        <f>data!BF60</f>
        <v>22.93</v>
      </c>
    </row>
    <row r="235" spans="1:9" ht="20.100000000000001" customHeight="1" x14ac:dyDescent="0.2">
      <c r="A235" s="272">
        <v>6</v>
      </c>
      <c r="B235" s="280" t="s">
        <v>248</v>
      </c>
      <c r="C235" s="280">
        <f>data!AZ61</f>
        <v>0</v>
      </c>
      <c r="D235" s="280">
        <f>data!BA61</f>
        <v>0</v>
      </c>
      <c r="E235" s="280">
        <f>data!BB61</f>
        <v>0</v>
      </c>
      <c r="F235" s="280">
        <f>data!BC61</f>
        <v>0</v>
      </c>
      <c r="G235" s="280">
        <f>data!BD61</f>
        <v>396919</v>
      </c>
      <c r="H235" s="280">
        <f>data!BE61</f>
        <v>880192</v>
      </c>
      <c r="I235" s="280">
        <f>data!BF61</f>
        <v>1117385</v>
      </c>
    </row>
    <row r="236" spans="1:9" ht="20.100000000000001" customHeight="1" x14ac:dyDescent="0.2">
      <c r="A236" s="272">
        <v>7</v>
      </c>
      <c r="B236" s="280" t="s">
        <v>9</v>
      </c>
      <c r="C236" s="280">
        <f>data!AZ62</f>
        <v>0</v>
      </c>
      <c r="D236" s="280">
        <f>data!BA62</f>
        <v>0</v>
      </c>
      <c r="E236" s="280">
        <f>data!BB62</f>
        <v>0</v>
      </c>
      <c r="F236" s="280">
        <f>data!BC62</f>
        <v>0</v>
      </c>
      <c r="G236" s="280">
        <f>data!BD62</f>
        <v>87349</v>
      </c>
      <c r="H236" s="280">
        <f>data!BE62</f>
        <v>193701</v>
      </c>
      <c r="I236" s="280">
        <f>data!BF62</f>
        <v>245900</v>
      </c>
    </row>
    <row r="237" spans="1:9" ht="20.100000000000001" customHeight="1" x14ac:dyDescent="0.2">
      <c r="A237" s="272">
        <v>8</v>
      </c>
      <c r="B237" s="280" t="s">
        <v>249</v>
      </c>
      <c r="C237" s="280">
        <f>data!AZ63</f>
        <v>0</v>
      </c>
      <c r="D237" s="280">
        <f>data!BA63</f>
        <v>0</v>
      </c>
      <c r="E237" s="280">
        <f>data!BB63</f>
        <v>0</v>
      </c>
      <c r="F237" s="280">
        <f>data!BC63</f>
        <v>0</v>
      </c>
      <c r="G237" s="280">
        <f>data!BD63</f>
        <v>0</v>
      </c>
      <c r="H237" s="280">
        <f>data!BE63</f>
        <v>0</v>
      </c>
      <c r="I237" s="280">
        <f>data!BF63</f>
        <v>0</v>
      </c>
    </row>
    <row r="238" spans="1:9" ht="20.100000000000001" customHeight="1" x14ac:dyDescent="0.2">
      <c r="A238" s="272">
        <v>9</v>
      </c>
      <c r="B238" s="280" t="s">
        <v>250</v>
      </c>
      <c r="C238" s="280">
        <f>data!AZ64</f>
        <v>0</v>
      </c>
      <c r="D238" s="280">
        <f>data!BA64</f>
        <v>44954</v>
      </c>
      <c r="E238" s="280">
        <f>data!BB64</f>
        <v>0</v>
      </c>
      <c r="F238" s="280">
        <f>data!BC64</f>
        <v>0</v>
      </c>
      <c r="G238" s="280">
        <f>data!BD64</f>
        <v>0</v>
      </c>
      <c r="H238" s="280">
        <f>data!BE64</f>
        <v>50457</v>
      </c>
      <c r="I238" s="280">
        <f>data!BF64</f>
        <v>195897</v>
      </c>
    </row>
    <row r="239" spans="1:9" ht="20.100000000000001" customHeight="1" x14ac:dyDescent="0.2">
      <c r="A239" s="272">
        <v>10</v>
      </c>
      <c r="B239" s="280" t="s">
        <v>497</v>
      </c>
      <c r="C239" s="280">
        <f>data!AZ65</f>
        <v>0</v>
      </c>
      <c r="D239" s="280">
        <f>data!BA65</f>
        <v>3338</v>
      </c>
      <c r="E239" s="280">
        <f>data!BB65</f>
        <v>0</v>
      </c>
      <c r="F239" s="280">
        <f>data!BC65</f>
        <v>0</v>
      </c>
      <c r="G239" s="280">
        <f>data!BD65</f>
        <v>0</v>
      </c>
      <c r="H239" s="280">
        <f>data!BE65</f>
        <v>1109123</v>
      </c>
      <c r="I239" s="280">
        <f>data!BF65</f>
        <v>358</v>
      </c>
    </row>
    <row r="240" spans="1:9" ht="20.100000000000001" customHeight="1" x14ac:dyDescent="0.2">
      <c r="A240" s="272">
        <v>11</v>
      </c>
      <c r="B240" s="280" t="s">
        <v>498</v>
      </c>
      <c r="C240" s="280">
        <f>data!AZ66</f>
        <v>0</v>
      </c>
      <c r="D240" s="280">
        <f>data!BA66</f>
        <v>295297</v>
      </c>
      <c r="E240" s="280">
        <f>data!BB66</f>
        <v>0</v>
      </c>
      <c r="F240" s="280">
        <f>data!BC66</f>
        <v>0</v>
      </c>
      <c r="G240" s="280">
        <f>data!BD66</f>
        <v>0</v>
      </c>
      <c r="H240" s="280">
        <f>data!BE66</f>
        <v>218190</v>
      </c>
      <c r="I240" s="280">
        <f>data!BF66</f>
        <v>40269</v>
      </c>
    </row>
    <row r="241" spans="1:9" ht="20.100000000000001" customHeight="1" x14ac:dyDescent="0.2">
      <c r="A241" s="272">
        <v>12</v>
      </c>
      <c r="B241" s="280" t="s">
        <v>11</v>
      </c>
      <c r="C241" s="280">
        <f>data!AZ67</f>
        <v>143973</v>
      </c>
      <c r="D241" s="280">
        <f>data!BA67</f>
        <v>0</v>
      </c>
      <c r="E241" s="280">
        <f>data!BB67</f>
        <v>0</v>
      </c>
      <c r="F241" s="280">
        <f>data!BC67</f>
        <v>0</v>
      </c>
      <c r="G241" s="280">
        <f>data!BD67</f>
        <v>0</v>
      </c>
      <c r="H241" s="280">
        <f>data!BE67</f>
        <v>428899</v>
      </c>
      <c r="I241" s="280">
        <f>data!BF67</f>
        <v>108692</v>
      </c>
    </row>
    <row r="242" spans="1:9" ht="20.100000000000001" customHeight="1" x14ac:dyDescent="0.2">
      <c r="A242" s="272">
        <v>13</v>
      </c>
      <c r="B242" s="280" t="s">
        <v>974</v>
      </c>
      <c r="C242" s="280">
        <f>data!AZ68</f>
        <v>0</v>
      </c>
      <c r="D242" s="280">
        <f>data!BA68</f>
        <v>0</v>
      </c>
      <c r="E242" s="280">
        <f>data!BB68</f>
        <v>0</v>
      </c>
      <c r="F242" s="280">
        <f>data!BC68</f>
        <v>0</v>
      </c>
      <c r="G242" s="280">
        <f>data!BD68</f>
        <v>0</v>
      </c>
      <c r="H242" s="280">
        <f>data!BE68</f>
        <v>3335</v>
      </c>
      <c r="I242" s="280">
        <f>data!BF68</f>
        <v>15390</v>
      </c>
    </row>
    <row r="243" spans="1:9" ht="20.100000000000001" customHeight="1" x14ac:dyDescent="0.2">
      <c r="A243" s="272">
        <v>14</v>
      </c>
      <c r="B243" s="280" t="s">
        <v>975</v>
      </c>
      <c r="C243" s="280">
        <f>data!AZ69</f>
        <v>0</v>
      </c>
      <c r="D243" s="280">
        <f>data!BA69</f>
        <v>0</v>
      </c>
      <c r="E243" s="280">
        <f>data!BB69</f>
        <v>0</v>
      </c>
      <c r="F243" s="280">
        <f>data!BC69</f>
        <v>0</v>
      </c>
      <c r="G243" s="280">
        <f>data!BD69</f>
        <v>0</v>
      </c>
      <c r="H243" s="280">
        <f>data!BE69</f>
        <v>138892</v>
      </c>
      <c r="I243" s="280">
        <f>data!BF69</f>
        <v>3916</v>
      </c>
    </row>
    <row r="244" spans="1:9" ht="20.100000000000001" customHeight="1" x14ac:dyDescent="0.2">
      <c r="A244" s="272">
        <v>15</v>
      </c>
      <c r="B244" s="280" t="s">
        <v>269</v>
      </c>
      <c r="C244" s="280">
        <f>-data!AZ84</f>
        <v>0</v>
      </c>
      <c r="D244" s="280">
        <f>-data!BA84</f>
        <v>0</v>
      </c>
      <c r="E244" s="280">
        <f>-data!BB84</f>
        <v>0</v>
      </c>
      <c r="F244" s="280">
        <f>-data!BC84</f>
        <v>0</v>
      </c>
      <c r="G244" s="280">
        <f>-data!BD84</f>
        <v>0</v>
      </c>
      <c r="H244" s="280">
        <f>-data!BE84</f>
        <v>0</v>
      </c>
      <c r="I244" s="280">
        <f>-data!BF84</f>
        <v>0</v>
      </c>
    </row>
    <row r="245" spans="1:9" ht="20.100000000000001" customHeight="1" x14ac:dyDescent="0.2">
      <c r="A245" s="272">
        <v>16</v>
      </c>
      <c r="B245" s="288" t="s">
        <v>976</v>
      </c>
      <c r="C245" s="280">
        <f>data!AZ85</f>
        <v>143973</v>
      </c>
      <c r="D245" s="280">
        <f>data!BA85</f>
        <v>343589</v>
      </c>
      <c r="E245" s="280">
        <f>data!BB85</f>
        <v>0</v>
      </c>
      <c r="F245" s="280">
        <f>data!BC85</f>
        <v>0</v>
      </c>
      <c r="G245" s="280">
        <f>data!BD85</f>
        <v>484268</v>
      </c>
      <c r="H245" s="280">
        <f>data!BE85</f>
        <v>3022789</v>
      </c>
      <c r="I245" s="280">
        <f>data!BF85</f>
        <v>1727807</v>
      </c>
    </row>
    <row r="246" spans="1:9" ht="20.100000000000001" customHeight="1" x14ac:dyDescent="0.2">
      <c r="A246" s="272">
        <v>17</v>
      </c>
      <c r="B246" s="280" t="s">
        <v>271</v>
      </c>
      <c r="C246" s="290"/>
      <c r="D246" s="290"/>
      <c r="E246" s="290"/>
      <c r="F246" s="290"/>
      <c r="G246" s="290"/>
      <c r="H246" s="290"/>
      <c r="I246" s="290"/>
    </row>
    <row r="247" spans="1:9" ht="20.100000000000001" customHeight="1" x14ac:dyDescent="0.2">
      <c r="A247" s="272">
        <v>18</v>
      </c>
      <c r="B247" s="280" t="s">
        <v>977</v>
      </c>
      <c r="C247" s="280"/>
      <c r="D247" s="280"/>
      <c r="E247" s="280"/>
      <c r="F247" s="280"/>
      <c r="G247" s="280"/>
      <c r="H247" s="280"/>
      <c r="I247" s="280"/>
    </row>
    <row r="248" spans="1:9" ht="20.100000000000001" customHeight="1" x14ac:dyDescent="0.2">
      <c r="A248" s="272">
        <v>19</v>
      </c>
      <c r="B248" s="288" t="s">
        <v>978</v>
      </c>
      <c r="C248" s="295" t="str">
        <f>IF(data!AZ73&gt;0,data!AZ73,"")</f>
        <v/>
      </c>
      <c r="D248" s="295" t="str">
        <f>IF(data!BA73&gt;0,data!BA73,"")</f>
        <v/>
      </c>
      <c r="E248" s="295" t="str">
        <f>IF(data!BB73&gt;0,data!BB73,"")</f>
        <v/>
      </c>
      <c r="F248" s="295" t="str">
        <f>IF(data!BC73&gt;0,data!BC73,"")</f>
        <v/>
      </c>
      <c r="G248" s="295" t="str">
        <f>IF(data!BD73&gt;0,data!BD73,"")</f>
        <v/>
      </c>
      <c r="H248" s="295" t="str">
        <f>IF(data!BE73&gt;0,data!BE73,"")</f>
        <v/>
      </c>
      <c r="I248" s="295" t="str">
        <f>IF(data!BF73&gt;0,data!BF73,"")</f>
        <v/>
      </c>
    </row>
    <row r="249" spans="1:9" ht="20.100000000000001" customHeight="1" x14ac:dyDescent="0.2">
      <c r="A249" s="272">
        <v>20</v>
      </c>
      <c r="B249" s="288" t="s">
        <v>979</v>
      </c>
      <c r="C249" s="295" t="str">
        <f>IF(data!AZ74&gt;0,data!AZ74,"")</f>
        <v/>
      </c>
      <c r="D249" s="295" t="str">
        <f>IF(data!BA74&gt;0,data!BA74,"")</f>
        <v/>
      </c>
      <c r="E249" s="295" t="str">
        <f>IF(data!BB74&gt;0,data!BB74,"")</f>
        <v/>
      </c>
      <c r="F249" s="295" t="str">
        <f>IF(data!BC74&gt;0,data!BC74,"")</f>
        <v/>
      </c>
      <c r="G249" s="295" t="str">
        <f>IF(data!BD74&gt;0,data!BD74,"")</f>
        <v/>
      </c>
      <c r="H249" s="295" t="str">
        <f>IF(data!BE74&gt;0,data!BE74,"")</f>
        <v/>
      </c>
      <c r="I249" s="295" t="str">
        <f>IF(data!BF74&gt;0,data!BF74,"")</f>
        <v/>
      </c>
    </row>
    <row r="250" spans="1:9" ht="20.100000000000001" customHeight="1" x14ac:dyDescent="0.2">
      <c r="A250" s="272">
        <v>21</v>
      </c>
      <c r="B250" s="288" t="s">
        <v>980</v>
      </c>
      <c r="C250" s="295" t="str">
        <f>IF(data!AZ75&gt;0,data!AZ75,"")</f>
        <v/>
      </c>
      <c r="D250" s="295" t="str">
        <f>IF(data!BA75&gt;0,data!BA75,"")</f>
        <v/>
      </c>
      <c r="E250" s="295" t="str">
        <f>IF(data!BB75&gt;0,data!BB75,"")</f>
        <v/>
      </c>
      <c r="F250" s="295" t="str">
        <f>IF(data!BC75&gt;0,data!BC75,"")</f>
        <v/>
      </c>
      <c r="G250" s="295" t="str">
        <f>IF(data!BD75&gt;0,data!BD75,"")</f>
        <v/>
      </c>
      <c r="H250" s="295" t="str">
        <f>IF(data!BE75&gt;0,data!BE75,"")</f>
        <v/>
      </c>
      <c r="I250" s="295" t="str">
        <f>IF(data!BF75&gt;0,data!BF75,"")</f>
        <v/>
      </c>
    </row>
    <row r="251" spans="1:9" ht="20.100000000000001" customHeight="1" x14ac:dyDescent="0.2">
      <c r="A251" s="272" t="s">
        <v>981</v>
      </c>
      <c r="B251" s="280"/>
      <c r="C251" s="290"/>
      <c r="D251" s="290"/>
      <c r="E251" s="290"/>
      <c r="F251" s="290"/>
      <c r="G251" s="290"/>
      <c r="H251" s="290"/>
      <c r="I251" s="290"/>
    </row>
    <row r="252" spans="1:9" ht="20.100000000000001" customHeight="1" x14ac:dyDescent="0.2">
      <c r="A252" s="272">
        <v>22</v>
      </c>
      <c r="B252" s="280" t="s">
        <v>982</v>
      </c>
      <c r="C252" s="296">
        <f>data!AZ90</f>
        <v>4293</v>
      </c>
      <c r="D252" s="296">
        <f>data!BA90</f>
        <v>0</v>
      </c>
      <c r="E252" s="296">
        <f>data!BB90</f>
        <v>0</v>
      </c>
      <c r="F252" s="296">
        <f>data!BC90</f>
        <v>0</v>
      </c>
      <c r="G252" s="296">
        <f>data!BD90</f>
        <v>0</v>
      </c>
      <c r="H252" s="296">
        <f>data!BE90</f>
        <v>12789</v>
      </c>
      <c r="I252" s="296">
        <f>data!BF90</f>
        <v>3241</v>
      </c>
    </row>
    <row r="253" spans="1:9" ht="20.100000000000001" customHeight="1" x14ac:dyDescent="0.2">
      <c r="A253" s="272">
        <v>23</v>
      </c>
      <c r="B253" s="280" t="s">
        <v>983</v>
      </c>
      <c r="C253" s="296">
        <f>data!AZ91</f>
        <v>0</v>
      </c>
      <c r="D253" s="296">
        <f>data!BA91</f>
        <v>0</v>
      </c>
      <c r="E253" s="296">
        <f>data!BB91</f>
        <v>0</v>
      </c>
      <c r="F253" s="296">
        <f>data!BC91</f>
        <v>0</v>
      </c>
      <c r="G253" s="295" t="str">
        <f>IF(data!BD77&gt;0,data!BD77,"")</f>
        <v/>
      </c>
      <c r="H253" s="295"/>
      <c r="I253" s="296">
        <f>data!BF91</f>
        <v>0</v>
      </c>
    </row>
    <row r="254" spans="1:9" ht="20.100000000000001" customHeight="1" x14ac:dyDescent="0.2">
      <c r="A254" s="272">
        <v>24</v>
      </c>
      <c r="B254" s="280" t="s">
        <v>984</v>
      </c>
      <c r="C254" s="295" t="str">
        <f>IF(data!AZ78&gt;0,data!AZ78,"")</f>
        <v/>
      </c>
      <c r="D254" s="296">
        <f>data!BA92</f>
        <v>0</v>
      </c>
      <c r="E254" s="296">
        <f>data!BB92</f>
        <v>0</v>
      </c>
      <c r="F254" s="296">
        <f>data!BC92</f>
        <v>0</v>
      </c>
      <c r="G254" s="295" t="str">
        <f>IF(data!BD78&gt;0,data!BD78,"")</f>
        <v/>
      </c>
      <c r="H254" s="295" t="str">
        <f>IF(data!BE78&gt;0,data!BE78,"")</f>
        <v/>
      </c>
      <c r="I254" s="295" t="str">
        <f>IF(data!BF78&gt;0,data!BF78,"")</f>
        <v/>
      </c>
    </row>
    <row r="255" spans="1:9" ht="20.100000000000001" customHeight="1" x14ac:dyDescent="0.2">
      <c r="A255" s="272">
        <v>25</v>
      </c>
      <c r="B255" s="280" t="s">
        <v>985</v>
      </c>
      <c r="C255" s="295" t="str">
        <f>IF(data!AZ79&gt;0,data!AZ79,"")</f>
        <v/>
      </c>
      <c r="D255" s="295" t="str">
        <f>IF(data!BA79&gt;0,data!BA79,"")</f>
        <v/>
      </c>
      <c r="E255" s="296">
        <f>data!BB93</f>
        <v>0</v>
      </c>
      <c r="F255" s="296">
        <f>data!BC93</f>
        <v>0</v>
      </c>
      <c r="G255" s="295" t="str">
        <f>IF(data!BD79&gt;0,data!BD79,"")</f>
        <v/>
      </c>
      <c r="H255" s="295" t="str">
        <f>IF(data!BE79&gt;0,data!BE79,"")</f>
        <v/>
      </c>
      <c r="I255" s="295" t="str">
        <f>IF(data!BF79&gt;0,data!BF79,"")</f>
        <v/>
      </c>
    </row>
    <row r="256" spans="1:9" ht="20.100000000000001" customHeight="1" x14ac:dyDescent="0.2">
      <c r="A256" s="272">
        <v>26</v>
      </c>
      <c r="B256" s="280" t="s">
        <v>279</v>
      </c>
      <c r="C256" s="295" t="str">
        <f>IF(data!AZ80&gt;0,data!AZ80,"")</f>
        <v/>
      </c>
      <c r="D256" s="295" t="str">
        <f>IF(data!BA80&gt;0,data!BA80,"")</f>
        <v/>
      </c>
      <c r="E256" s="295" t="str">
        <f>IF(data!BB80&gt;0,data!BB80,"")</f>
        <v/>
      </c>
      <c r="F256" s="295" t="str">
        <f>IF(data!BC80&gt;0,data!BC80,"")</f>
        <v/>
      </c>
      <c r="G256" s="295" t="str">
        <f>IF(data!BD80&gt;0,data!BD80,"")</f>
        <v/>
      </c>
      <c r="H256" s="295" t="str">
        <f>IF(data!BE80&gt;0,data!BE80,"")</f>
        <v/>
      </c>
      <c r="I256" s="295" t="str">
        <f>IF(data!BF80&gt;0,data!BF80,"")</f>
        <v/>
      </c>
    </row>
    <row r="257" spans="1:9" ht="20.100000000000001" customHeight="1" x14ac:dyDescent="0.2">
      <c r="A257" s="273" t="s">
        <v>969</v>
      </c>
      <c r="B257" s="274"/>
      <c r="C257" s="274"/>
      <c r="D257" s="274"/>
      <c r="E257" s="274"/>
      <c r="F257" s="274"/>
      <c r="G257" s="274"/>
      <c r="H257" s="274"/>
      <c r="I257" s="273"/>
    </row>
    <row r="258" spans="1:9" ht="20.100000000000001" customHeight="1" x14ac:dyDescent="0.2">
      <c r="D258" s="276"/>
      <c r="I258" s="277" t="s">
        <v>1013</v>
      </c>
    </row>
    <row r="259" spans="1:9" ht="20.100000000000001" customHeight="1" x14ac:dyDescent="0.2">
      <c r="A259" s="276"/>
    </row>
    <row r="260" spans="1:9" ht="20.100000000000001" customHeight="1" x14ac:dyDescent="0.2">
      <c r="A260" s="278" t="str">
        <f>"Hospital: "&amp;data!C98</f>
        <v>Hospital: Jefferson County Public Hospital District No 2</v>
      </c>
      <c r="G260" s="279"/>
      <c r="H260" s="278" t="str">
        <f>"FYE: "&amp;data!C96</f>
        <v>FYE: 12/31/2022</v>
      </c>
    </row>
    <row r="261" spans="1:9" ht="20.100000000000001" customHeight="1" x14ac:dyDescent="0.2">
      <c r="A261" s="272">
        <v>1</v>
      </c>
      <c r="B261" s="280" t="s">
        <v>221</v>
      </c>
      <c r="C261" s="282" t="s">
        <v>77</v>
      </c>
      <c r="D261" s="282" t="s">
        <v>78</v>
      </c>
      <c r="E261" s="282" t="s">
        <v>79</v>
      </c>
      <c r="F261" s="282" t="s">
        <v>80</v>
      </c>
      <c r="G261" s="282" t="s">
        <v>81</v>
      </c>
      <c r="H261" s="282" t="s">
        <v>82</v>
      </c>
      <c r="I261" s="282" t="s">
        <v>83</v>
      </c>
    </row>
    <row r="262" spans="1:9" ht="20.100000000000001" customHeight="1" x14ac:dyDescent="0.2">
      <c r="A262" s="283">
        <v>2</v>
      </c>
      <c r="B262" s="284" t="s">
        <v>971</v>
      </c>
      <c r="C262" s="286" t="s">
        <v>1014</v>
      </c>
      <c r="D262" s="286" t="s">
        <v>155</v>
      </c>
      <c r="E262" s="286" t="s">
        <v>156</v>
      </c>
      <c r="F262" s="286"/>
      <c r="G262" s="286" t="s">
        <v>158</v>
      </c>
      <c r="H262" s="286"/>
      <c r="I262" s="286" t="s">
        <v>144</v>
      </c>
    </row>
    <row r="263" spans="1:9" ht="20.100000000000001" customHeight="1" x14ac:dyDescent="0.2">
      <c r="A263" s="283"/>
      <c r="B263" s="284"/>
      <c r="C263" s="286" t="s">
        <v>1015</v>
      </c>
      <c r="D263" s="286" t="s">
        <v>202</v>
      </c>
      <c r="E263" s="286" t="s">
        <v>181</v>
      </c>
      <c r="F263" s="286" t="s">
        <v>157</v>
      </c>
      <c r="G263" s="286" t="s">
        <v>203</v>
      </c>
      <c r="H263" s="286" t="s">
        <v>159</v>
      </c>
      <c r="I263" s="286" t="s">
        <v>1016</v>
      </c>
    </row>
    <row r="264" spans="1:9" ht="20.100000000000001" customHeight="1" x14ac:dyDescent="0.2">
      <c r="A264" s="272">
        <v>3</v>
      </c>
      <c r="B264" s="280" t="s">
        <v>973</v>
      </c>
      <c r="C264" s="292"/>
      <c r="D264" s="292"/>
      <c r="E264" s="292"/>
      <c r="F264" s="292"/>
      <c r="G264" s="292"/>
      <c r="H264" s="292"/>
      <c r="I264" s="292"/>
    </row>
    <row r="265" spans="1:9" ht="20.100000000000001" customHeight="1" x14ac:dyDescent="0.2">
      <c r="A265" s="272">
        <v>4</v>
      </c>
      <c r="B265" s="280" t="s">
        <v>246</v>
      </c>
      <c r="C265" s="292"/>
      <c r="D265" s="292"/>
      <c r="E265" s="292"/>
      <c r="F265" s="292"/>
      <c r="G265" s="292"/>
      <c r="H265" s="292"/>
      <c r="I265" s="292"/>
    </row>
    <row r="266" spans="1:9" ht="20.100000000000001" customHeight="1" x14ac:dyDescent="0.2">
      <c r="A266" s="272">
        <v>5</v>
      </c>
      <c r="B266" s="280" t="s">
        <v>247</v>
      </c>
      <c r="C266" s="287">
        <f>data!BG60</f>
        <v>0</v>
      </c>
      <c r="D266" s="287">
        <f>data!BH60</f>
        <v>17.809999999999999</v>
      </c>
      <c r="E266" s="287">
        <f>data!BI60</f>
        <v>0</v>
      </c>
      <c r="F266" s="287">
        <f>data!BJ60</f>
        <v>0</v>
      </c>
      <c r="G266" s="287">
        <f>data!BK60</f>
        <v>27</v>
      </c>
      <c r="H266" s="287">
        <f>data!BL60</f>
        <v>16.7</v>
      </c>
      <c r="I266" s="287">
        <f>data!BM60</f>
        <v>0</v>
      </c>
    </row>
    <row r="267" spans="1:9" ht="20.100000000000001" customHeight="1" x14ac:dyDescent="0.2">
      <c r="A267" s="272">
        <v>6</v>
      </c>
      <c r="B267" s="280" t="s">
        <v>248</v>
      </c>
      <c r="C267" s="280">
        <f>data!BG61</f>
        <v>0</v>
      </c>
      <c r="D267" s="280">
        <f>data!BH61</f>
        <v>1704267</v>
      </c>
      <c r="E267" s="280">
        <f>data!BI61</f>
        <v>0</v>
      </c>
      <c r="F267" s="280">
        <f>data!BJ61</f>
        <v>0</v>
      </c>
      <c r="G267" s="280">
        <f>data!BK61</f>
        <v>1236543</v>
      </c>
      <c r="H267" s="280">
        <f>data!BL61</f>
        <v>838648</v>
      </c>
      <c r="I267" s="280">
        <f>data!BM61</f>
        <v>0</v>
      </c>
    </row>
    <row r="268" spans="1:9" ht="20.100000000000001" customHeight="1" x14ac:dyDescent="0.2">
      <c r="A268" s="272">
        <v>7</v>
      </c>
      <c r="B268" s="280" t="s">
        <v>9</v>
      </c>
      <c r="C268" s="280">
        <f>data!BG62</f>
        <v>0</v>
      </c>
      <c r="D268" s="280">
        <f>data!BH62</f>
        <v>375053</v>
      </c>
      <c r="E268" s="280">
        <f>data!BI62</f>
        <v>0</v>
      </c>
      <c r="F268" s="280">
        <f>data!BJ62</f>
        <v>0</v>
      </c>
      <c r="G268" s="280">
        <f>data!BK62</f>
        <v>272123</v>
      </c>
      <c r="H268" s="280">
        <f>data!BL62</f>
        <v>184559</v>
      </c>
      <c r="I268" s="280">
        <f>data!BM62</f>
        <v>0</v>
      </c>
    </row>
    <row r="269" spans="1:9" ht="20.100000000000001" customHeight="1" x14ac:dyDescent="0.2">
      <c r="A269" s="272">
        <v>8</v>
      </c>
      <c r="B269" s="280" t="s">
        <v>249</v>
      </c>
      <c r="C269" s="280">
        <f>data!BG63</f>
        <v>0</v>
      </c>
      <c r="D269" s="280">
        <f>data!BH63</f>
        <v>0</v>
      </c>
      <c r="E269" s="280">
        <f>data!BI63</f>
        <v>0</v>
      </c>
      <c r="F269" s="280">
        <f>data!BJ63</f>
        <v>0</v>
      </c>
      <c r="G269" s="280">
        <f>data!BK63</f>
        <v>39185</v>
      </c>
      <c r="H269" s="280">
        <f>data!BL63</f>
        <v>0</v>
      </c>
      <c r="I269" s="280">
        <f>data!BM63</f>
        <v>0</v>
      </c>
    </row>
    <row r="270" spans="1:9" ht="20.100000000000001" customHeight="1" x14ac:dyDescent="0.2">
      <c r="A270" s="272">
        <v>9</v>
      </c>
      <c r="B270" s="280" t="s">
        <v>250</v>
      </c>
      <c r="C270" s="280">
        <f>data!BG64</f>
        <v>14608</v>
      </c>
      <c r="D270" s="280">
        <f>data!BH64</f>
        <v>327018</v>
      </c>
      <c r="E270" s="280">
        <f>data!BI64</f>
        <v>0</v>
      </c>
      <c r="F270" s="280">
        <f>data!BJ64</f>
        <v>0</v>
      </c>
      <c r="G270" s="280">
        <f>data!BK64</f>
        <v>48243</v>
      </c>
      <c r="H270" s="280">
        <f>data!BL64</f>
        <v>16168</v>
      </c>
      <c r="I270" s="280">
        <f>data!BM64</f>
        <v>0</v>
      </c>
    </row>
    <row r="271" spans="1:9" ht="20.100000000000001" customHeight="1" x14ac:dyDescent="0.2">
      <c r="A271" s="272">
        <v>10</v>
      </c>
      <c r="B271" s="280" t="s">
        <v>497</v>
      </c>
      <c r="C271" s="280">
        <f>data!BG65</f>
        <v>96667</v>
      </c>
      <c r="D271" s="280">
        <f>data!BH65</f>
        <v>3715</v>
      </c>
      <c r="E271" s="280">
        <f>data!BI65</f>
        <v>0</v>
      </c>
      <c r="F271" s="280">
        <f>data!BJ65</f>
        <v>0</v>
      </c>
      <c r="G271" s="280">
        <f>data!BK65</f>
        <v>4747</v>
      </c>
      <c r="H271" s="280">
        <f>data!BL65</f>
        <v>0</v>
      </c>
      <c r="I271" s="280">
        <f>data!BM65</f>
        <v>0</v>
      </c>
    </row>
    <row r="272" spans="1:9" ht="20.100000000000001" customHeight="1" x14ac:dyDescent="0.2">
      <c r="A272" s="272">
        <v>11</v>
      </c>
      <c r="B272" s="280" t="s">
        <v>498</v>
      </c>
      <c r="C272" s="280">
        <f>data!BG66</f>
        <v>269073</v>
      </c>
      <c r="D272" s="280">
        <f>data!BH66</f>
        <v>2093857</v>
      </c>
      <c r="E272" s="280">
        <f>data!BI66</f>
        <v>0</v>
      </c>
      <c r="F272" s="280">
        <f>data!BJ66</f>
        <v>0</v>
      </c>
      <c r="G272" s="280">
        <f>data!BK66</f>
        <v>854287</v>
      </c>
      <c r="H272" s="280">
        <f>data!BL66</f>
        <v>2571</v>
      </c>
      <c r="I272" s="280">
        <f>data!BM66</f>
        <v>0</v>
      </c>
    </row>
    <row r="273" spans="1:9" ht="20.100000000000001" customHeight="1" x14ac:dyDescent="0.2">
      <c r="A273" s="272">
        <v>12</v>
      </c>
      <c r="B273" s="280" t="s">
        <v>11</v>
      </c>
      <c r="C273" s="280">
        <f>data!BG67</f>
        <v>0</v>
      </c>
      <c r="D273" s="280">
        <f>data!BH67</f>
        <v>187905</v>
      </c>
      <c r="E273" s="280">
        <f>data!BI67</f>
        <v>0</v>
      </c>
      <c r="F273" s="280">
        <f>data!BJ67</f>
        <v>0</v>
      </c>
      <c r="G273" s="280">
        <f>data!BK67</f>
        <v>55134</v>
      </c>
      <c r="H273" s="280">
        <f>data!BL67</f>
        <v>66436</v>
      </c>
      <c r="I273" s="280">
        <f>data!BM67</f>
        <v>0</v>
      </c>
    </row>
    <row r="274" spans="1:9" ht="20.100000000000001" customHeight="1" x14ac:dyDescent="0.2">
      <c r="A274" s="272">
        <v>13</v>
      </c>
      <c r="B274" s="280" t="s">
        <v>974</v>
      </c>
      <c r="C274" s="280">
        <f>data!BG68</f>
        <v>0</v>
      </c>
      <c r="D274" s="280">
        <f>data!BH68</f>
        <v>0</v>
      </c>
      <c r="E274" s="280">
        <f>data!BI68</f>
        <v>0</v>
      </c>
      <c r="F274" s="280">
        <f>data!BJ68</f>
        <v>0</v>
      </c>
      <c r="G274" s="280">
        <f>data!BK68</f>
        <v>19727</v>
      </c>
      <c r="H274" s="280">
        <f>data!BL68</f>
        <v>0</v>
      </c>
      <c r="I274" s="280">
        <f>data!BM68</f>
        <v>0</v>
      </c>
    </row>
    <row r="275" spans="1:9" ht="20.100000000000001" customHeight="1" x14ac:dyDescent="0.2">
      <c r="A275" s="272">
        <v>14</v>
      </c>
      <c r="B275" s="280" t="s">
        <v>975</v>
      </c>
      <c r="C275" s="280">
        <f>data!BG69</f>
        <v>38845</v>
      </c>
      <c r="D275" s="280">
        <f>data!BH69</f>
        <v>250474</v>
      </c>
      <c r="E275" s="280">
        <f>data!BI69</f>
        <v>0</v>
      </c>
      <c r="F275" s="280">
        <f>data!BJ69</f>
        <v>0</v>
      </c>
      <c r="G275" s="280">
        <f>data!BK69</f>
        <v>257755</v>
      </c>
      <c r="H275" s="280">
        <f>data!BL69</f>
        <v>1642</v>
      </c>
      <c r="I275" s="280">
        <f>data!BM69</f>
        <v>0</v>
      </c>
    </row>
    <row r="276" spans="1:9" ht="20.100000000000001" customHeight="1" x14ac:dyDescent="0.2">
      <c r="A276" s="272">
        <v>15</v>
      </c>
      <c r="B276" s="280" t="s">
        <v>269</v>
      </c>
      <c r="C276" s="280">
        <f>-data!BG84</f>
        <v>0</v>
      </c>
      <c r="D276" s="280">
        <f>-data!BH84</f>
        <v>0</v>
      </c>
      <c r="E276" s="280">
        <f>-data!BI84</f>
        <v>0</v>
      </c>
      <c r="F276" s="280">
        <f>-data!BJ84</f>
        <v>0</v>
      </c>
      <c r="G276" s="280">
        <f>-data!BK84</f>
        <v>0</v>
      </c>
      <c r="H276" s="280">
        <f>-data!BL84</f>
        <v>0</v>
      </c>
      <c r="I276" s="280">
        <f>-data!BM84</f>
        <v>0</v>
      </c>
    </row>
    <row r="277" spans="1:9" ht="20.100000000000001" customHeight="1" x14ac:dyDescent="0.2">
      <c r="A277" s="272">
        <v>16</v>
      </c>
      <c r="B277" s="288" t="s">
        <v>976</v>
      </c>
      <c r="C277" s="280">
        <f>data!BG85</f>
        <v>419193</v>
      </c>
      <c r="D277" s="280">
        <f>data!BH85</f>
        <v>4942289</v>
      </c>
      <c r="E277" s="280">
        <f>data!BI85</f>
        <v>0</v>
      </c>
      <c r="F277" s="280">
        <f>data!BJ85</f>
        <v>0</v>
      </c>
      <c r="G277" s="280">
        <f>data!BK85</f>
        <v>2787744</v>
      </c>
      <c r="H277" s="280">
        <f>data!BL85</f>
        <v>1110024</v>
      </c>
      <c r="I277" s="280">
        <f>data!BM85</f>
        <v>0</v>
      </c>
    </row>
    <row r="278" spans="1:9" ht="20.100000000000001" customHeight="1" x14ac:dyDescent="0.2">
      <c r="A278" s="272">
        <v>17</v>
      </c>
      <c r="B278" s="280" t="s">
        <v>271</v>
      </c>
      <c r="C278" s="290"/>
      <c r="D278" s="290"/>
      <c r="E278" s="290"/>
      <c r="F278" s="290"/>
      <c r="G278" s="290"/>
      <c r="H278" s="290"/>
      <c r="I278" s="290"/>
    </row>
    <row r="279" spans="1:9" ht="20.100000000000001" customHeight="1" x14ac:dyDescent="0.2">
      <c r="A279" s="272">
        <v>18</v>
      </c>
      <c r="B279" s="280" t="s">
        <v>977</v>
      </c>
      <c r="C279" s="280"/>
      <c r="D279" s="280"/>
      <c r="E279" s="280"/>
      <c r="F279" s="280"/>
      <c r="G279" s="280"/>
      <c r="H279" s="280"/>
      <c r="I279" s="280"/>
    </row>
    <row r="280" spans="1:9" ht="20.100000000000001" customHeight="1" x14ac:dyDescent="0.2">
      <c r="A280" s="272">
        <v>19</v>
      </c>
      <c r="B280" s="288" t="s">
        <v>978</v>
      </c>
      <c r="C280" s="295" t="str">
        <f>IF(data!BG73&gt;0,data!BG73,"")</f>
        <v/>
      </c>
      <c r="D280" s="295" t="str">
        <f>IF(data!BH73&gt;0,data!BH73,"")</f>
        <v/>
      </c>
      <c r="E280" s="295" t="str">
        <f>IF(data!BI73&gt;0,data!BI73,"")</f>
        <v/>
      </c>
      <c r="F280" s="295" t="str">
        <f>IF(data!BJ73&gt;0,data!BJ73,"")</f>
        <v/>
      </c>
      <c r="G280" s="295" t="str">
        <f>IF(data!BK73&gt;0,data!BK73,"")</f>
        <v/>
      </c>
      <c r="H280" s="295" t="str">
        <f>IF(data!BL73&gt;0,data!BL73,"")</f>
        <v/>
      </c>
      <c r="I280" s="295" t="str">
        <f>IF(data!BM73&gt;0,data!BM73,"")</f>
        <v/>
      </c>
    </row>
    <row r="281" spans="1:9" ht="20.100000000000001" customHeight="1" x14ac:dyDescent="0.2">
      <c r="A281" s="272">
        <v>20</v>
      </c>
      <c r="B281" s="288" t="s">
        <v>979</v>
      </c>
      <c r="C281" s="295" t="str">
        <f>IF(data!BG74&gt;0,data!BG74,"")</f>
        <v/>
      </c>
      <c r="D281" s="295" t="str">
        <f>IF(data!BH74&gt;0,data!BH74,"")</f>
        <v/>
      </c>
      <c r="E281" s="295" t="str">
        <f>IF(data!BI74&gt;0,data!BI74,"")</f>
        <v/>
      </c>
      <c r="F281" s="295" t="str">
        <f>IF(data!BJ74&gt;0,data!BJ74,"")</f>
        <v/>
      </c>
      <c r="G281" s="295" t="str">
        <f>IF(data!BK74&gt;0,data!BK74,"")</f>
        <v/>
      </c>
      <c r="H281" s="295" t="str">
        <f>IF(data!BL74&gt;0,data!BL74,"")</f>
        <v/>
      </c>
      <c r="I281" s="295" t="str">
        <f>IF(data!BM74&gt;0,data!BM74,"")</f>
        <v/>
      </c>
    </row>
    <row r="282" spans="1:9" ht="20.100000000000001" customHeight="1" x14ac:dyDescent="0.2">
      <c r="A282" s="272">
        <v>21</v>
      </c>
      <c r="B282" s="288" t="s">
        <v>980</v>
      </c>
      <c r="C282" s="295" t="str">
        <f>IF(data!BG75&gt;0,data!BG75,"")</f>
        <v/>
      </c>
      <c r="D282" s="295" t="str">
        <f>IF(data!BH75&gt;0,data!BH75,"")</f>
        <v/>
      </c>
      <c r="E282" s="295" t="str">
        <f>IF(data!BI75&gt;0,data!BI75,"")</f>
        <v/>
      </c>
      <c r="F282" s="295" t="str">
        <f>IF(data!BJ75&gt;0,data!BJ75,"")</f>
        <v/>
      </c>
      <c r="G282" s="295" t="str">
        <f>IF(data!BK75&gt;0,data!BK75,"")</f>
        <v/>
      </c>
      <c r="H282" s="295" t="str">
        <f>IF(data!BL75&gt;0,data!BL75,"")</f>
        <v/>
      </c>
      <c r="I282" s="295" t="str">
        <f>IF(data!BM75&gt;0,data!BM75,"")</f>
        <v/>
      </c>
    </row>
    <row r="283" spans="1:9" ht="20.100000000000001" customHeight="1" x14ac:dyDescent="0.2">
      <c r="A283" s="272" t="s">
        <v>981</v>
      </c>
      <c r="B283" s="280"/>
      <c r="C283" s="297"/>
      <c r="D283" s="297"/>
      <c r="E283" s="297"/>
      <c r="F283" s="297"/>
      <c r="G283" s="297"/>
      <c r="H283" s="297"/>
      <c r="I283" s="297"/>
    </row>
    <row r="284" spans="1:9" ht="20.100000000000001" customHeight="1" x14ac:dyDescent="0.2">
      <c r="A284" s="272">
        <v>22</v>
      </c>
      <c r="B284" s="280" t="s">
        <v>982</v>
      </c>
      <c r="C284" s="296">
        <f>data!BG90</f>
        <v>0</v>
      </c>
      <c r="D284" s="296">
        <f>data!BH90</f>
        <v>5603</v>
      </c>
      <c r="E284" s="296">
        <f>data!BI90</f>
        <v>0</v>
      </c>
      <c r="F284" s="296">
        <f>data!BJ90</f>
        <v>0</v>
      </c>
      <c r="G284" s="296">
        <f>data!BK90</f>
        <v>1644</v>
      </c>
      <c r="H284" s="296">
        <f>data!BL90</f>
        <v>1981</v>
      </c>
      <c r="I284" s="296">
        <f>data!BM90</f>
        <v>0</v>
      </c>
    </row>
    <row r="285" spans="1:9" ht="20.100000000000001" customHeight="1" x14ac:dyDescent="0.2">
      <c r="A285" s="272">
        <v>23</v>
      </c>
      <c r="B285" s="280" t="s">
        <v>983</v>
      </c>
      <c r="C285" s="295" t="str">
        <f>IF(data!BG77&gt;0,data!BG77,"")</f>
        <v/>
      </c>
      <c r="D285" s="296">
        <f>data!BH91</f>
        <v>0</v>
      </c>
      <c r="E285" s="296">
        <f>data!BI91</f>
        <v>0</v>
      </c>
      <c r="F285" s="295" t="str">
        <f>IF(data!BJ77&gt;0,data!BJ77,"")</f>
        <v/>
      </c>
      <c r="G285" s="296">
        <f>data!BK91</f>
        <v>0</v>
      </c>
      <c r="H285" s="296">
        <f>data!BL91</f>
        <v>0</v>
      </c>
      <c r="I285" s="296">
        <f>data!BM91</f>
        <v>0</v>
      </c>
    </row>
    <row r="286" spans="1:9" ht="20.100000000000001" customHeight="1" x14ac:dyDescent="0.2">
      <c r="A286" s="272">
        <v>24</v>
      </c>
      <c r="B286" s="280" t="s">
        <v>984</v>
      </c>
      <c r="C286" s="295" t="str">
        <f>IF(data!BG78&gt;0,data!BG78,"")</f>
        <v/>
      </c>
      <c r="D286" s="296">
        <f>data!BH92</f>
        <v>12</v>
      </c>
      <c r="E286" s="296">
        <f>data!BI92</f>
        <v>0</v>
      </c>
      <c r="F286" s="295" t="str">
        <f>IF(data!BJ78&gt;0,data!BJ78,"")</f>
        <v/>
      </c>
      <c r="G286" s="296">
        <f>data!BK92</f>
        <v>15</v>
      </c>
      <c r="H286" s="296">
        <f>data!BL92</f>
        <v>15</v>
      </c>
      <c r="I286" s="296">
        <f>data!BM92</f>
        <v>0</v>
      </c>
    </row>
    <row r="287" spans="1:9" ht="20.100000000000001" customHeight="1" x14ac:dyDescent="0.2">
      <c r="A287" s="272">
        <v>25</v>
      </c>
      <c r="B287" s="280" t="s">
        <v>985</v>
      </c>
      <c r="C287" s="295" t="str">
        <f>IF(data!BG79&gt;0,data!BG79,"")</f>
        <v/>
      </c>
      <c r="D287" s="296">
        <f>data!BH93</f>
        <v>3116</v>
      </c>
      <c r="E287" s="296">
        <f>data!BI93</f>
        <v>0</v>
      </c>
      <c r="F287" s="295" t="str">
        <f>IF(data!BJ79&gt;0,data!BJ79,"")</f>
        <v/>
      </c>
      <c r="G287" s="296">
        <f>data!BK93</f>
        <v>0</v>
      </c>
      <c r="H287" s="296">
        <f>data!BL93</f>
        <v>0</v>
      </c>
      <c r="I287" s="296">
        <f>data!BM93</f>
        <v>0</v>
      </c>
    </row>
    <row r="288" spans="1:9" ht="20.100000000000001" customHeight="1" x14ac:dyDescent="0.2">
      <c r="A288" s="272">
        <v>26</v>
      </c>
      <c r="B288" s="280" t="s">
        <v>279</v>
      </c>
      <c r="C288" s="295" t="str">
        <f>IF(data!BG80&gt;0,data!BG80,"")</f>
        <v/>
      </c>
      <c r="D288" s="295" t="str">
        <f>IF(data!BH80&gt;0,data!BH80,"")</f>
        <v/>
      </c>
      <c r="E288" s="295" t="str">
        <f>IF(data!BI80&gt;0,data!BI80,"")</f>
        <v/>
      </c>
      <c r="F288" s="295" t="str">
        <f>IF(data!BJ80&gt;0,data!BJ80,"")</f>
        <v/>
      </c>
      <c r="G288" s="295" t="str">
        <f>IF(data!BK80&gt;0,data!BK80,"")</f>
        <v/>
      </c>
      <c r="H288" s="295" t="str">
        <f>IF(data!BL80&gt;0,data!BL80,"")</f>
        <v/>
      </c>
      <c r="I288" s="295" t="str">
        <f>IF(data!BM80&gt;0,data!BM80,"")</f>
        <v/>
      </c>
    </row>
    <row r="289" spans="1:9" ht="20.100000000000001" customHeight="1" x14ac:dyDescent="0.2">
      <c r="A289" s="273" t="s">
        <v>969</v>
      </c>
      <c r="B289" s="274"/>
      <c r="C289" s="274"/>
      <c r="D289" s="274"/>
      <c r="E289" s="274"/>
      <c r="F289" s="274"/>
      <c r="G289" s="274"/>
      <c r="H289" s="274"/>
      <c r="I289" s="273"/>
    </row>
    <row r="290" spans="1:9" ht="20.100000000000001" customHeight="1" x14ac:dyDescent="0.2">
      <c r="D290" s="276"/>
      <c r="I290" s="277" t="s">
        <v>1017</v>
      </c>
    </row>
    <row r="291" spans="1:9" ht="20.100000000000001" customHeight="1" x14ac:dyDescent="0.2">
      <c r="A291" s="276"/>
    </row>
    <row r="292" spans="1:9" ht="20.100000000000001" customHeight="1" x14ac:dyDescent="0.2">
      <c r="A292" s="278" t="str">
        <f>"Hospital: "&amp;data!C98</f>
        <v>Hospital: Jefferson County Public Hospital District No 2</v>
      </c>
      <c r="G292" s="279"/>
      <c r="H292" s="278" t="str">
        <f>"FYE: "&amp;data!C96</f>
        <v>FYE: 12/31/2022</v>
      </c>
    </row>
    <row r="293" spans="1:9" ht="20.100000000000001" customHeight="1" x14ac:dyDescent="0.2">
      <c r="A293" s="272">
        <v>1</v>
      </c>
      <c r="B293" s="280" t="s">
        <v>221</v>
      </c>
      <c r="C293" s="282" t="s">
        <v>84</v>
      </c>
      <c r="D293" s="282" t="s">
        <v>85</v>
      </c>
      <c r="E293" s="282" t="s">
        <v>86</v>
      </c>
      <c r="F293" s="282" t="s">
        <v>87</v>
      </c>
      <c r="G293" s="282" t="s">
        <v>88</v>
      </c>
      <c r="H293" s="282" t="s">
        <v>89</v>
      </c>
      <c r="I293" s="282" t="s">
        <v>90</v>
      </c>
    </row>
    <row r="294" spans="1:9" ht="20.100000000000001" customHeight="1" x14ac:dyDescent="0.2">
      <c r="A294" s="283">
        <v>2</v>
      </c>
      <c r="B294" s="284" t="s">
        <v>971</v>
      </c>
      <c r="C294" s="286" t="s">
        <v>160</v>
      </c>
      <c r="D294" s="286" t="s">
        <v>161</v>
      </c>
      <c r="E294" s="286" t="s">
        <v>162</v>
      </c>
      <c r="F294" s="286" t="s">
        <v>163</v>
      </c>
      <c r="G294" s="286"/>
      <c r="H294" s="286" t="s">
        <v>165</v>
      </c>
      <c r="I294" s="286" t="s">
        <v>166</v>
      </c>
    </row>
    <row r="295" spans="1:9" ht="20.100000000000001" customHeight="1" x14ac:dyDescent="0.2">
      <c r="A295" s="283"/>
      <c r="B295" s="284"/>
      <c r="C295" s="286" t="s">
        <v>1018</v>
      </c>
      <c r="D295" s="286" t="s">
        <v>206</v>
      </c>
      <c r="E295" s="286" t="s">
        <v>207</v>
      </c>
      <c r="F295" s="286" t="s">
        <v>208</v>
      </c>
      <c r="G295" s="286" t="s">
        <v>164</v>
      </c>
      <c r="H295" s="286" t="s">
        <v>209</v>
      </c>
      <c r="I295" s="286" t="s">
        <v>181</v>
      </c>
    </row>
    <row r="296" spans="1:9" ht="20.100000000000001" customHeight="1" x14ac:dyDescent="0.2">
      <c r="A296" s="272">
        <v>3</v>
      </c>
      <c r="B296" s="280" t="s">
        <v>973</v>
      </c>
      <c r="C296" s="292"/>
      <c r="D296" s="292"/>
      <c r="E296" s="292"/>
      <c r="F296" s="292"/>
      <c r="G296" s="292"/>
      <c r="H296" s="292"/>
      <c r="I296" s="292"/>
    </row>
    <row r="297" spans="1:9" ht="20.100000000000001" customHeight="1" x14ac:dyDescent="0.2">
      <c r="A297" s="272">
        <v>4</v>
      </c>
      <c r="B297" s="280" t="s">
        <v>246</v>
      </c>
      <c r="C297" s="292"/>
      <c r="D297" s="292"/>
      <c r="E297" s="292"/>
      <c r="F297" s="292"/>
      <c r="G297" s="292"/>
      <c r="H297" s="292"/>
      <c r="I297" s="292"/>
    </row>
    <row r="298" spans="1:9" ht="20.100000000000001" customHeight="1" x14ac:dyDescent="0.2">
      <c r="A298" s="272">
        <v>5</v>
      </c>
      <c r="B298" s="280" t="s">
        <v>247</v>
      </c>
      <c r="C298" s="287">
        <f>data!BN60</f>
        <v>0</v>
      </c>
      <c r="D298" s="287">
        <f>data!BO60</f>
        <v>2.11</v>
      </c>
      <c r="E298" s="287">
        <f>data!BP60</f>
        <v>0</v>
      </c>
      <c r="F298" s="287">
        <f>data!BQ60</f>
        <v>0</v>
      </c>
      <c r="G298" s="287">
        <f>data!BR60</f>
        <v>8.2200000000000006</v>
      </c>
      <c r="H298" s="287">
        <f>data!BS60</f>
        <v>0</v>
      </c>
      <c r="I298" s="287">
        <f>data!BT60</f>
        <v>0</v>
      </c>
    </row>
    <row r="299" spans="1:9" ht="20.100000000000001" customHeight="1" x14ac:dyDescent="0.2">
      <c r="A299" s="272">
        <v>6</v>
      </c>
      <c r="B299" s="280" t="s">
        <v>248</v>
      </c>
      <c r="C299" s="280">
        <f>data!BN61</f>
        <v>0</v>
      </c>
      <c r="D299" s="280">
        <f>data!BO61</f>
        <v>184260</v>
      </c>
      <c r="E299" s="280">
        <f>data!BP61</f>
        <v>0</v>
      </c>
      <c r="F299" s="280">
        <f>data!BQ61</f>
        <v>0</v>
      </c>
      <c r="G299" s="280">
        <f>data!BR61</f>
        <v>846252</v>
      </c>
      <c r="H299" s="280">
        <f>data!BS61</f>
        <v>0</v>
      </c>
      <c r="I299" s="280">
        <f>data!BT61</f>
        <v>0</v>
      </c>
    </row>
    <row r="300" spans="1:9" ht="20.100000000000001" customHeight="1" x14ac:dyDescent="0.2">
      <c r="A300" s="272">
        <v>7</v>
      </c>
      <c r="B300" s="280" t="s">
        <v>9</v>
      </c>
      <c r="C300" s="280">
        <f>data!BN62</f>
        <v>0</v>
      </c>
      <c r="D300" s="280">
        <f>data!BO62</f>
        <v>40550</v>
      </c>
      <c r="E300" s="280">
        <f>data!BP62</f>
        <v>0</v>
      </c>
      <c r="F300" s="280">
        <f>data!BQ62</f>
        <v>0</v>
      </c>
      <c r="G300" s="280">
        <f>data!BR62</f>
        <v>186232</v>
      </c>
      <c r="H300" s="280">
        <f>data!BS62</f>
        <v>0</v>
      </c>
      <c r="I300" s="280">
        <f>data!BT62</f>
        <v>0</v>
      </c>
    </row>
    <row r="301" spans="1:9" ht="20.100000000000001" customHeight="1" x14ac:dyDescent="0.2">
      <c r="A301" s="272">
        <v>8</v>
      </c>
      <c r="B301" s="280" t="s">
        <v>249</v>
      </c>
      <c r="C301" s="280">
        <f>data!BN63</f>
        <v>0</v>
      </c>
      <c r="D301" s="280">
        <f>data!BO63</f>
        <v>0</v>
      </c>
      <c r="E301" s="280">
        <f>data!BP63</f>
        <v>0</v>
      </c>
      <c r="F301" s="280">
        <f>data!BQ63</f>
        <v>0</v>
      </c>
      <c r="G301" s="280">
        <f>data!BR63</f>
        <v>200191</v>
      </c>
      <c r="H301" s="280">
        <f>data!BS63</f>
        <v>0</v>
      </c>
      <c r="I301" s="280">
        <f>data!BT63</f>
        <v>0</v>
      </c>
    </row>
    <row r="302" spans="1:9" ht="20.100000000000001" customHeight="1" x14ac:dyDescent="0.2">
      <c r="A302" s="272">
        <v>9</v>
      </c>
      <c r="B302" s="280" t="s">
        <v>250</v>
      </c>
      <c r="C302" s="280">
        <f>data!BN64</f>
        <v>0</v>
      </c>
      <c r="D302" s="280">
        <f>data!BO64</f>
        <v>36904</v>
      </c>
      <c r="E302" s="280">
        <f>data!BP64</f>
        <v>0</v>
      </c>
      <c r="F302" s="280">
        <f>data!BQ64</f>
        <v>0</v>
      </c>
      <c r="G302" s="280">
        <f>data!BR64</f>
        <v>16461</v>
      </c>
      <c r="H302" s="280">
        <f>data!BS64</f>
        <v>0</v>
      </c>
      <c r="I302" s="280">
        <f>data!BT64</f>
        <v>0</v>
      </c>
    </row>
    <row r="303" spans="1:9" ht="20.100000000000001" customHeight="1" x14ac:dyDescent="0.2">
      <c r="A303" s="272">
        <v>10</v>
      </c>
      <c r="B303" s="280" t="s">
        <v>497</v>
      </c>
      <c r="C303" s="280">
        <f>data!BN65</f>
        <v>0</v>
      </c>
      <c r="D303" s="280">
        <f>data!BO65</f>
        <v>0</v>
      </c>
      <c r="E303" s="280">
        <f>data!BP65</f>
        <v>0</v>
      </c>
      <c r="F303" s="280">
        <f>data!BQ65</f>
        <v>0</v>
      </c>
      <c r="G303" s="280">
        <f>data!BR65</f>
        <v>3377</v>
      </c>
      <c r="H303" s="280">
        <f>data!BS65</f>
        <v>0</v>
      </c>
      <c r="I303" s="280">
        <f>data!BT65</f>
        <v>0</v>
      </c>
    </row>
    <row r="304" spans="1:9" ht="20.100000000000001" customHeight="1" x14ac:dyDescent="0.2">
      <c r="A304" s="272">
        <v>11</v>
      </c>
      <c r="B304" s="280" t="s">
        <v>498</v>
      </c>
      <c r="C304" s="280">
        <f>data!BN66</f>
        <v>0</v>
      </c>
      <c r="D304" s="280">
        <f>data!BO66</f>
        <v>8470</v>
      </c>
      <c r="E304" s="280">
        <f>data!BP66</f>
        <v>0</v>
      </c>
      <c r="F304" s="280">
        <f>data!BQ66</f>
        <v>0</v>
      </c>
      <c r="G304" s="280">
        <f>data!BR66</f>
        <v>166850</v>
      </c>
      <c r="H304" s="280">
        <f>data!BS66</f>
        <v>0</v>
      </c>
      <c r="I304" s="280">
        <f>data!BT66</f>
        <v>0</v>
      </c>
    </row>
    <row r="305" spans="1:9" ht="20.100000000000001" customHeight="1" x14ac:dyDescent="0.2">
      <c r="A305" s="272">
        <v>12</v>
      </c>
      <c r="B305" s="280" t="s">
        <v>11</v>
      </c>
      <c r="C305" s="280">
        <f>data!BN67</f>
        <v>0</v>
      </c>
      <c r="D305" s="280">
        <f>data!BO67</f>
        <v>8149</v>
      </c>
      <c r="E305" s="280">
        <f>data!BP67</f>
        <v>0</v>
      </c>
      <c r="F305" s="280">
        <f>data!BQ67</f>
        <v>0</v>
      </c>
      <c r="G305" s="280">
        <f>data!BR67</f>
        <v>45442</v>
      </c>
      <c r="H305" s="280">
        <f>data!BS67</f>
        <v>0</v>
      </c>
      <c r="I305" s="280">
        <f>data!BT67</f>
        <v>0</v>
      </c>
    </row>
    <row r="306" spans="1:9" ht="20.100000000000001" customHeight="1" x14ac:dyDescent="0.2">
      <c r="A306" s="272">
        <v>13</v>
      </c>
      <c r="B306" s="280" t="s">
        <v>974</v>
      </c>
      <c r="C306" s="280">
        <f>data!BN68</f>
        <v>0</v>
      </c>
      <c r="D306" s="280">
        <f>data!BO68</f>
        <v>0</v>
      </c>
      <c r="E306" s="280">
        <f>data!BP68</f>
        <v>0</v>
      </c>
      <c r="F306" s="280">
        <f>data!BQ68</f>
        <v>0</v>
      </c>
      <c r="G306" s="280">
        <f>data!BR68</f>
        <v>10</v>
      </c>
      <c r="H306" s="280">
        <f>data!BS68</f>
        <v>0</v>
      </c>
      <c r="I306" s="280">
        <f>data!BT68</f>
        <v>0</v>
      </c>
    </row>
    <row r="307" spans="1:9" ht="20.100000000000001" customHeight="1" x14ac:dyDescent="0.2">
      <c r="A307" s="272">
        <v>14</v>
      </c>
      <c r="B307" s="280" t="s">
        <v>975</v>
      </c>
      <c r="C307" s="280">
        <f>data!BN69</f>
        <v>0</v>
      </c>
      <c r="D307" s="280">
        <f>data!BO69</f>
        <v>8378</v>
      </c>
      <c r="E307" s="280">
        <f>data!BP69</f>
        <v>0</v>
      </c>
      <c r="F307" s="280">
        <f>data!BQ69</f>
        <v>0</v>
      </c>
      <c r="G307" s="280">
        <f>data!BR69</f>
        <v>59252</v>
      </c>
      <c r="H307" s="280">
        <f>data!BS69</f>
        <v>0</v>
      </c>
      <c r="I307" s="280">
        <f>data!BT69</f>
        <v>0</v>
      </c>
    </row>
    <row r="308" spans="1:9" ht="20.100000000000001" customHeight="1" x14ac:dyDescent="0.2">
      <c r="A308" s="272">
        <v>15</v>
      </c>
      <c r="B308" s="280" t="s">
        <v>269</v>
      </c>
      <c r="C308" s="280">
        <f>-data!BN84</f>
        <v>0</v>
      </c>
      <c r="D308" s="280">
        <f>-data!BO84</f>
        <v>0</v>
      </c>
      <c r="E308" s="280">
        <f>-data!BP84</f>
        <v>0</v>
      </c>
      <c r="F308" s="280">
        <f>-data!BQ84</f>
        <v>0</v>
      </c>
      <c r="G308" s="280">
        <f>-data!BR84</f>
        <v>0</v>
      </c>
      <c r="H308" s="280">
        <f>-data!BS84</f>
        <v>0</v>
      </c>
      <c r="I308" s="280">
        <f>-data!BT84</f>
        <v>0</v>
      </c>
    </row>
    <row r="309" spans="1:9" ht="20.100000000000001" customHeight="1" x14ac:dyDescent="0.2">
      <c r="A309" s="272">
        <v>16</v>
      </c>
      <c r="B309" s="288" t="s">
        <v>976</v>
      </c>
      <c r="C309" s="280">
        <f>data!BN85</f>
        <v>0</v>
      </c>
      <c r="D309" s="280">
        <f>data!BO85</f>
        <v>286711</v>
      </c>
      <c r="E309" s="280">
        <f>data!BP85</f>
        <v>0</v>
      </c>
      <c r="F309" s="280">
        <f>data!BQ85</f>
        <v>0</v>
      </c>
      <c r="G309" s="280">
        <f>data!BR85</f>
        <v>1524067</v>
      </c>
      <c r="H309" s="280">
        <f>data!BS85</f>
        <v>0</v>
      </c>
      <c r="I309" s="280">
        <f>data!BT85</f>
        <v>0</v>
      </c>
    </row>
    <row r="310" spans="1:9" ht="20.100000000000001" customHeight="1" x14ac:dyDescent="0.2">
      <c r="A310" s="272">
        <v>17</v>
      </c>
      <c r="B310" s="280" t="s">
        <v>271</v>
      </c>
      <c r="C310" s="290"/>
      <c r="D310" s="290"/>
      <c r="E310" s="290"/>
      <c r="F310" s="290"/>
      <c r="G310" s="290"/>
      <c r="H310" s="290"/>
      <c r="I310" s="290"/>
    </row>
    <row r="311" spans="1:9" ht="20.100000000000001" customHeight="1" x14ac:dyDescent="0.2">
      <c r="A311" s="272">
        <v>18</v>
      </c>
      <c r="B311" s="280" t="s">
        <v>977</v>
      </c>
      <c r="C311" s="280"/>
      <c r="D311" s="280"/>
      <c r="E311" s="280"/>
      <c r="F311" s="280"/>
      <c r="G311" s="280"/>
      <c r="H311" s="280"/>
      <c r="I311" s="280"/>
    </row>
    <row r="312" spans="1:9" ht="20.100000000000001" customHeight="1" x14ac:dyDescent="0.2">
      <c r="A312" s="272">
        <v>19</v>
      </c>
      <c r="B312" s="288" t="s">
        <v>978</v>
      </c>
      <c r="C312" s="295" t="str">
        <f>IF(data!BN73&gt;0,data!BN73,"")</f>
        <v/>
      </c>
      <c r="D312" s="295" t="str">
        <f>IF(data!BO73&gt;0,data!BO73,"")</f>
        <v/>
      </c>
      <c r="E312" s="295" t="str">
        <f>IF(data!BP73&gt;0,data!BP73,"")</f>
        <v/>
      </c>
      <c r="F312" s="295" t="str">
        <f>IF(data!BQ73&gt;0,data!BQ73,"")</f>
        <v/>
      </c>
      <c r="G312" s="295" t="str">
        <f>IF(data!BR73&gt;0,data!BR73,"")</f>
        <v/>
      </c>
      <c r="H312" s="295" t="str">
        <f>IF(data!BS73&gt;0,data!BS73,"")</f>
        <v/>
      </c>
      <c r="I312" s="295" t="str">
        <f>IF(data!BT73&gt;0,data!BT73,"")</f>
        <v/>
      </c>
    </row>
    <row r="313" spans="1:9" ht="20.100000000000001" customHeight="1" x14ac:dyDescent="0.2">
      <c r="A313" s="272">
        <v>20</v>
      </c>
      <c r="B313" s="288" t="s">
        <v>979</v>
      </c>
      <c r="C313" s="295" t="str">
        <f>IF(data!BN74&gt;0,data!BN74,"")</f>
        <v/>
      </c>
      <c r="D313" s="295" t="str">
        <f>IF(data!BO74&gt;0,data!BO74,"")</f>
        <v/>
      </c>
      <c r="E313" s="295" t="str">
        <f>IF(data!BP74&gt;0,data!BP74,"")</f>
        <v/>
      </c>
      <c r="F313" s="295" t="str">
        <f>IF(data!BQ74&gt;0,data!BQ74,"")</f>
        <v/>
      </c>
      <c r="G313" s="295" t="str">
        <f>IF(data!BR74&gt;0,data!BR74,"")</f>
        <v/>
      </c>
      <c r="H313" s="295" t="str">
        <f>IF(data!BS74&gt;0,data!BS74,"")</f>
        <v/>
      </c>
      <c r="I313" s="295" t="str">
        <f>IF(data!BT74&gt;0,data!BT74,"")</f>
        <v/>
      </c>
    </row>
    <row r="314" spans="1:9" ht="20.100000000000001" customHeight="1" x14ac:dyDescent="0.2">
      <c r="A314" s="272">
        <v>21</v>
      </c>
      <c r="B314" s="288" t="s">
        <v>980</v>
      </c>
      <c r="C314" s="295" t="str">
        <f>IF(data!BN75&gt;0,data!BN75,"")</f>
        <v/>
      </c>
      <c r="D314" s="295" t="str">
        <f>IF(data!BO75&gt;0,data!BO75,"")</f>
        <v/>
      </c>
      <c r="E314" s="295" t="str">
        <f>IF(data!BP75&gt;0,data!BP75,"")</f>
        <v/>
      </c>
      <c r="F314" s="295" t="str">
        <f>IF(data!BQ75&gt;0,data!BQ75,"")</f>
        <v/>
      </c>
      <c r="G314" s="295" t="str">
        <f>IF(data!BR75&gt;0,data!BR75,"")</f>
        <v/>
      </c>
      <c r="H314" s="295" t="str">
        <f>IF(data!BS75&gt;0,data!BS75,"")</f>
        <v/>
      </c>
      <c r="I314" s="295" t="str">
        <f>IF(data!BT75&gt;0,data!BT75,"")</f>
        <v/>
      </c>
    </row>
    <row r="315" spans="1:9" ht="20.100000000000001" customHeight="1" x14ac:dyDescent="0.2">
      <c r="A315" s="272" t="s">
        <v>981</v>
      </c>
      <c r="B315" s="280"/>
      <c r="C315" s="290"/>
      <c r="D315" s="290"/>
      <c r="E315" s="290"/>
      <c r="F315" s="290"/>
      <c r="G315" s="290"/>
      <c r="H315" s="290"/>
      <c r="I315" s="290"/>
    </row>
    <row r="316" spans="1:9" ht="20.100000000000001" customHeight="1" x14ac:dyDescent="0.2">
      <c r="A316" s="272">
        <v>22</v>
      </c>
      <c r="B316" s="280" t="s">
        <v>982</v>
      </c>
      <c r="C316" s="296">
        <f>data!BN90</f>
        <v>0</v>
      </c>
      <c r="D316" s="296">
        <f>data!BO90</f>
        <v>243</v>
      </c>
      <c r="E316" s="296">
        <f>data!BP90</f>
        <v>0</v>
      </c>
      <c r="F316" s="296">
        <f>data!BQ90</f>
        <v>0</v>
      </c>
      <c r="G316" s="296">
        <f>data!BR90</f>
        <v>1355</v>
      </c>
      <c r="H316" s="296">
        <f>data!BS90</f>
        <v>0</v>
      </c>
      <c r="I316" s="296">
        <f>data!BT90</f>
        <v>0</v>
      </c>
    </row>
    <row r="317" spans="1:9" ht="20.100000000000001" customHeight="1" x14ac:dyDescent="0.2">
      <c r="A317" s="272">
        <v>23</v>
      </c>
      <c r="B317" s="280" t="s">
        <v>983</v>
      </c>
      <c r="C317" s="295" t="str">
        <f>IF(data!BN77&gt;0,data!BN77,"")</f>
        <v/>
      </c>
      <c r="D317" s="295"/>
      <c r="E317" s="295" t="str">
        <f>IF(data!BP77&gt;0,data!BP77,"")</f>
        <v/>
      </c>
      <c r="F317" s="295" t="str">
        <f>IF(data!BQ77&gt;0,data!BQ77,"")</f>
        <v/>
      </c>
      <c r="G317" s="296">
        <f>data!BR91</f>
        <v>0</v>
      </c>
      <c r="H317" s="296">
        <f>data!BS91</f>
        <v>0</v>
      </c>
      <c r="I317" s="296">
        <f>data!BT91</f>
        <v>0</v>
      </c>
    </row>
    <row r="318" spans="1:9" ht="20.100000000000001" customHeight="1" x14ac:dyDescent="0.2">
      <c r="A318" s="272">
        <v>24</v>
      </c>
      <c r="B318" s="280" t="s">
        <v>984</v>
      </c>
      <c r="C318" s="295" t="str">
        <f>IF(data!BN78&gt;0,data!BN78,"")</f>
        <v/>
      </c>
      <c r="D318" s="295" t="str">
        <f>IF(data!BO78&gt;0,data!BO78,"")</f>
        <v/>
      </c>
      <c r="E318" s="295" t="str">
        <f>IF(data!BP78&gt;0,data!BP78,"")</f>
        <v/>
      </c>
      <c r="F318" s="295" t="str">
        <f>IF(data!BQ78&gt;0,data!BQ78,"")</f>
        <v/>
      </c>
      <c r="G318" s="295" t="str">
        <f>IF(data!BR78&gt;0,data!BR78,"")</f>
        <v/>
      </c>
      <c r="H318" s="296">
        <f>data!BS92</f>
        <v>0</v>
      </c>
      <c r="I318" s="296">
        <f>data!BT92</f>
        <v>0</v>
      </c>
    </row>
    <row r="319" spans="1:9" ht="20.100000000000001" customHeight="1" x14ac:dyDescent="0.2">
      <c r="A319" s="272">
        <v>25</v>
      </c>
      <c r="B319" s="280" t="s">
        <v>985</v>
      </c>
      <c r="C319" s="295" t="str">
        <f>IF(data!BN79&gt;0,data!BN79,"")</f>
        <v/>
      </c>
      <c r="D319" s="295" t="str">
        <f>IF(data!BO79&gt;0,data!BO79,"")</f>
        <v/>
      </c>
      <c r="E319" s="295" t="str">
        <f>IF(data!BP79&gt;0,data!BP79,"")</f>
        <v/>
      </c>
      <c r="F319" s="295" t="str">
        <f>IF(data!BQ79&gt;0,data!BQ79,"")</f>
        <v/>
      </c>
      <c r="G319" s="295" t="str">
        <f>IF(data!BR79&gt;0,data!BR79,"")</f>
        <v/>
      </c>
      <c r="H319" s="296">
        <f>data!BS93</f>
        <v>0</v>
      </c>
      <c r="I319" s="296">
        <f>data!BT93</f>
        <v>0</v>
      </c>
    </row>
    <row r="320" spans="1:9" ht="20.100000000000001" customHeight="1" x14ac:dyDescent="0.2">
      <c r="A320" s="272">
        <v>26</v>
      </c>
      <c r="B320" s="280" t="s">
        <v>279</v>
      </c>
      <c r="C320" s="298" t="str">
        <f>IF(data!BN80&gt;0,data!BN80,"")</f>
        <v/>
      </c>
      <c r="D320" s="298" t="str">
        <f>IF(data!BO80&gt;0,data!BO80,"")</f>
        <v/>
      </c>
      <c r="E320" s="298" t="str">
        <f>IF(data!BP80&gt;0,data!BP80,"")</f>
        <v/>
      </c>
      <c r="F320" s="298" t="str">
        <f>IF(data!BQ80&gt;0,data!BQ80,"")</f>
        <v/>
      </c>
      <c r="G320" s="298" t="str">
        <f>IF(data!BR80&gt;0,data!BR80,"")</f>
        <v/>
      </c>
      <c r="H320" s="298" t="str">
        <f>IF(data!BS80&gt;0,data!BS80,"")</f>
        <v/>
      </c>
      <c r="I320" s="298" t="str">
        <f>IF(data!BT80&gt;0,data!BT80,"")</f>
        <v/>
      </c>
    </row>
    <row r="321" spans="1:9" ht="20.100000000000001" customHeight="1" x14ac:dyDescent="0.2">
      <c r="A321" s="273" t="s">
        <v>969</v>
      </c>
      <c r="B321" s="274"/>
      <c r="C321" s="274"/>
      <c r="D321" s="274"/>
      <c r="E321" s="274"/>
      <c r="F321" s="274"/>
      <c r="G321" s="274"/>
      <c r="H321" s="274"/>
      <c r="I321" s="273"/>
    </row>
    <row r="322" spans="1:9" ht="20.100000000000001" customHeight="1" x14ac:dyDescent="0.2">
      <c r="D322" s="276"/>
      <c r="I322" s="277" t="s">
        <v>1019</v>
      </c>
    </row>
    <row r="323" spans="1:9" ht="20.100000000000001" customHeight="1" x14ac:dyDescent="0.2">
      <c r="A323" s="276"/>
    </row>
    <row r="324" spans="1:9" ht="20.100000000000001" customHeight="1" x14ac:dyDescent="0.2">
      <c r="A324" s="278" t="str">
        <f>"Hospital: "&amp;data!C98</f>
        <v>Hospital: Jefferson County Public Hospital District No 2</v>
      </c>
      <c r="G324" s="279"/>
      <c r="H324" s="278" t="str">
        <f>"FYE: "&amp;data!C96</f>
        <v>FYE: 12/31/2022</v>
      </c>
    </row>
    <row r="325" spans="1:9" ht="20.100000000000001" customHeight="1" x14ac:dyDescent="0.2">
      <c r="A325" s="272">
        <v>1</v>
      </c>
      <c r="B325" s="280" t="s">
        <v>221</v>
      </c>
      <c r="C325" s="282" t="s">
        <v>91</v>
      </c>
      <c r="D325" s="282" t="s">
        <v>92</v>
      </c>
      <c r="E325" s="282" t="s">
        <v>93</v>
      </c>
      <c r="F325" s="282" t="s">
        <v>94</v>
      </c>
      <c r="G325" s="282" t="s">
        <v>95</v>
      </c>
      <c r="H325" s="282" t="s">
        <v>96</v>
      </c>
      <c r="I325" s="282" t="s">
        <v>97</v>
      </c>
    </row>
    <row r="326" spans="1:9" ht="20.100000000000001" customHeight="1" x14ac:dyDescent="0.2">
      <c r="A326" s="283">
        <v>2</v>
      </c>
      <c r="B326" s="284" t="s">
        <v>971</v>
      </c>
      <c r="C326" s="286" t="s">
        <v>167</v>
      </c>
      <c r="D326" s="286" t="s">
        <v>167</v>
      </c>
      <c r="E326" s="286" t="s">
        <v>167</v>
      </c>
      <c r="F326" s="286" t="s">
        <v>168</v>
      </c>
      <c r="G326" s="286" t="s">
        <v>169</v>
      </c>
      <c r="H326" s="286" t="s">
        <v>170</v>
      </c>
      <c r="I326" s="286" t="s">
        <v>171</v>
      </c>
    </row>
    <row r="327" spans="1:9" ht="20.100000000000001" customHeight="1" x14ac:dyDescent="0.2">
      <c r="A327" s="283"/>
      <c r="B327" s="284"/>
      <c r="C327" s="286" t="s">
        <v>210</v>
      </c>
      <c r="D327" s="286" t="s">
        <v>211</v>
      </c>
      <c r="E327" s="286" t="s">
        <v>212</v>
      </c>
      <c r="F327" s="286" t="s">
        <v>163</v>
      </c>
      <c r="G327" s="286" t="s">
        <v>1018</v>
      </c>
      <c r="H327" s="286" t="s">
        <v>164</v>
      </c>
      <c r="I327" s="286" t="s">
        <v>213</v>
      </c>
    </row>
    <row r="328" spans="1:9" ht="20.100000000000001" customHeight="1" x14ac:dyDescent="0.2">
      <c r="A328" s="272">
        <v>3</v>
      </c>
      <c r="B328" s="280" t="s">
        <v>973</v>
      </c>
      <c r="C328" s="292"/>
      <c r="D328" s="292"/>
      <c r="E328" s="292"/>
      <c r="F328" s="292"/>
      <c r="G328" s="292"/>
      <c r="H328" s="292"/>
      <c r="I328" s="292"/>
    </row>
    <row r="329" spans="1:9" ht="20.100000000000001" customHeight="1" x14ac:dyDescent="0.2">
      <c r="A329" s="272">
        <v>4</v>
      </c>
      <c r="B329" s="280" t="s">
        <v>246</v>
      </c>
      <c r="C329" s="292"/>
      <c r="D329" s="292"/>
      <c r="E329" s="292"/>
      <c r="F329" s="292"/>
      <c r="G329" s="292"/>
      <c r="H329" s="292"/>
      <c r="I329" s="292"/>
    </row>
    <row r="330" spans="1:9" ht="20.100000000000001" customHeight="1" x14ac:dyDescent="0.2">
      <c r="A330" s="272">
        <v>5</v>
      </c>
      <c r="B330" s="280" t="s">
        <v>247</v>
      </c>
      <c r="C330" s="287">
        <f>data!BU60</f>
        <v>0</v>
      </c>
      <c r="D330" s="287">
        <f>data!BV60</f>
        <v>10.01</v>
      </c>
      <c r="E330" s="287">
        <f>data!BW60</f>
        <v>0</v>
      </c>
      <c r="F330" s="287">
        <f>data!BX60</f>
        <v>0</v>
      </c>
      <c r="G330" s="287">
        <f>data!BY60</f>
        <v>20.97</v>
      </c>
      <c r="H330" s="287">
        <f>data!BZ60</f>
        <v>0</v>
      </c>
      <c r="I330" s="287">
        <f>data!CA60</f>
        <v>0</v>
      </c>
    </row>
    <row r="331" spans="1:9" ht="20.100000000000001" customHeight="1" x14ac:dyDescent="0.2">
      <c r="A331" s="272">
        <v>6</v>
      </c>
      <c r="B331" s="280" t="s">
        <v>248</v>
      </c>
      <c r="C331" s="299">
        <f>data!BU61</f>
        <v>0</v>
      </c>
      <c r="D331" s="299">
        <f>data!BV61</f>
        <v>598769</v>
      </c>
      <c r="E331" s="299">
        <f>data!BW61</f>
        <v>0</v>
      </c>
      <c r="F331" s="299">
        <f>data!BX61</f>
        <v>0</v>
      </c>
      <c r="G331" s="299">
        <f>data!BY61</f>
        <v>2244929</v>
      </c>
      <c r="H331" s="299">
        <f>data!BZ61</f>
        <v>0</v>
      </c>
      <c r="I331" s="299">
        <f>data!CA61</f>
        <v>0</v>
      </c>
    </row>
    <row r="332" spans="1:9" ht="20.100000000000001" customHeight="1" x14ac:dyDescent="0.2">
      <c r="A332" s="272">
        <v>7</v>
      </c>
      <c r="B332" s="280" t="s">
        <v>9</v>
      </c>
      <c r="C332" s="299">
        <f>data!BU62</f>
        <v>0</v>
      </c>
      <c r="D332" s="299">
        <f>data!BV62</f>
        <v>131769</v>
      </c>
      <c r="E332" s="299">
        <f>data!BW62</f>
        <v>0</v>
      </c>
      <c r="F332" s="299">
        <f>data!BX62</f>
        <v>0</v>
      </c>
      <c r="G332" s="299">
        <f>data!BY62</f>
        <v>494035</v>
      </c>
      <c r="H332" s="299">
        <f>data!BZ62</f>
        <v>0</v>
      </c>
      <c r="I332" s="299">
        <f>data!CA62</f>
        <v>0</v>
      </c>
    </row>
    <row r="333" spans="1:9" ht="20.100000000000001" customHeight="1" x14ac:dyDescent="0.2">
      <c r="A333" s="272">
        <v>8</v>
      </c>
      <c r="B333" s="280" t="s">
        <v>249</v>
      </c>
      <c r="C333" s="299">
        <f>data!BU63</f>
        <v>0</v>
      </c>
      <c r="D333" s="299">
        <f>data!BV63</f>
        <v>37225</v>
      </c>
      <c r="E333" s="299">
        <f>data!BW63</f>
        <v>0</v>
      </c>
      <c r="F333" s="299">
        <f>data!BX63</f>
        <v>0</v>
      </c>
      <c r="G333" s="299">
        <f>data!BY63</f>
        <v>9802</v>
      </c>
      <c r="H333" s="299">
        <f>data!BZ63</f>
        <v>0</v>
      </c>
      <c r="I333" s="299">
        <f>data!CA63</f>
        <v>0</v>
      </c>
    </row>
    <row r="334" spans="1:9" ht="20.100000000000001" customHeight="1" x14ac:dyDescent="0.2">
      <c r="A334" s="272">
        <v>9</v>
      </c>
      <c r="B334" s="280" t="s">
        <v>250</v>
      </c>
      <c r="C334" s="299">
        <f>data!BU64</f>
        <v>0</v>
      </c>
      <c r="D334" s="299">
        <f>data!BV64</f>
        <v>13082</v>
      </c>
      <c r="E334" s="299">
        <f>data!BW64</f>
        <v>0</v>
      </c>
      <c r="F334" s="299">
        <f>data!BX64</f>
        <v>0</v>
      </c>
      <c r="G334" s="299">
        <f>data!BY64</f>
        <v>146019</v>
      </c>
      <c r="H334" s="299">
        <f>data!BZ64</f>
        <v>0</v>
      </c>
      <c r="I334" s="299">
        <f>data!CA64</f>
        <v>0</v>
      </c>
    </row>
    <row r="335" spans="1:9" ht="20.100000000000001" customHeight="1" x14ac:dyDescent="0.2">
      <c r="A335" s="272">
        <v>10</v>
      </c>
      <c r="B335" s="280" t="s">
        <v>497</v>
      </c>
      <c r="C335" s="299">
        <f>data!BU65</f>
        <v>0</v>
      </c>
      <c r="D335" s="299">
        <f>data!BV65</f>
        <v>8818</v>
      </c>
      <c r="E335" s="299">
        <f>data!BW65</f>
        <v>0</v>
      </c>
      <c r="F335" s="299">
        <f>data!BX65</f>
        <v>0</v>
      </c>
      <c r="G335" s="299">
        <f>data!BY65</f>
        <v>1279</v>
      </c>
      <c r="H335" s="299">
        <f>data!BZ65</f>
        <v>0</v>
      </c>
      <c r="I335" s="299">
        <f>data!CA65</f>
        <v>0</v>
      </c>
    </row>
    <row r="336" spans="1:9" ht="20.100000000000001" customHeight="1" x14ac:dyDescent="0.2">
      <c r="A336" s="272">
        <v>11</v>
      </c>
      <c r="B336" s="280" t="s">
        <v>498</v>
      </c>
      <c r="C336" s="299">
        <f>data!BU66</f>
        <v>0</v>
      </c>
      <c r="D336" s="299">
        <f>data!BV66</f>
        <v>94770</v>
      </c>
      <c r="E336" s="299">
        <f>data!BW66</f>
        <v>0</v>
      </c>
      <c r="F336" s="299">
        <f>data!BX66</f>
        <v>0</v>
      </c>
      <c r="G336" s="299">
        <f>data!BY66</f>
        <v>56784</v>
      </c>
      <c r="H336" s="299">
        <f>data!BZ66</f>
        <v>0</v>
      </c>
      <c r="I336" s="299">
        <f>data!CA66</f>
        <v>0</v>
      </c>
    </row>
    <row r="337" spans="1:9" ht="20.100000000000001" customHeight="1" x14ac:dyDescent="0.2">
      <c r="A337" s="272">
        <v>12</v>
      </c>
      <c r="B337" s="280" t="s">
        <v>11</v>
      </c>
      <c r="C337" s="299">
        <f>data!BU67</f>
        <v>0</v>
      </c>
      <c r="D337" s="299">
        <f>data!BV67</f>
        <v>0</v>
      </c>
      <c r="E337" s="299">
        <f>data!BW67</f>
        <v>0</v>
      </c>
      <c r="F337" s="299">
        <f>data!BX67</f>
        <v>0</v>
      </c>
      <c r="G337" s="299">
        <f>data!BY67</f>
        <v>59896</v>
      </c>
      <c r="H337" s="299">
        <f>data!BZ67</f>
        <v>0</v>
      </c>
      <c r="I337" s="299">
        <f>data!CA67</f>
        <v>0</v>
      </c>
    </row>
    <row r="338" spans="1:9" ht="20.100000000000001" customHeight="1" x14ac:dyDescent="0.2">
      <c r="A338" s="272">
        <v>13</v>
      </c>
      <c r="B338" s="280" t="s">
        <v>974</v>
      </c>
      <c r="C338" s="299">
        <f>data!BU68</f>
        <v>0</v>
      </c>
      <c r="D338" s="299">
        <f>data!BV68</f>
        <v>19727</v>
      </c>
      <c r="E338" s="299">
        <f>data!BW68</f>
        <v>0</v>
      </c>
      <c r="F338" s="299">
        <f>data!BX68</f>
        <v>0</v>
      </c>
      <c r="G338" s="299">
        <f>data!BY68</f>
        <v>249</v>
      </c>
      <c r="H338" s="299">
        <f>data!BZ68</f>
        <v>0</v>
      </c>
      <c r="I338" s="299">
        <f>data!CA68</f>
        <v>0</v>
      </c>
    </row>
    <row r="339" spans="1:9" ht="20.100000000000001" customHeight="1" x14ac:dyDescent="0.2">
      <c r="A339" s="272">
        <v>14</v>
      </c>
      <c r="B339" s="280" t="s">
        <v>975</v>
      </c>
      <c r="C339" s="299">
        <f>data!BU69</f>
        <v>0</v>
      </c>
      <c r="D339" s="299">
        <f>data!BV69</f>
        <v>5751</v>
      </c>
      <c r="E339" s="299">
        <f>data!BW69</f>
        <v>0</v>
      </c>
      <c r="F339" s="299">
        <f>data!BX69</f>
        <v>0</v>
      </c>
      <c r="G339" s="299">
        <f>data!BY69</f>
        <v>163976</v>
      </c>
      <c r="H339" s="299">
        <f>data!BZ69</f>
        <v>0</v>
      </c>
      <c r="I339" s="299">
        <f>data!CA69</f>
        <v>0</v>
      </c>
    </row>
    <row r="340" spans="1:9" ht="20.100000000000001" customHeight="1" x14ac:dyDescent="0.2">
      <c r="A340" s="272">
        <v>15</v>
      </c>
      <c r="B340" s="280" t="s">
        <v>269</v>
      </c>
      <c r="C340" s="280">
        <f>-data!BU84</f>
        <v>0</v>
      </c>
      <c r="D340" s="280">
        <f>-data!BV84</f>
        <v>0</v>
      </c>
      <c r="E340" s="280">
        <f>-data!BW84</f>
        <v>0</v>
      </c>
      <c r="F340" s="280">
        <f>-data!BX84</f>
        <v>0</v>
      </c>
      <c r="G340" s="280">
        <f>-data!BY84</f>
        <v>0</v>
      </c>
      <c r="H340" s="280">
        <f>-data!BZ84</f>
        <v>0</v>
      </c>
      <c r="I340" s="280">
        <f>-data!CA84</f>
        <v>0</v>
      </c>
    </row>
    <row r="341" spans="1:9" ht="20.100000000000001" customHeight="1" x14ac:dyDescent="0.2">
      <c r="A341" s="272">
        <v>16</v>
      </c>
      <c r="B341" s="288" t="s">
        <v>976</v>
      </c>
      <c r="C341" s="280">
        <f>data!BU85</f>
        <v>0</v>
      </c>
      <c r="D341" s="280">
        <f>data!BV85</f>
        <v>909911</v>
      </c>
      <c r="E341" s="280">
        <f>data!BW85</f>
        <v>0</v>
      </c>
      <c r="F341" s="280">
        <f>data!BX85</f>
        <v>0</v>
      </c>
      <c r="G341" s="280">
        <f>data!BY85</f>
        <v>3176969</v>
      </c>
      <c r="H341" s="280">
        <f>data!BZ85</f>
        <v>0</v>
      </c>
      <c r="I341" s="280">
        <f>data!CA85</f>
        <v>0</v>
      </c>
    </row>
    <row r="342" spans="1:9" ht="20.100000000000001" customHeight="1" x14ac:dyDescent="0.2">
      <c r="A342" s="272">
        <v>17</v>
      </c>
      <c r="B342" s="280" t="s">
        <v>271</v>
      </c>
      <c r="C342" s="290"/>
      <c r="D342" s="290"/>
      <c r="E342" s="290"/>
      <c r="F342" s="290"/>
      <c r="G342" s="290"/>
      <c r="H342" s="290"/>
      <c r="I342" s="290"/>
    </row>
    <row r="343" spans="1:9" ht="20.100000000000001" customHeight="1" x14ac:dyDescent="0.2">
      <c r="A343" s="272">
        <v>18</v>
      </c>
      <c r="B343" s="280" t="s">
        <v>977</v>
      </c>
      <c r="C343" s="280"/>
      <c r="D343" s="280"/>
      <c r="E343" s="280"/>
      <c r="F343" s="280"/>
      <c r="G343" s="280"/>
      <c r="H343" s="280"/>
      <c r="I343" s="280"/>
    </row>
    <row r="344" spans="1:9" ht="20.100000000000001" customHeight="1" x14ac:dyDescent="0.2">
      <c r="A344" s="272">
        <v>19</v>
      </c>
      <c r="B344" s="288" t="s">
        <v>978</v>
      </c>
      <c r="C344" s="295" t="str">
        <f>IF(data!BU73&gt;0,data!BU73,"")</f>
        <v/>
      </c>
      <c r="D344" s="295" t="str">
        <f>IF(data!BV73&gt;0,data!BV73,"")</f>
        <v/>
      </c>
      <c r="E344" s="295" t="str">
        <f>IF(data!BW73&gt;0,data!BW73,"")</f>
        <v/>
      </c>
      <c r="F344" s="295" t="str">
        <f>IF(data!BX73&gt;0,data!BX73,"")</f>
        <v/>
      </c>
      <c r="G344" s="295" t="str">
        <f>IF(data!BY73&gt;0,data!BY73,"")</f>
        <v/>
      </c>
      <c r="H344" s="295" t="str">
        <f>IF(data!BZ73&gt;0,data!BZ73,"")</f>
        <v/>
      </c>
      <c r="I344" s="295" t="str">
        <f>IF(data!CA73&gt;0,data!CA73,"")</f>
        <v/>
      </c>
    </row>
    <row r="345" spans="1:9" ht="20.100000000000001" customHeight="1" x14ac:dyDescent="0.2">
      <c r="A345" s="272">
        <v>20</v>
      </c>
      <c r="B345" s="288" t="s">
        <v>979</v>
      </c>
      <c r="C345" s="295" t="str">
        <f>IF(data!BU74&gt;0,data!BU74,"")</f>
        <v/>
      </c>
      <c r="D345" s="295" t="str">
        <f>IF(data!BV74&gt;0,data!BV74,"")</f>
        <v/>
      </c>
      <c r="E345" s="295" t="str">
        <f>IF(data!BW74&gt;0,data!BW74,"")</f>
        <v/>
      </c>
      <c r="F345" s="295" t="str">
        <f>IF(data!BX74&gt;0,data!BX74,"")</f>
        <v/>
      </c>
      <c r="G345" s="295" t="str">
        <f>IF(data!BY74&gt;0,data!BY74,"")</f>
        <v/>
      </c>
      <c r="H345" s="295" t="str">
        <f>IF(data!BZ74&gt;0,data!BZ74,"")</f>
        <v/>
      </c>
      <c r="I345" s="295" t="str">
        <f>IF(data!CA74&gt;0,data!CA74,"")</f>
        <v/>
      </c>
    </row>
    <row r="346" spans="1:9" ht="20.100000000000001" customHeight="1" x14ac:dyDescent="0.2">
      <c r="A346" s="272">
        <v>21</v>
      </c>
      <c r="B346" s="288" t="s">
        <v>980</v>
      </c>
      <c r="C346" s="295" t="str">
        <f>IF(data!BU75&gt;0,data!BU75,"")</f>
        <v/>
      </c>
      <c r="D346" s="295" t="str">
        <f>IF(data!BV75&gt;0,data!BV75,"")</f>
        <v/>
      </c>
      <c r="E346" s="295" t="str">
        <f>IF(data!BW75&gt;0,data!BW75,"")</f>
        <v/>
      </c>
      <c r="F346" s="295" t="str">
        <f>IF(data!BX75&gt;0,data!BX75,"")</f>
        <v/>
      </c>
      <c r="G346" s="295" t="str">
        <f>IF(data!BY75&gt;0,data!BY75,"")</f>
        <v/>
      </c>
      <c r="H346" s="295" t="str">
        <f>IF(data!BZ75&gt;0,data!BZ75,"")</f>
        <v/>
      </c>
      <c r="I346" s="295" t="str">
        <f>IF(data!CA75&gt;0,data!CA75,"")</f>
        <v/>
      </c>
    </row>
    <row r="347" spans="1:9" ht="20.100000000000001" customHeight="1" x14ac:dyDescent="0.2">
      <c r="A347" s="272" t="s">
        <v>981</v>
      </c>
      <c r="B347" s="280"/>
      <c r="C347" s="290"/>
      <c r="D347" s="290"/>
      <c r="E347" s="290"/>
      <c r="F347" s="290"/>
      <c r="G347" s="290"/>
      <c r="H347" s="290"/>
      <c r="I347" s="290"/>
    </row>
    <row r="348" spans="1:9" ht="20.100000000000001" customHeight="1" x14ac:dyDescent="0.2">
      <c r="A348" s="272">
        <v>22</v>
      </c>
      <c r="B348" s="280" t="s">
        <v>982</v>
      </c>
      <c r="C348" s="296">
        <f>data!BU90</f>
        <v>0</v>
      </c>
      <c r="D348" s="296">
        <f>data!BV90</f>
        <v>0</v>
      </c>
      <c r="E348" s="296">
        <f>data!BW90</f>
        <v>0</v>
      </c>
      <c r="F348" s="296">
        <f>data!BX90</f>
        <v>0</v>
      </c>
      <c r="G348" s="296">
        <f>data!BY90</f>
        <v>1786</v>
      </c>
      <c r="H348" s="296">
        <f>data!BZ90</f>
        <v>0</v>
      </c>
      <c r="I348" s="296">
        <f>data!CA90</f>
        <v>0</v>
      </c>
    </row>
    <row r="349" spans="1:9" ht="20.100000000000001" customHeight="1" x14ac:dyDescent="0.2">
      <c r="A349" s="272">
        <v>23</v>
      </c>
      <c r="B349" s="280" t="s">
        <v>983</v>
      </c>
      <c r="C349" s="296">
        <f>data!BU91</f>
        <v>0</v>
      </c>
      <c r="D349" s="296">
        <f>data!BV91</f>
        <v>0</v>
      </c>
      <c r="E349" s="296">
        <f>data!BW91</f>
        <v>0</v>
      </c>
      <c r="F349" s="296">
        <f>data!BX91</f>
        <v>0</v>
      </c>
      <c r="G349" s="296">
        <f>data!BY91</f>
        <v>0</v>
      </c>
      <c r="H349" s="296">
        <f>data!BZ91</f>
        <v>0</v>
      </c>
      <c r="I349" s="296">
        <f>data!CA91</f>
        <v>0</v>
      </c>
    </row>
    <row r="350" spans="1:9" ht="20.100000000000001" customHeight="1" x14ac:dyDescent="0.2">
      <c r="A350" s="272">
        <v>24</v>
      </c>
      <c r="B350" s="280" t="s">
        <v>984</v>
      </c>
      <c r="C350" s="296">
        <f>data!BU92</f>
        <v>0</v>
      </c>
      <c r="D350" s="296">
        <f>data!BV92</f>
        <v>0</v>
      </c>
      <c r="E350" s="296">
        <f>data!BW92</f>
        <v>0</v>
      </c>
      <c r="F350" s="296">
        <f>data!BX92</f>
        <v>0</v>
      </c>
      <c r="G350" s="296">
        <f>data!BY92</f>
        <v>4</v>
      </c>
      <c r="H350" s="296">
        <f>data!BZ92</f>
        <v>0</v>
      </c>
      <c r="I350" s="296">
        <f>data!CA92</f>
        <v>0</v>
      </c>
    </row>
    <row r="351" spans="1:9" ht="20.100000000000001" customHeight="1" x14ac:dyDescent="0.2">
      <c r="A351" s="272">
        <v>25</v>
      </c>
      <c r="B351" s="280" t="s">
        <v>985</v>
      </c>
      <c r="C351" s="296">
        <f>data!BU93</f>
        <v>0</v>
      </c>
      <c r="D351" s="296">
        <f>data!BV93</f>
        <v>0</v>
      </c>
      <c r="E351" s="296">
        <f>data!BW93</f>
        <v>0</v>
      </c>
      <c r="F351" s="296">
        <f>data!BX93</f>
        <v>0</v>
      </c>
      <c r="G351" s="296">
        <f>data!BY93</f>
        <v>0</v>
      </c>
      <c r="H351" s="296">
        <f>data!BZ93</f>
        <v>0</v>
      </c>
      <c r="I351" s="296">
        <f>data!CA93</f>
        <v>0</v>
      </c>
    </row>
    <row r="352" spans="1:9" ht="20.100000000000001" customHeight="1" x14ac:dyDescent="0.2">
      <c r="A352" s="272">
        <v>26</v>
      </c>
      <c r="B352" s="280" t="s">
        <v>279</v>
      </c>
      <c r="C352" s="298" t="str">
        <f>IF(data!BU80&gt;0,data!BU80,"")</f>
        <v/>
      </c>
      <c r="D352" s="298" t="str">
        <f>IF(data!BV80&gt;0,data!BV80,"")</f>
        <v/>
      </c>
      <c r="E352" s="298" t="str">
        <f>IF(data!BW80&gt;0,data!BW80,"")</f>
        <v/>
      </c>
      <c r="F352" s="298" t="str">
        <f>IF(data!BX80&gt;0,data!BX80,"")</f>
        <v/>
      </c>
      <c r="G352" s="298" t="str">
        <f>IF(data!BY80&gt;0,data!BY80,"")</f>
        <v/>
      </c>
      <c r="H352" s="298" t="str">
        <f>IF(data!BZ80&gt;0,data!BZ80,"")</f>
        <v/>
      </c>
      <c r="I352" s="298" t="str">
        <f>IF(data!CA80&gt;0,data!CA80,"")</f>
        <v/>
      </c>
    </row>
    <row r="353" spans="1:9" ht="20.100000000000001" customHeight="1" x14ac:dyDescent="0.2">
      <c r="A353" s="273" t="s">
        <v>969</v>
      </c>
      <c r="B353" s="274"/>
      <c r="C353" s="274"/>
      <c r="D353" s="274"/>
      <c r="E353" s="274"/>
      <c r="F353" s="274"/>
      <c r="G353" s="274"/>
      <c r="H353" s="274"/>
      <c r="I353" s="273"/>
    </row>
    <row r="354" spans="1:9" ht="20.100000000000001" customHeight="1" x14ac:dyDescent="0.2">
      <c r="D354" s="276"/>
      <c r="I354" s="277" t="s">
        <v>1020</v>
      </c>
    </row>
    <row r="355" spans="1:9" ht="20.100000000000001" customHeight="1" x14ac:dyDescent="0.2">
      <c r="A355" s="276"/>
    </row>
    <row r="356" spans="1:9" ht="20.100000000000001" customHeight="1" x14ac:dyDescent="0.2">
      <c r="A356" s="278" t="str">
        <f>"Hospital: "&amp;data!C98</f>
        <v>Hospital: Jefferson County Public Hospital District No 2</v>
      </c>
      <c r="G356" s="279"/>
      <c r="H356" s="278" t="str">
        <f>"FYE: "&amp;data!C96</f>
        <v>FYE: 12/31/2022</v>
      </c>
    </row>
    <row r="357" spans="1:9" ht="20.100000000000001" customHeight="1" x14ac:dyDescent="0.2">
      <c r="A357" s="272">
        <v>1</v>
      </c>
      <c r="B357" s="280" t="s">
        <v>221</v>
      </c>
      <c r="C357" s="282" t="s">
        <v>98</v>
      </c>
      <c r="D357" s="282" t="s">
        <v>99</v>
      </c>
      <c r="E357" s="282" t="s">
        <v>100</v>
      </c>
      <c r="F357" s="300"/>
      <c r="G357" s="300"/>
      <c r="H357" s="300"/>
      <c r="I357" s="282"/>
    </row>
    <row r="358" spans="1:9" ht="20.100000000000001" customHeight="1" x14ac:dyDescent="0.2">
      <c r="A358" s="283">
        <v>2</v>
      </c>
      <c r="B358" s="284" t="s">
        <v>971</v>
      </c>
      <c r="C358" s="286" t="s">
        <v>172</v>
      </c>
      <c r="D358" s="286" t="s">
        <v>144</v>
      </c>
      <c r="E358" s="286" t="s">
        <v>223</v>
      </c>
      <c r="F358" s="301"/>
      <c r="G358" s="301"/>
      <c r="H358" s="301"/>
      <c r="I358" s="286" t="s">
        <v>173</v>
      </c>
    </row>
    <row r="359" spans="1:9" ht="20.100000000000001" customHeight="1" x14ac:dyDescent="0.2">
      <c r="A359" s="283"/>
      <c r="B359" s="284"/>
      <c r="C359" s="286" t="s">
        <v>213</v>
      </c>
      <c r="D359" s="286" t="s">
        <v>1021</v>
      </c>
      <c r="E359" s="286" t="s">
        <v>225</v>
      </c>
      <c r="F359" s="301"/>
      <c r="G359" s="301"/>
      <c r="H359" s="301"/>
      <c r="I359" s="286" t="s">
        <v>215</v>
      </c>
    </row>
    <row r="360" spans="1:9" ht="20.100000000000001" customHeight="1" x14ac:dyDescent="0.2">
      <c r="A360" s="272">
        <v>3</v>
      </c>
      <c r="B360" s="280" t="s">
        <v>973</v>
      </c>
      <c r="C360" s="292"/>
      <c r="D360" s="292"/>
      <c r="E360" s="292"/>
      <c r="F360" s="292"/>
      <c r="G360" s="292"/>
      <c r="H360" s="292"/>
      <c r="I360" s="292"/>
    </row>
    <row r="361" spans="1:9" ht="20.100000000000001" customHeight="1" x14ac:dyDescent="0.2">
      <c r="A361" s="272">
        <v>4</v>
      </c>
      <c r="B361" s="280" t="s">
        <v>246</v>
      </c>
      <c r="C361" s="292"/>
      <c r="D361" s="292"/>
      <c r="E361" s="292"/>
      <c r="F361" s="292"/>
      <c r="G361" s="292"/>
      <c r="H361" s="292"/>
      <c r="I361" s="292"/>
    </row>
    <row r="362" spans="1:9" ht="20.100000000000001" customHeight="1" x14ac:dyDescent="0.2">
      <c r="A362" s="272">
        <v>5</v>
      </c>
      <c r="B362" s="280" t="s">
        <v>247</v>
      </c>
      <c r="C362" s="287">
        <f>data!CB60</f>
        <v>0</v>
      </c>
      <c r="D362" s="287">
        <f>data!CC60</f>
        <v>33.58</v>
      </c>
      <c r="E362" s="302"/>
      <c r="F362" s="290"/>
      <c r="G362" s="290"/>
      <c r="H362" s="290"/>
      <c r="I362" s="303">
        <f>data!CE60</f>
        <v>704.80000000000018</v>
      </c>
    </row>
    <row r="363" spans="1:9" ht="20.100000000000001" customHeight="1" x14ac:dyDescent="0.2">
      <c r="A363" s="272">
        <v>6</v>
      </c>
      <c r="B363" s="280" t="s">
        <v>248</v>
      </c>
      <c r="C363" s="299">
        <f>data!CB61</f>
        <v>0</v>
      </c>
      <c r="D363" s="299">
        <f>data!CC61</f>
        <v>4542897</v>
      </c>
      <c r="E363" s="304"/>
      <c r="F363" s="304"/>
      <c r="G363" s="304"/>
      <c r="H363" s="304"/>
      <c r="I363" s="299">
        <f>data!CE61</f>
        <v>73833252</v>
      </c>
    </row>
    <row r="364" spans="1:9" ht="20.100000000000001" customHeight="1" x14ac:dyDescent="0.2">
      <c r="A364" s="272">
        <v>7</v>
      </c>
      <c r="B364" s="280" t="s">
        <v>9</v>
      </c>
      <c r="C364" s="299">
        <f>data!CB62</f>
        <v>0</v>
      </c>
      <c r="D364" s="299">
        <f>data!CC62</f>
        <v>999742</v>
      </c>
      <c r="E364" s="304"/>
      <c r="F364" s="304"/>
      <c r="G364" s="304"/>
      <c r="H364" s="304"/>
      <c r="I364" s="299">
        <f>data!CE62</f>
        <v>16248272</v>
      </c>
    </row>
    <row r="365" spans="1:9" ht="20.100000000000001" customHeight="1" x14ac:dyDescent="0.2">
      <c r="A365" s="272">
        <v>8</v>
      </c>
      <c r="B365" s="280" t="s">
        <v>249</v>
      </c>
      <c r="C365" s="299">
        <f>data!CB63</f>
        <v>0</v>
      </c>
      <c r="D365" s="299">
        <f>data!CC63</f>
        <v>475962</v>
      </c>
      <c r="E365" s="304"/>
      <c r="F365" s="304"/>
      <c r="G365" s="304"/>
      <c r="H365" s="304"/>
      <c r="I365" s="299">
        <f>data!CE63</f>
        <v>6879971</v>
      </c>
    </row>
    <row r="366" spans="1:9" ht="20.100000000000001" customHeight="1" x14ac:dyDescent="0.2">
      <c r="A366" s="272">
        <v>9</v>
      </c>
      <c r="B366" s="280" t="s">
        <v>250</v>
      </c>
      <c r="C366" s="299">
        <f>data!CB64</f>
        <v>0</v>
      </c>
      <c r="D366" s="299">
        <f>data!CC64</f>
        <v>103669</v>
      </c>
      <c r="E366" s="304"/>
      <c r="F366" s="304"/>
      <c r="G366" s="304"/>
      <c r="H366" s="304"/>
      <c r="I366" s="299">
        <f>data!CE64</f>
        <v>32788546</v>
      </c>
    </row>
    <row r="367" spans="1:9" ht="20.100000000000001" customHeight="1" x14ac:dyDescent="0.2">
      <c r="A367" s="272">
        <v>10</v>
      </c>
      <c r="B367" s="280" t="s">
        <v>497</v>
      </c>
      <c r="C367" s="299">
        <f>data!CB65</f>
        <v>0</v>
      </c>
      <c r="D367" s="299">
        <f>data!CC65</f>
        <v>8962</v>
      </c>
      <c r="E367" s="304"/>
      <c r="F367" s="304"/>
      <c r="G367" s="304"/>
      <c r="H367" s="304"/>
      <c r="I367" s="299">
        <f>data!CE65</f>
        <v>1404708</v>
      </c>
    </row>
    <row r="368" spans="1:9" ht="20.100000000000001" customHeight="1" x14ac:dyDescent="0.2">
      <c r="A368" s="272">
        <v>11</v>
      </c>
      <c r="B368" s="280" t="s">
        <v>498</v>
      </c>
      <c r="C368" s="299">
        <f>data!CB66</f>
        <v>0</v>
      </c>
      <c r="D368" s="299">
        <f>data!CC66</f>
        <v>579422</v>
      </c>
      <c r="E368" s="304"/>
      <c r="F368" s="304"/>
      <c r="G368" s="304"/>
      <c r="H368" s="304"/>
      <c r="I368" s="299">
        <f>data!CE66</f>
        <v>8675536</v>
      </c>
    </row>
    <row r="369" spans="1:9" ht="20.100000000000001" customHeight="1" x14ac:dyDescent="0.2">
      <c r="A369" s="272">
        <v>12</v>
      </c>
      <c r="B369" s="280" t="s">
        <v>11</v>
      </c>
      <c r="C369" s="299">
        <f>data!CB67</f>
        <v>0</v>
      </c>
      <c r="D369" s="299">
        <f>data!CC67</f>
        <v>513713</v>
      </c>
      <c r="E369" s="304"/>
      <c r="F369" s="304"/>
      <c r="G369" s="304"/>
      <c r="H369" s="304"/>
      <c r="I369" s="299">
        <f>data!CE67</f>
        <v>5005333</v>
      </c>
    </row>
    <row r="370" spans="1:9" ht="20.100000000000001" customHeight="1" x14ac:dyDescent="0.2">
      <c r="A370" s="272">
        <v>13</v>
      </c>
      <c r="B370" s="280" t="s">
        <v>974</v>
      </c>
      <c r="C370" s="299">
        <f>data!CB68</f>
        <v>0</v>
      </c>
      <c r="D370" s="299">
        <f>data!CC68</f>
        <v>205063</v>
      </c>
      <c r="E370" s="304"/>
      <c r="F370" s="304"/>
      <c r="G370" s="304"/>
      <c r="H370" s="304"/>
      <c r="I370" s="299">
        <f>data!CE68</f>
        <v>700246</v>
      </c>
    </row>
    <row r="371" spans="1:9" ht="20.100000000000001" customHeight="1" x14ac:dyDescent="0.2">
      <c r="A371" s="272">
        <v>14</v>
      </c>
      <c r="B371" s="280" t="s">
        <v>975</v>
      </c>
      <c r="C371" s="299">
        <f>data!CB69</f>
        <v>0</v>
      </c>
      <c r="D371" s="299">
        <f>data!CC69</f>
        <v>808569</v>
      </c>
      <c r="E371" s="299">
        <f>data!CD69</f>
        <v>3379143</v>
      </c>
      <c r="F371" s="304"/>
      <c r="G371" s="304"/>
      <c r="H371" s="304"/>
      <c r="I371" s="299">
        <f>data!CE69</f>
        <v>6963294</v>
      </c>
    </row>
    <row r="372" spans="1:9" ht="20.100000000000001" customHeight="1" x14ac:dyDescent="0.2">
      <c r="A372" s="272">
        <v>15</v>
      </c>
      <c r="B372" s="280" t="s">
        <v>269</v>
      </c>
      <c r="C372" s="280">
        <f>-data!CB84</f>
        <v>0</v>
      </c>
      <c r="D372" s="280">
        <f>-data!CC84</f>
        <v>0</v>
      </c>
      <c r="E372" s="280">
        <f>-data!CD84</f>
        <v>0</v>
      </c>
      <c r="F372" s="290"/>
      <c r="G372" s="290"/>
      <c r="H372" s="290"/>
      <c r="I372" s="280">
        <f>-data!CE84</f>
        <v>0</v>
      </c>
    </row>
    <row r="373" spans="1:9" ht="20.100000000000001" customHeight="1" x14ac:dyDescent="0.2">
      <c r="A373" s="272">
        <v>16</v>
      </c>
      <c r="B373" s="288" t="s">
        <v>976</v>
      </c>
      <c r="C373" s="299">
        <f>data!CB85</f>
        <v>0</v>
      </c>
      <c r="D373" s="299">
        <f>data!CC85</f>
        <v>8237999</v>
      </c>
      <c r="E373" s="299">
        <f>data!CD85</f>
        <v>3379143</v>
      </c>
      <c r="F373" s="304"/>
      <c r="G373" s="304"/>
      <c r="H373" s="304"/>
      <c r="I373" s="280">
        <f>data!CE85</f>
        <v>152499158</v>
      </c>
    </row>
    <row r="374" spans="1:9" ht="20.100000000000001" customHeight="1" x14ac:dyDescent="0.2">
      <c r="A374" s="272">
        <v>17</v>
      </c>
      <c r="B374" s="280" t="s">
        <v>271</v>
      </c>
      <c r="C374" s="304"/>
      <c r="D374" s="304"/>
      <c r="E374" s="304"/>
      <c r="F374" s="304"/>
      <c r="G374" s="304"/>
      <c r="H374" s="304"/>
      <c r="I374" s="280">
        <f>data!CE86</f>
        <v>0</v>
      </c>
    </row>
    <row r="375" spans="1:9" ht="20.100000000000001" customHeight="1" x14ac:dyDescent="0.2">
      <c r="A375" s="272">
        <v>18</v>
      </c>
      <c r="B375" s="280" t="s">
        <v>977</v>
      </c>
      <c r="C375" s="280"/>
      <c r="D375" s="280"/>
      <c r="E375" s="280"/>
      <c r="F375" s="280"/>
      <c r="G375" s="280"/>
      <c r="H375" s="280"/>
      <c r="I375" s="280"/>
    </row>
    <row r="376" spans="1:9" ht="20.100000000000001" customHeight="1" x14ac:dyDescent="0.2">
      <c r="A376" s="272">
        <v>19</v>
      </c>
      <c r="B376" s="288" t="s">
        <v>978</v>
      </c>
      <c r="C376" s="295" t="str">
        <f>IF(data!CB73&gt;0,data!CB73,"")</f>
        <v/>
      </c>
      <c r="D376" s="295" t="str">
        <f>IF(data!CC73&gt;0,data!CC73,"")</f>
        <v/>
      </c>
      <c r="E376" s="290"/>
      <c r="F376" s="290"/>
      <c r="G376" s="290"/>
      <c r="H376" s="290"/>
      <c r="I376" s="296">
        <f>data!CE87</f>
        <v>45741344</v>
      </c>
    </row>
    <row r="377" spans="1:9" ht="20.100000000000001" customHeight="1" x14ac:dyDescent="0.2">
      <c r="A377" s="272">
        <v>20</v>
      </c>
      <c r="B377" s="288" t="s">
        <v>979</v>
      </c>
      <c r="C377" s="295" t="str">
        <f>IF(data!CB74&gt;0,data!CB74,"")</f>
        <v/>
      </c>
      <c r="D377" s="295" t="str">
        <f>IF(data!CC74&gt;0,data!CC74,"")</f>
        <v/>
      </c>
      <c r="E377" s="290"/>
      <c r="F377" s="290"/>
      <c r="G377" s="290"/>
      <c r="H377" s="290"/>
      <c r="I377" s="296">
        <f>data!CE88</f>
        <v>274284503</v>
      </c>
    </row>
    <row r="378" spans="1:9" ht="20.100000000000001" customHeight="1" x14ac:dyDescent="0.2">
      <c r="A378" s="272">
        <v>21</v>
      </c>
      <c r="B378" s="288" t="s">
        <v>980</v>
      </c>
      <c r="C378" s="295" t="str">
        <f>IF(data!CB75&gt;0,data!CB75,"")</f>
        <v/>
      </c>
      <c r="D378" s="295" t="str">
        <f>IF(data!CC75&gt;0,data!CC75,"")</f>
        <v/>
      </c>
      <c r="E378" s="290"/>
      <c r="F378" s="290"/>
      <c r="G378" s="290"/>
      <c r="H378" s="290"/>
      <c r="I378" s="296">
        <f>data!CE89</f>
        <v>320025847</v>
      </c>
    </row>
    <row r="379" spans="1:9" ht="20.100000000000001" customHeight="1" x14ac:dyDescent="0.2">
      <c r="A379" s="272" t="s">
        <v>981</v>
      </c>
      <c r="B379" s="280"/>
      <c r="C379" s="290"/>
      <c r="D379" s="290"/>
      <c r="E379" s="290"/>
      <c r="F379" s="290"/>
      <c r="G379" s="290"/>
      <c r="H379" s="290"/>
      <c r="I379" s="290"/>
    </row>
    <row r="380" spans="1:9" ht="20.100000000000001" customHeight="1" x14ac:dyDescent="0.2">
      <c r="A380" s="272">
        <v>22</v>
      </c>
      <c r="B380" s="280" t="s">
        <v>982</v>
      </c>
      <c r="C380" s="296">
        <f>data!CB90</f>
        <v>0</v>
      </c>
      <c r="D380" s="296">
        <f>data!CC90</f>
        <v>15318</v>
      </c>
      <c r="E380" s="290"/>
      <c r="F380" s="290"/>
      <c r="G380" s="290"/>
      <c r="H380" s="290"/>
      <c r="I380" s="280">
        <f>data!CE90</f>
        <v>149250</v>
      </c>
    </row>
    <row r="381" spans="1:9" ht="20.100000000000001" customHeight="1" x14ac:dyDescent="0.2">
      <c r="A381" s="272">
        <v>23</v>
      </c>
      <c r="B381" s="280" t="s">
        <v>983</v>
      </c>
      <c r="C381" s="296">
        <f>data!CB91</f>
        <v>0</v>
      </c>
      <c r="D381" s="295"/>
      <c r="E381" s="290"/>
      <c r="F381" s="290"/>
      <c r="G381" s="290"/>
      <c r="H381" s="290"/>
      <c r="I381" s="280">
        <f>data!CE91</f>
        <v>16852</v>
      </c>
    </row>
    <row r="382" spans="1:9" ht="20.100000000000001" customHeight="1" x14ac:dyDescent="0.2">
      <c r="A382" s="272">
        <v>24</v>
      </c>
      <c r="B382" s="280" t="s">
        <v>984</v>
      </c>
      <c r="C382" s="296">
        <f>data!CB92</f>
        <v>0</v>
      </c>
      <c r="D382" s="295" t="str">
        <f>IF(data!CC78&gt;0,data!CC78,"")</f>
        <v/>
      </c>
      <c r="E382" s="290"/>
      <c r="F382" s="290"/>
      <c r="G382" s="290"/>
      <c r="H382" s="290"/>
      <c r="I382" s="280">
        <f>data!CE92</f>
        <v>3087</v>
      </c>
    </row>
    <row r="383" spans="1:9" ht="20.100000000000001" customHeight="1" x14ac:dyDescent="0.2">
      <c r="A383" s="272">
        <v>25</v>
      </c>
      <c r="B383" s="280" t="s">
        <v>985</v>
      </c>
      <c r="C383" s="296">
        <f>data!CB93</f>
        <v>0</v>
      </c>
      <c r="D383" s="295" t="str">
        <f>IF(data!CC79&gt;0,data!CC79,"")</f>
        <v/>
      </c>
      <c r="E383" s="290"/>
      <c r="F383" s="290"/>
      <c r="G383" s="290"/>
      <c r="H383" s="290"/>
      <c r="I383" s="280">
        <f>data!CE93</f>
        <v>279208</v>
      </c>
    </row>
    <row r="384" spans="1:9" ht="20.100000000000001" customHeight="1" x14ac:dyDescent="0.2">
      <c r="A384" s="272">
        <v>26</v>
      </c>
      <c r="B384" s="280" t="s">
        <v>279</v>
      </c>
      <c r="C384" s="295" t="str">
        <f>IF(data!CB80&gt;0,data!CB80,"")</f>
        <v/>
      </c>
      <c r="D384" s="295" t="str">
        <f>IF(data!CC80&gt;0,data!CC80,"")</f>
        <v/>
      </c>
      <c r="E384" s="302"/>
      <c r="F384" s="290"/>
      <c r="G384" s="290"/>
      <c r="H384" s="290"/>
      <c r="I384" s="287">
        <f>data!CE94</f>
        <v>92.759999999999991</v>
      </c>
    </row>
    <row r="410" ht="15" x14ac:dyDescent="0.2"/>
  </sheetData>
  <printOptions horizontalCentered="1" verticalCentered="1"/>
  <pageMargins left="0" right="0" top="0" bottom="0" header="0" footer="0"/>
  <pageSetup scale="83" fitToHeight="12" orientation="landscape" r:id="rId1"/>
  <headerFooter alignWithMargins="0"/>
  <rowBreaks count="12" manualBreakCount="12">
    <brk id="32" max="1048575" man="1"/>
    <brk id="64" max="1048575" man="1"/>
    <brk id="96" max="1048575" man="1"/>
    <brk id="128" max="1048575" man="1"/>
    <brk id="160" max="1048575" man="1"/>
    <brk id="192" max="1048575" man="1"/>
    <brk id="224" max="1048575" man="1"/>
    <brk id="256" max="1048575" man="1"/>
    <brk id="288" max="1048575" man="1"/>
    <brk id="320" max="1048575" man="1"/>
    <brk id="352" max="1048575" man="1"/>
    <brk id="410" max="104857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6143-7558-4647-8896-61F0DD76C8BC}">
  <sheetPr syncVertical="1" syncRef="BW48" transitionEvaluation="1" transitionEntry="1" codeName="Sheet12">
    <tabColor rgb="FF92D050"/>
    <pageSetUpPr autoPageBreaks="0" fitToPage="1"/>
  </sheetPr>
  <dimension ref="A1:CF717"/>
  <sheetViews>
    <sheetView topLeftCell="BW48" zoomScaleNormal="100" workbookViewId="0">
      <selection activeCell="CD53" sqref="CD53"/>
    </sheetView>
  </sheetViews>
  <sheetFormatPr defaultColWidth="11.77734375" defaultRowHeight="15" x14ac:dyDescent="0.25"/>
  <cols>
    <col min="1" max="1" width="44.44140625" style="12" customWidth="1"/>
    <col min="2" max="84" width="13.5546875" style="12" customWidth="1"/>
    <col min="85" max="86" width="11.77734375" style="12" customWidth="1"/>
    <col min="87" max="16384" width="11.77734375" style="12"/>
  </cols>
  <sheetData>
    <row r="1" spans="1:3" x14ac:dyDescent="0.25">
      <c r="A1" s="70" t="s">
        <v>0</v>
      </c>
    </row>
    <row r="2" spans="1:3" x14ac:dyDescent="0.25">
      <c r="A2" s="12" t="s">
        <v>1</v>
      </c>
      <c r="C2" s="17"/>
    </row>
    <row r="3" spans="1:3" x14ac:dyDescent="0.25">
      <c r="A3" s="69" t="s">
        <v>2</v>
      </c>
      <c r="C3" s="17"/>
    </row>
    <row r="4" spans="1:3" x14ac:dyDescent="0.25">
      <c r="A4" s="12" t="s">
        <v>3</v>
      </c>
      <c r="C4" s="17"/>
    </row>
    <row r="5" spans="1:3" x14ac:dyDescent="0.25">
      <c r="C5" s="17"/>
    </row>
    <row r="6" spans="1:3" x14ac:dyDescent="0.25">
      <c r="A6" s="12" t="s">
        <v>1327</v>
      </c>
    </row>
    <row r="7" spans="1:3" x14ac:dyDescent="0.25">
      <c r="A7" s="12" t="s">
        <v>4</v>
      </c>
    </row>
    <row r="8" spans="1:3" x14ac:dyDescent="0.25">
      <c r="A8" s="12" t="s">
        <v>1329</v>
      </c>
    </row>
    <row r="9" spans="1:3" x14ac:dyDescent="0.25">
      <c r="C9" s="17"/>
    </row>
    <row r="10" spans="1:3" x14ac:dyDescent="0.25">
      <c r="A10" s="69" t="s">
        <v>5</v>
      </c>
      <c r="C10" s="17"/>
    </row>
    <row r="11" spans="1:3" x14ac:dyDescent="0.25">
      <c r="A11" s="12" t="s">
        <v>1328</v>
      </c>
      <c r="C11" s="17"/>
    </row>
    <row r="12" spans="1:3" x14ac:dyDescent="0.25">
      <c r="A12" s="18" t="s">
        <v>6</v>
      </c>
      <c r="C12" s="17"/>
    </row>
    <row r="13" spans="1:3" x14ac:dyDescent="0.25">
      <c r="A13" s="16" t="s">
        <v>7</v>
      </c>
      <c r="C13" s="17"/>
    </row>
    <row r="14" spans="1:3" x14ac:dyDescent="0.25">
      <c r="A14" s="12" t="s">
        <v>8</v>
      </c>
      <c r="C14" s="17"/>
    </row>
    <row r="15" spans="1:3" x14ac:dyDescent="0.25">
      <c r="C15" s="17"/>
    </row>
    <row r="16" spans="1:3" x14ac:dyDescent="0.25">
      <c r="A16" s="73" t="s">
        <v>9</v>
      </c>
    </row>
    <row r="17" spans="1:10" x14ac:dyDescent="0.25">
      <c r="A17" s="16" t="s">
        <v>10</v>
      </c>
    </row>
    <row r="18" spans="1:10" ht="14.45" customHeight="1" x14ac:dyDescent="0.25">
      <c r="A18" s="18" t="s">
        <v>1330</v>
      </c>
    </row>
    <row r="19" spans="1:10" ht="14.45" customHeight="1" x14ac:dyDescent="0.25">
      <c r="A19" s="18" t="s">
        <v>1331</v>
      </c>
    </row>
    <row r="20" spans="1:10" ht="14.45" customHeight="1" x14ac:dyDescent="0.25">
      <c r="A20" s="18" t="s">
        <v>1332</v>
      </c>
    </row>
    <row r="21" spans="1:10" ht="14.45" customHeight="1" x14ac:dyDescent="0.25">
      <c r="A21" s="16"/>
      <c r="E21" s="72"/>
      <c r="F21" s="72"/>
      <c r="G21" s="72"/>
      <c r="I21" s="72"/>
      <c r="J21" s="72"/>
    </row>
    <row r="22" spans="1:10" ht="16.5" x14ac:dyDescent="0.25">
      <c r="A22" s="74" t="s">
        <v>11</v>
      </c>
      <c r="E22" s="72"/>
      <c r="F22" s="72"/>
      <c r="G22" s="72"/>
      <c r="I22" s="71"/>
      <c r="J22" s="71"/>
    </row>
    <row r="23" spans="1:10" ht="16.5" x14ac:dyDescent="0.25">
      <c r="A23" s="18" t="s">
        <v>12</v>
      </c>
      <c r="E23" s="71"/>
      <c r="F23" s="71"/>
      <c r="G23" s="71"/>
      <c r="I23" s="71"/>
      <c r="J23" s="71"/>
    </row>
    <row r="24" spans="1:10" ht="16.5" x14ac:dyDescent="0.25">
      <c r="A24" s="18" t="s">
        <v>1333</v>
      </c>
      <c r="E24" s="71"/>
      <c r="F24" s="71"/>
      <c r="G24" s="71"/>
    </row>
    <row r="25" spans="1:10" x14ac:dyDescent="0.25">
      <c r="A25" s="18" t="s">
        <v>1334</v>
      </c>
    </row>
    <row r="26" spans="1:10" x14ac:dyDescent="0.25">
      <c r="A26" s="18" t="s">
        <v>1335</v>
      </c>
    </row>
    <row r="27" spans="1:10" x14ac:dyDescent="0.25">
      <c r="A27" s="18"/>
    </row>
    <row r="28" spans="1:10" x14ac:dyDescent="0.25">
      <c r="A28" s="16" t="s">
        <v>13</v>
      </c>
      <c r="C28" s="17"/>
    </row>
    <row r="29" spans="1:10" x14ac:dyDescent="0.25">
      <c r="A29" s="18" t="s">
        <v>1336</v>
      </c>
      <c r="C29" s="17"/>
    </row>
    <row r="30" spans="1:10" x14ac:dyDescent="0.25">
      <c r="C30" s="17"/>
    </row>
    <row r="31" spans="1:10" x14ac:dyDescent="0.25">
      <c r="A31" s="12" t="s">
        <v>1346</v>
      </c>
      <c r="C31" s="325" t="s">
        <v>1347</v>
      </c>
      <c r="F31" s="19"/>
    </row>
    <row r="32" spans="1:10" x14ac:dyDescent="0.25">
      <c r="C32" s="17"/>
    </row>
    <row r="33" spans="1:83" x14ac:dyDescent="0.25">
      <c r="A33" s="69" t="s">
        <v>15</v>
      </c>
      <c r="B33" s="72"/>
      <c r="C33" s="72"/>
      <c r="D33" s="72"/>
    </row>
    <row r="34" spans="1:83" x14ac:dyDescent="0.25">
      <c r="A34" s="18" t="s">
        <v>16</v>
      </c>
      <c r="B34" s="72"/>
      <c r="C34" s="72"/>
      <c r="D34" s="72"/>
    </row>
    <row r="35" spans="1:83" ht="16.5" x14ac:dyDescent="0.25">
      <c r="A35" s="18" t="s">
        <v>17</v>
      </c>
      <c r="B35" s="71"/>
      <c r="C35" s="71"/>
      <c r="D35" s="71"/>
    </row>
    <row r="36" spans="1:83" ht="16.5" x14ac:dyDescent="0.25">
      <c r="B36" s="71"/>
      <c r="C36" s="71"/>
      <c r="D36" s="71"/>
    </row>
    <row r="37" spans="1:83" x14ac:dyDescent="0.25">
      <c r="A37" s="326" t="s">
        <v>18</v>
      </c>
      <c r="B37" s="327"/>
      <c r="C37" s="328"/>
      <c r="D37" s="327"/>
      <c r="E37" s="327"/>
      <c r="F37" s="327"/>
      <c r="G37" s="327"/>
    </row>
    <row r="38" spans="1:83" x14ac:dyDescent="0.25">
      <c r="A38" s="329" t="s">
        <v>1339</v>
      </c>
      <c r="B38" s="330"/>
      <c r="C38" s="328"/>
      <c r="D38" s="327"/>
      <c r="E38" s="327"/>
      <c r="F38" s="327"/>
      <c r="G38" s="327"/>
    </row>
    <row r="39" spans="1:83" x14ac:dyDescent="0.25">
      <c r="A39" s="331" t="s">
        <v>1337</v>
      </c>
      <c r="B39" s="330"/>
      <c r="C39" s="328"/>
      <c r="D39" s="327"/>
      <c r="E39" s="327"/>
      <c r="F39" s="327"/>
      <c r="G39" s="327"/>
    </row>
    <row r="40" spans="1:83" x14ac:dyDescent="0.25">
      <c r="A40" s="332" t="s">
        <v>1340</v>
      </c>
      <c r="B40" s="327"/>
      <c r="C40" s="328"/>
      <c r="D40" s="327"/>
      <c r="E40" s="327"/>
      <c r="F40" s="327"/>
      <c r="G40" s="327"/>
    </row>
    <row r="41" spans="1:83" x14ac:dyDescent="0.25">
      <c r="A41" s="331" t="s">
        <v>1338</v>
      </c>
      <c r="B41" s="327"/>
      <c r="C41" s="328"/>
      <c r="D41" s="327"/>
      <c r="E41" s="327"/>
      <c r="F41" s="327"/>
      <c r="G41" s="327"/>
    </row>
    <row r="42" spans="1:83" x14ac:dyDescent="0.25">
      <c r="C42" s="17"/>
    </row>
    <row r="43" spans="1:83" x14ac:dyDescent="0.25">
      <c r="A43" s="12" t="s">
        <v>19</v>
      </c>
      <c r="C43" s="17"/>
      <c r="G43" s="19" t="s">
        <v>14</v>
      </c>
    </row>
    <row r="44" spans="1:83" x14ac:dyDescent="0.25">
      <c r="A44" s="19" t="s">
        <v>20</v>
      </c>
      <c r="C44" s="17"/>
    </row>
    <row r="45" spans="1:83" x14ac:dyDescent="0.25">
      <c r="A45" s="20"/>
      <c r="B45" s="20"/>
      <c r="C45" s="21" t="s">
        <v>21</v>
      </c>
      <c r="D45" s="22" t="s">
        <v>22</v>
      </c>
      <c r="E45" s="22" t="s">
        <v>23</v>
      </c>
      <c r="F45" s="22" t="s">
        <v>24</v>
      </c>
      <c r="G45" s="22" t="s">
        <v>25</v>
      </c>
      <c r="H45" s="22" t="s">
        <v>26</v>
      </c>
      <c r="I45" s="22" t="s">
        <v>27</v>
      </c>
      <c r="J45" s="22" t="s">
        <v>28</v>
      </c>
      <c r="K45" s="22" t="s">
        <v>29</v>
      </c>
      <c r="L45" s="22" t="s">
        <v>30</v>
      </c>
      <c r="M45" s="22" t="s">
        <v>31</v>
      </c>
      <c r="N45" s="22" t="s">
        <v>32</v>
      </c>
      <c r="O45" s="22" t="s">
        <v>33</v>
      </c>
      <c r="P45" s="22" t="s">
        <v>34</v>
      </c>
      <c r="Q45" s="22" t="s">
        <v>35</v>
      </c>
      <c r="R45" s="22" t="s">
        <v>36</v>
      </c>
      <c r="S45" s="22" t="s">
        <v>37</v>
      </c>
      <c r="T45" s="22" t="s">
        <v>38</v>
      </c>
      <c r="U45" s="22" t="s">
        <v>39</v>
      </c>
      <c r="V45" s="22" t="s">
        <v>40</v>
      </c>
      <c r="W45" s="22" t="s">
        <v>41</v>
      </c>
      <c r="X45" s="22" t="s">
        <v>42</v>
      </c>
      <c r="Y45" s="22" t="s">
        <v>43</v>
      </c>
      <c r="Z45" s="22" t="s">
        <v>44</v>
      </c>
      <c r="AA45" s="22" t="s">
        <v>45</v>
      </c>
      <c r="AB45" s="22" t="s">
        <v>46</v>
      </c>
      <c r="AC45" s="22" t="s">
        <v>47</v>
      </c>
      <c r="AD45" s="22" t="s">
        <v>48</v>
      </c>
      <c r="AE45" s="22" t="s">
        <v>49</v>
      </c>
      <c r="AF45" s="22" t="s">
        <v>50</v>
      </c>
      <c r="AG45" s="22" t="s">
        <v>51</v>
      </c>
      <c r="AH45" s="22" t="s">
        <v>52</v>
      </c>
      <c r="AI45" s="22" t="s">
        <v>53</v>
      </c>
      <c r="AJ45" s="22" t="s">
        <v>54</v>
      </c>
      <c r="AK45" s="22" t="s">
        <v>55</v>
      </c>
      <c r="AL45" s="22" t="s">
        <v>56</v>
      </c>
      <c r="AM45" s="22" t="s">
        <v>57</v>
      </c>
      <c r="AN45" s="22" t="s">
        <v>58</v>
      </c>
      <c r="AO45" s="22" t="s">
        <v>59</v>
      </c>
      <c r="AP45" s="22" t="s">
        <v>60</v>
      </c>
      <c r="AQ45" s="22" t="s">
        <v>61</v>
      </c>
      <c r="AR45" s="22" t="s">
        <v>62</v>
      </c>
      <c r="AS45" s="22" t="s">
        <v>63</v>
      </c>
      <c r="AT45" s="22" t="s">
        <v>64</v>
      </c>
      <c r="AU45" s="22" t="s">
        <v>65</v>
      </c>
      <c r="AV45" s="22" t="s">
        <v>66</v>
      </c>
      <c r="AW45" s="22" t="s">
        <v>67</v>
      </c>
      <c r="AX45" s="22" t="s">
        <v>68</v>
      </c>
      <c r="AY45" s="22" t="s">
        <v>69</v>
      </c>
      <c r="AZ45" s="22" t="s">
        <v>70</v>
      </c>
      <c r="BA45" s="22" t="s">
        <v>71</v>
      </c>
      <c r="BB45" s="22" t="s">
        <v>72</v>
      </c>
      <c r="BC45" s="22" t="s">
        <v>73</v>
      </c>
      <c r="BD45" s="22" t="s">
        <v>74</v>
      </c>
      <c r="BE45" s="22" t="s">
        <v>75</v>
      </c>
      <c r="BF45" s="22" t="s">
        <v>76</v>
      </c>
      <c r="BG45" s="22" t="s">
        <v>77</v>
      </c>
      <c r="BH45" s="22" t="s">
        <v>78</v>
      </c>
      <c r="BI45" s="22" t="s">
        <v>79</v>
      </c>
      <c r="BJ45" s="22" t="s">
        <v>80</v>
      </c>
      <c r="BK45" s="22" t="s">
        <v>81</v>
      </c>
      <c r="BL45" s="22" t="s">
        <v>82</v>
      </c>
      <c r="BM45" s="22" t="s">
        <v>83</v>
      </c>
      <c r="BN45" s="22" t="s">
        <v>84</v>
      </c>
      <c r="BO45" s="22" t="s">
        <v>85</v>
      </c>
      <c r="BP45" s="22" t="s">
        <v>86</v>
      </c>
      <c r="BQ45" s="22" t="s">
        <v>87</v>
      </c>
      <c r="BR45" s="22" t="s">
        <v>88</v>
      </c>
      <c r="BS45" s="22" t="s">
        <v>89</v>
      </c>
      <c r="BT45" s="22" t="s">
        <v>90</v>
      </c>
      <c r="BU45" s="22" t="s">
        <v>91</v>
      </c>
      <c r="BV45" s="22" t="s">
        <v>92</v>
      </c>
      <c r="BW45" s="22" t="s">
        <v>93</v>
      </c>
      <c r="BX45" s="22" t="s">
        <v>94</v>
      </c>
      <c r="BY45" s="22" t="s">
        <v>95</v>
      </c>
      <c r="BZ45" s="22" t="s">
        <v>96</v>
      </c>
      <c r="CA45" s="22" t="s">
        <v>97</v>
      </c>
      <c r="CB45" s="22" t="s">
        <v>98</v>
      </c>
      <c r="CC45" s="22" t="s">
        <v>99</v>
      </c>
      <c r="CD45" s="22" t="s">
        <v>100</v>
      </c>
      <c r="CE45" s="22" t="s">
        <v>101</v>
      </c>
    </row>
    <row r="46" spans="1:83" x14ac:dyDescent="0.25">
      <c r="A46" s="20"/>
      <c r="B46" s="23" t="s">
        <v>102</v>
      </c>
      <c r="C46" s="21" t="s">
        <v>103</v>
      </c>
      <c r="D46" s="22" t="s">
        <v>104</v>
      </c>
      <c r="E46" s="22" t="s">
        <v>105</v>
      </c>
      <c r="F46" s="22" t="s">
        <v>106</v>
      </c>
      <c r="G46" s="22" t="s">
        <v>107</v>
      </c>
      <c r="H46" s="22" t="s">
        <v>108</v>
      </c>
      <c r="I46" s="22" t="s">
        <v>109</v>
      </c>
      <c r="J46" s="22" t="s">
        <v>110</v>
      </c>
      <c r="K46" s="22" t="s">
        <v>111</v>
      </c>
      <c r="L46" s="22" t="s">
        <v>112</v>
      </c>
      <c r="M46" s="22" t="s">
        <v>113</v>
      </c>
      <c r="N46" s="22" t="s">
        <v>114</v>
      </c>
      <c r="O46" s="22" t="s">
        <v>115</v>
      </c>
      <c r="P46" s="22" t="s">
        <v>116</v>
      </c>
      <c r="Q46" s="22" t="s">
        <v>117</v>
      </c>
      <c r="R46" s="22" t="s">
        <v>118</v>
      </c>
      <c r="S46" s="22" t="s">
        <v>119</v>
      </c>
      <c r="T46" s="22" t="s">
        <v>120</v>
      </c>
      <c r="U46" s="22" t="s">
        <v>121</v>
      </c>
      <c r="V46" s="22" t="s">
        <v>122</v>
      </c>
      <c r="W46" s="22" t="s">
        <v>123</v>
      </c>
      <c r="X46" s="22" t="s">
        <v>124</v>
      </c>
      <c r="Y46" s="22" t="s">
        <v>125</v>
      </c>
      <c r="Z46" s="22" t="s">
        <v>125</v>
      </c>
      <c r="AA46" s="22" t="s">
        <v>126</v>
      </c>
      <c r="AB46" s="22" t="s">
        <v>127</v>
      </c>
      <c r="AC46" s="22" t="s">
        <v>128</v>
      </c>
      <c r="AD46" s="22" t="s">
        <v>129</v>
      </c>
      <c r="AE46" s="22" t="s">
        <v>107</v>
      </c>
      <c r="AF46" s="22" t="s">
        <v>108</v>
      </c>
      <c r="AG46" s="22" t="s">
        <v>130</v>
      </c>
      <c r="AH46" s="22" t="s">
        <v>131</v>
      </c>
      <c r="AI46" s="22" t="s">
        <v>132</v>
      </c>
      <c r="AJ46" s="22" t="s">
        <v>133</v>
      </c>
      <c r="AK46" s="22" t="s">
        <v>134</v>
      </c>
      <c r="AL46" s="22" t="s">
        <v>135</v>
      </c>
      <c r="AM46" s="22" t="s">
        <v>136</v>
      </c>
      <c r="AN46" s="22" t="s">
        <v>122</v>
      </c>
      <c r="AO46" s="22" t="s">
        <v>137</v>
      </c>
      <c r="AP46" s="22" t="s">
        <v>138</v>
      </c>
      <c r="AQ46" s="22" t="s">
        <v>139</v>
      </c>
      <c r="AR46" s="22" t="s">
        <v>140</v>
      </c>
      <c r="AS46" s="22" t="s">
        <v>141</v>
      </c>
      <c r="AT46" s="22" t="s">
        <v>142</v>
      </c>
      <c r="AU46" s="22" t="s">
        <v>143</v>
      </c>
      <c r="AV46" s="22" t="s">
        <v>144</v>
      </c>
      <c r="AW46" s="22" t="s">
        <v>145</v>
      </c>
      <c r="AX46" s="22" t="s">
        <v>146</v>
      </c>
      <c r="AY46" s="22" t="s">
        <v>147</v>
      </c>
      <c r="AZ46" s="22" t="s">
        <v>148</v>
      </c>
      <c r="BA46" s="22" t="s">
        <v>149</v>
      </c>
      <c r="BB46" s="22" t="s">
        <v>150</v>
      </c>
      <c r="BC46" s="22" t="s">
        <v>119</v>
      </c>
      <c r="BD46" s="22" t="s">
        <v>151</v>
      </c>
      <c r="BE46" s="22" t="s">
        <v>152</v>
      </c>
      <c r="BF46" s="22" t="s">
        <v>153</v>
      </c>
      <c r="BG46" s="22" t="s">
        <v>154</v>
      </c>
      <c r="BH46" s="22" t="s">
        <v>155</v>
      </c>
      <c r="BI46" s="22" t="s">
        <v>156</v>
      </c>
      <c r="BJ46" s="22" t="s">
        <v>157</v>
      </c>
      <c r="BK46" s="22" t="s">
        <v>158</v>
      </c>
      <c r="BL46" s="22" t="s">
        <v>159</v>
      </c>
      <c r="BM46" s="22" t="s">
        <v>144</v>
      </c>
      <c r="BN46" s="22" t="s">
        <v>160</v>
      </c>
      <c r="BO46" s="22" t="s">
        <v>161</v>
      </c>
      <c r="BP46" s="22" t="s">
        <v>162</v>
      </c>
      <c r="BQ46" s="22" t="s">
        <v>163</v>
      </c>
      <c r="BR46" s="22" t="s">
        <v>164</v>
      </c>
      <c r="BS46" s="22" t="s">
        <v>165</v>
      </c>
      <c r="BT46" s="22" t="s">
        <v>166</v>
      </c>
      <c r="BU46" s="22" t="s">
        <v>167</v>
      </c>
      <c r="BV46" s="22" t="s">
        <v>167</v>
      </c>
      <c r="BW46" s="22" t="s">
        <v>167</v>
      </c>
      <c r="BX46" s="22" t="s">
        <v>168</v>
      </c>
      <c r="BY46" s="22" t="s">
        <v>169</v>
      </c>
      <c r="BZ46" s="22" t="s">
        <v>170</v>
      </c>
      <c r="CA46" s="22" t="s">
        <v>171</v>
      </c>
      <c r="CB46" s="22" t="s">
        <v>172</v>
      </c>
      <c r="CC46" s="22" t="s">
        <v>144</v>
      </c>
      <c r="CD46" s="22"/>
      <c r="CE46" s="22" t="s">
        <v>173</v>
      </c>
    </row>
    <row r="47" spans="1:83" x14ac:dyDescent="0.25">
      <c r="A47" s="20" t="s">
        <v>9</v>
      </c>
      <c r="B47" s="22" t="s">
        <v>174</v>
      </c>
      <c r="C47" s="21" t="s">
        <v>175</v>
      </c>
      <c r="D47" s="22" t="s">
        <v>175</v>
      </c>
      <c r="E47" s="22" t="s">
        <v>175</v>
      </c>
      <c r="F47" s="22" t="s">
        <v>176</v>
      </c>
      <c r="G47" s="22" t="s">
        <v>177</v>
      </c>
      <c r="H47" s="22" t="s">
        <v>175</v>
      </c>
      <c r="I47" s="22" t="s">
        <v>178</v>
      </c>
      <c r="J47" s="22"/>
      <c r="K47" s="22" t="s">
        <v>169</v>
      </c>
      <c r="L47" s="22" t="s">
        <v>179</v>
      </c>
      <c r="M47" s="22" t="s">
        <v>180</v>
      </c>
      <c r="N47" s="22" t="s">
        <v>181</v>
      </c>
      <c r="O47" s="22" t="s">
        <v>182</v>
      </c>
      <c r="P47" s="22" t="s">
        <v>181</v>
      </c>
      <c r="Q47" s="22" t="s">
        <v>183</v>
      </c>
      <c r="R47" s="22"/>
      <c r="S47" s="22" t="s">
        <v>181</v>
      </c>
      <c r="T47" s="22" t="s">
        <v>184</v>
      </c>
      <c r="U47" s="22"/>
      <c r="V47" s="22" t="s">
        <v>185</v>
      </c>
      <c r="W47" s="22" t="s">
        <v>186</v>
      </c>
      <c r="X47" s="22" t="s">
        <v>187</v>
      </c>
      <c r="Y47" s="22" t="s">
        <v>188</v>
      </c>
      <c r="Z47" s="22" t="s">
        <v>189</v>
      </c>
      <c r="AA47" s="22" t="s">
        <v>190</v>
      </c>
      <c r="AB47" s="22"/>
      <c r="AC47" s="22" t="s">
        <v>184</v>
      </c>
      <c r="AD47" s="22"/>
      <c r="AE47" s="22" t="s">
        <v>184</v>
      </c>
      <c r="AF47" s="22" t="s">
        <v>191</v>
      </c>
      <c r="AG47" s="22" t="s">
        <v>183</v>
      </c>
      <c r="AH47" s="22"/>
      <c r="AI47" s="22" t="s">
        <v>192</v>
      </c>
      <c r="AJ47" s="22"/>
      <c r="AK47" s="22" t="s">
        <v>184</v>
      </c>
      <c r="AL47" s="22" t="s">
        <v>184</v>
      </c>
      <c r="AM47" s="22" t="s">
        <v>184</v>
      </c>
      <c r="AN47" s="22" t="s">
        <v>193</v>
      </c>
      <c r="AO47" s="22" t="s">
        <v>194</v>
      </c>
      <c r="AP47" s="22" t="s">
        <v>133</v>
      </c>
      <c r="AQ47" s="22" t="s">
        <v>195</v>
      </c>
      <c r="AR47" s="22" t="s">
        <v>181</v>
      </c>
      <c r="AS47" s="22"/>
      <c r="AT47" s="22" t="s">
        <v>196</v>
      </c>
      <c r="AU47" s="22" t="s">
        <v>197</v>
      </c>
      <c r="AV47" s="22" t="s">
        <v>198</v>
      </c>
      <c r="AW47" s="22" t="s">
        <v>199</v>
      </c>
      <c r="AX47" s="22" t="s">
        <v>200</v>
      </c>
      <c r="AY47" s="22"/>
      <c r="AZ47" s="22"/>
      <c r="BA47" s="22" t="s">
        <v>201</v>
      </c>
      <c r="BB47" s="22" t="s">
        <v>181</v>
      </c>
      <c r="BC47" s="22" t="s">
        <v>195</v>
      </c>
      <c r="BD47" s="22"/>
      <c r="BE47" s="22"/>
      <c r="BF47" s="22"/>
      <c r="BG47" s="22"/>
      <c r="BH47" s="22" t="s">
        <v>202</v>
      </c>
      <c r="BI47" s="22" t="s">
        <v>181</v>
      </c>
      <c r="BJ47" s="22"/>
      <c r="BK47" s="22" t="s">
        <v>203</v>
      </c>
      <c r="BL47" s="22"/>
      <c r="BM47" s="22" t="s">
        <v>204</v>
      </c>
      <c r="BN47" s="22" t="s">
        <v>205</v>
      </c>
      <c r="BO47" s="22" t="s">
        <v>206</v>
      </c>
      <c r="BP47" s="22" t="s">
        <v>207</v>
      </c>
      <c r="BQ47" s="22" t="s">
        <v>208</v>
      </c>
      <c r="BR47" s="22"/>
      <c r="BS47" s="22" t="s">
        <v>209</v>
      </c>
      <c r="BT47" s="22" t="s">
        <v>181</v>
      </c>
      <c r="BU47" s="22" t="s">
        <v>210</v>
      </c>
      <c r="BV47" s="22" t="s">
        <v>211</v>
      </c>
      <c r="BW47" s="22" t="s">
        <v>212</v>
      </c>
      <c r="BX47" s="22" t="s">
        <v>163</v>
      </c>
      <c r="BY47" s="22" t="s">
        <v>205</v>
      </c>
      <c r="BZ47" s="22" t="s">
        <v>164</v>
      </c>
      <c r="CA47" s="22" t="s">
        <v>213</v>
      </c>
      <c r="CB47" s="22" t="s">
        <v>213</v>
      </c>
      <c r="CC47" s="22" t="s">
        <v>214</v>
      </c>
      <c r="CD47" s="22"/>
      <c r="CE47" s="22" t="s">
        <v>215</v>
      </c>
    </row>
    <row r="48" spans="1:83" x14ac:dyDescent="0.25">
      <c r="A48" s="20" t="s">
        <v>216</v>
      </c>
      <c r="B48" s="209"/>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
      <c r="CE48" s="32">
        <f>SUM(C48:CC48)</f>
        <v>0</v>
      </c>
    </row>
    <row r="49" spans="1:83" x14ac:dyDescent="0.25">
      <c r="A49" s="32" t="s">
        <v>217</v>
      </c>
      <c r="B49" s="209">
        <v>15917306</v>
      </c>
      <c r="C49" s="263">
        <f>IF($B$49,(ROUND((($B$49/$CE$62)*C62),0)))</f>
        <v>225657</v>
      </c>
      <c r="D49" s="263">
        <f t="shared" ref="D49:BO49" si="0">IF($B$49,(ROUND((($B$49/$CE$62)*D62),0)))</f>
        <v>0</v>
      </c>
      <c r="E49" s="263">
        <f t="shared" si="0"/>
        <v>1289503</v>
      </c>
      <c r="F49" s="263">
        <f t="shared" si="0"/>
        <v>0</v>
      </c>
      <c r="G49" s="263">
        <f t="shared" si="0"/>
        <v>0</v>
      </c>
      <c r="H49" s="263">
        <f t="shared" si="0"/>
        <v>0</v>
      </c>
      <c r="I49" s="263">
        <f t="shared" si="0"/>
        <v>0</v>
      </c>
      <c r="J49" s="263">
        <f t="shared" si="0"/>
        <v>57851</v>
      </c>
      <c r="K49" s="263">
        <f t="shared" si="0"/>
        <v>0</v>
      </c>
      <c r="L49" s="263">
        <f t="shared" si="0"/>
        <v>45352</v>
      </c>
      <c r="M49" s="263">
        <f t="shared" si="0"/>
        <v>286995</v>
      </c>
      <c r="N49" s="263">
        <f t="shared" si="0"/>
        <v>0</v>
      </c>
      <c r="O49" s="263">
        <f t="shared" si="0"/>
        <v>31068</v>
      </c>
      <c r="P49" s="263">
        <f t="shared" si="0"/>
        <v>345056</v>
      </c>
      <c r="Q49" s="263">
        <f t="shared" si="0"/>
        <v>151006</v>
      </c>
      <c r="R49" s="263">
        <f t="shared" si="0"/>
        <v>282284</v>
      </c>
      <c r="S49" s="263">
        <f t="shared" si="0"/>
        <v>32129</v>
      </c>
      <c r="T49" s="263">
        <f t="shared" si="0"/>
        <v>0</v>
      </c>
      <c r="U49" s="263">
        <f t="shared" si="0"/>
        <v>410724</v>
      </c>
      <c r="V49" s="263">
        <f t="shared" si="0"/>
        <v>0</v>
      </c>
      <c r="W49" s="263">
        <f t="shared" si="0"/>
        <v>32197</v>
      </c>
      <c r="X49" s="263">
        <f t="shared" si="0"/>
        <v>89702</v>
      </c>
      <c r="Y49" s="263">
        <f t="shared" si="0"/>
        <v>359092</v>
      </c>
      <c r="Z49" s="263">
        <f t="shared" si="0"/>
        <v>0</v>
      </c>
      <c r="AA49" s="263">
        <f t="shared" si="0"/>
        <v>7524</v>
      </c>
      <c r="AB49" s="263">
        <f t="shared" si="0"/>
        <v>286300</v>
      </c>
      <c r="AC49" s="263">
        <f t="shared" si="0"/>
        <v>280382</v>
      </c>
      <c r="AD49" s="263">
        <f t="shared" si="0"/>
        <v>0</v>
      </c>
      <c r="AE49" s="263">
        <f t="shared" si="0"/>
        <v>676964</v>
      </c>
      <c r="AF49" s="263">
        <f t="shared" si="0"/>
        <v>0</v>
      </c>
      <c r="AG49" s="263">
        <f t="shared" si="0"/>
        <v>1056898</v>
      </c>
      <c r="AH49" s="263">
        <f t="shared" si="0"/>
        <v>0</v>
      </c>
      <c r="AI49" s="263">
        <f t="shared" si="0"/>
        <v>0</v>
      </c>
      <c r="AJ49" s="263">
        <f t="shared" si="0"/>
        <v>5457781</v>
      </c>
      <c r="AK49" s="263">
        <f t="shared" si="0"/>
        <v>0</v>
      </c>
      <c r="AL49" s="263">
        <f t="shared" si="0"/>
        <v>0</v>
      </c>
      <c r="AM49" s="263">
        <f t="shared" si="0"/>
        <v>0</v>
      </c>
      <c r="AN49" s="263">
        <f t="shared" si="0"/>
        <v>0</v>
      </c>
      <c r="AO49" s="263">
        <f t="shared" si="0"/>
        <v>121415</v>
      </c>
      <c r="AP49" s="263">
        <f t="shared" si="0"/>
        <v>61177</v>
      </c>
      <c r="AQ49" s="263">
        <f t="shared" si="0"/>
        <v>0</v>
      </c>
      <c r="AR49" s="263">
        <f t="shared" si="0"/>
        <v>458603</v>
      </c>
      <c r="AS49" s="263">
        <f t="shared" si="0"/>
        <v>0</v>
      </c>
      <c r="AT49" s="263">
        <f t="shared" si="0"/>
        <v>0</v>
      </c>
      <c r="AU49" s="263">
        <f t="shared" si="0"/>
        <v>0</v>
      </c>
      <c r="AV49" s="263">
        <f t="shared" si="0"/>
        <v>476772</v>
      </c>
      <c r="AW49" s="263">
        <f t="shared" si="0"/>
        <v>0</v>
      </c>
      <c r="AX49" s="263">
        <f t="shared" si="0"/>
        <v>0</v>
      </c>
      <c r="AY49" s="263">
        <f t="shared" si="0"/>
        <v>182639</v>
      </c>
      <c r="AZ49" s="263">
        <f t="shared" si="0"/>
        <v>0</v>
      </c>
      <c r="BA49" s="263">
        <f t="shared" si="0"/>
        <v>0</v>
      </c>
      <c r="BB49" s="263">
        <f t="shared" si="0"/>
        <v>0</v>
      </c>
      <c r="BC49" s="263">
        <f t="shared" si="0"/>
        <v>0</v>
      </c>
      <c r="BD49" s="263">
        <f t="shared" si="0"/>
        <v>78590</v>
      </c>
      <c r="BE49" s="263">
        <f t="shared" si="0"/>
        <v>246333</v>
      </c>
      <c r="BF49" s="263">
        <f t="shared" si="0"/>
        <v>235106</v>
      </c>
      <c r="BG49" s="263">
        <f t="shared" si="0"/>
        <v>0</v>
      </c>
      <c r="BH49" s="263">
        <f t="shared" si="0"/>
        <v>309374</v>
      </c>
      <c r="BI49" s="263">
        <f t="shared" si="0"/>
        <v>0</v>
      </c>
      <c r="BJ49" s="263">
        <f t="shared" si="0"/>
        <v>0</v>
      </c>
      <c r="BK49" s="263">
        <f t="shared" si="0"/>
        <v>267196</v>
      </c>
      <c r="BL49" s="263">
        <f t="shared" si="0"/>
        <v>163403</v>
      </c>
      <c r="BM49" s="263">
        <f t="shared" si="0"/>
        <v>0</v>
      </c>
      <c r="BN49" s="263">
        <f t="shared" si="0"/>
        <v>0</v>
      </c>
      <c r="BO49" s="263">
        <f t="shared" si="0"/>
        <v>4944</v>
      </c>
      <c r="BP49" s="263">
        <f t="shared" ref="BP49:CD49" si="1">IF($B$49,(ROUND((($B$49/$CE$62)*BP62),0)))</f>
        <v>0</v>
      </c>
      <c r="BQ49" s="263">
        <f t="shared" si="1"/>
        <v>0</v>
      </c>
      <c r="BR49" s="263">
        <f t="shared" si="1"/>
        <v>220438</v>
      </c>
      <c r="BS49" s="263">
        <f t="shared" si="1"/>
        <v>0</v>
      </c>
      <c r="BT49" s="263">
        <f t="shared" si="1"/>
        <v>0</v>
      </c>
      <c r="BU49" s="263">
        <f t="shared" si="1"/>
        <v>0</v>
      </c>
      <c r="BV49" s="263">
        <f t="shared" si="1"/>
        <v>124967</v>
      </c>
      <c r="BW49" s="263">
        <f t="shared" si="1"/>
        <v>0</v>
      </c>
      <c r="BX49" s="263">
        <f t="shared" si="1"/>
        <v>0</v>
      </c>
      <c r="BY49" s="263">
        <f t="shared" si="1"/>
        <v>439275</v>
      </c>
      <c r="BZ49" s="263">
        <f t="shared" si="1"/>
        <v>0</v>
      </c>
      <c r="CA49" s="263">
        <f t="shared" si="1"/>
        <v>0</v>
      </c>
      <c r="CB49" s="263">
        <f t="shared" si="1"/>
        <v>0</v>
      </c>
      <c r="CC49" s="263">
        <f t="shared" si="1"/>
        <v>1122612</v>
      </c>
      <c r="CD49" s="263">
        <f t="shared" si="1"/>
        <v>0</v>
      </c>
      <c r="CE49" s="32">
        <f>SUM(C49:CD49)</f>
        <v>15917309</v>
      </c>
    </row>
    <row r="50" spans="1:83" x14ac:dyDescent="0.25">
      <c r="A50" s="20" t="s">
        <v>218</v>
      </c>
      <c r="B50" s="263">
        <f>B48+B49</f>
        <v>15917306</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row>
    <row r="51" spans="1:83" x14ac:dyDescent="0.25">
      <c r="A51" s="20" t="s">
        <v>11</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row>
    <row r="52" spans="1:83" x14ac:dyDescent="0.25">
      <c r="A52" s="26" t="s">
        <v>219</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
      <c r="CE52" s="32">
        <f>SUM(C52:CD52)</f>
        <v>0</v>
      </c>
    </row>
    <row r="53" spans="1:83" x14ac:dyDescent="0.25">
      <c r="A53" s="39" t="s">
        <v>220</v>
      </c>
      <c r="B53" s="264">
        <v>4376458</v>
      </c>
      <c r="C53" s="263">
        <f>IF($B$53,ROUND(($B$53/($CE$91+$CF$91)*C91),0))</f>
        <v>81240</v>
      </c>
      <c r="D53" s="263">
        <f t="shared" ref="D53:BO53" si="2">IF($B$53,ROUND(($B$53/($CE$91+$CF$91)*D91),0))</f>
        <v>0</v>
      </c>
      <c r="E53" s="263">
        <f t="shared" si="2"/>
        <v>293244</v>
      </c>
      <c r="F53" s="263">
        <f t="shared" si="2"/>
        <v>0</v>
      </c>
      <c r="G53" s="263">
        <f t="shared" si="2"/>
        <v>0</v>
      </c>
      <c r="H53" s="263">
        <f t="shared" si="2"/>
        <v>0</v>
      </c>
      <c r="I53" s="263">
        <f t="shared" si="2"/>
        <v>0</v>
      </c>
      <c r="J53" s="263">
        <f t="shared" si="2"/>
        <v>13161</v>
      </c>
      <c r="K53" s="263">
        <f t="shared" si="2"/>
        <v>0</v>
      </c>
      <c r="L53" s="263">
        <f t="shared" si="2"/>
        <v>10323</v>
      </c>
      <c r="M53" s="263">
        <f t="shared" si="2"/>
        <v>0</v>
      </c>
      <c r="N53" s="263">
        <f t="shared" si="2"/>
        <v>0</v>
      </c>
      <c r="O53" s="263">
        <f t="shared" si="2"/>
        <v>7079</v>
      </c>
      <c r="P53" s="263">
        <f t="shared" si="2"/>
        <v>372738</v>
      </c>
      <c r="Q53" s="263">
        <f t="shared" si="2"/>
        <v>18369</v>
      </c>
      <c r="R53" s="263">
        <f t="shared" si="2"/>
        <v>4241</v>
      </c>
      <c r="S53" s="263">
        <f t="shared" si="2"/>
        <v>99203</v>
      </c>
      <c r="T53" s="263">
        <f t="shared" si="2"/>
        <v>0</v>
      </c>
      <c r="U53" s="263">
        <f t="shared" si="2"/>
        <v>122281</v>
      </c>
      <c r="V53" s="263">
        <f t="shared" si="2"/>
        <v>0</v>
      </c>
      <c r="W53" s="263">
        <f t="shared" si="2"/>
        <v>13566</v>
      </c>
      <c r="X53" s="263">
        <f t="shared" si="2"/>
        <v>37829</v>
      </c>
      <c r="Y53" s="263">
        <f t="shared" si="2"/>
        <v>151409</v>
      </c>
      <c r="Z53" s="263">
        <f t="shared" si="2"/>
        <v>0</v>
      </c>
      <c r="AA53" s="263">
        <f t="shared" si="2"/>
        <v>3181</v>
      </c>
      <c r="AB53" s="263">
        <f t="shared" si="2"/>
        <v>46998</v>
      </c>
      <c r="AC53" s="263">
        <f t="shared" si="2"/>
        <v>119131</v>
      </c>
      <c r="AD53" s="263">
        <f t="shared" si="2"/>
        <v>0</v>
      </c>
      <c r="AE53" s="263">
        <f t="shared" si="2"/>
        <v>202336</v>
      </c>
      <c r="AF53" s="263">
        <f t="shared" si="2"/>
        <v>0</v>
      </c>
      <c r="AG53" s="263">
        <f t="shared" si="2"/>
        <v>198033</v>
      </c>
      <c r="AH53" s="263">
        <f t="shared" si="2"/>
        <v>0</v>
      </c>
      <c r="AI53" s="263">
        <f t="shared" si="2"/>
        <v>0</v>
      </c>
      <c r="AJ53" s="263">
        <f t="shared" si="2"/>
        <v>973135</v>
      </c>
      <c r="AK53" s="263">
        <f t="shared" si="2"/>
        <v>0</v>
      </c>
      <c r="AL53" s="263">
        <f t="shared" si="2"/>
        <v>0</v>
      </c>
      <c r="AM53" s="263">
        <f t="shared" si="2"/>
        <v>0</v>
      </c>
      <c r="AN53" s="263">
        <f t="shared" si="2"/>
        <v>0</v>
      </c>
      <c r="AO53" s="263">
        <f t="shared" si="2"/>
        <v>27600</v>
      </c>
      <c r="AP53" s="263">
        <f t="shared" si="2"/>
        <v>0</v>
      </c>
      <c r="AQ53" s="263">
        <f t="shared" si="2"/>
        <v>0</v>
      </c>
      <c r="AR53" s="263">
        <f t="shared" si="2"/>
        <v>0</v>
      </c>
      <c r="AS53" s="263">
        <f t="shared" si="2"/>
        <v>0</v>
      </c>
      <c r="AT53" s="263">
        <f t="shared" si="2"/>
        <v>0</v>
      </c>
      <c r="AU53" s="263">
        <f t="shared" si="2"/>
        <v>0</v>
      </c>
      <c r="AV53" s="263">
        <f t="shared" si="2"/>
        <v>121190</v>
      </c>
      <c r="AW53" s="263">
        <f t="shared" si="2"/>
        <v>0</v>
      </c>
      <c r="AX53" s="263">
        <f t="shared" si="2"/>
        <v>0</v>
      </c>
      <c r="AY53" s="263">
        <f t="shared" si="2"/>
        <v>121252</v>
      </c>
      <c r="AZ53" s="263">
        <f t="shared" si="2"/>
        <v>0</v>
      </c>
      <c r="BA53" s="263">
        <f t="shared" si="2"/>
        <v>0</v>
      </c>
      <c r="BB53" s="263">
        <f t="shared" si="2"/>
        <v>0</v>
      </c>
      <c r="BC53" s="263">
        <f t="shared" si="2"/>
        <v>0</v>
      </c>
      <c r="BD53" s="263">
        <f t="shared" si="2"/>
        <v>0</v>
      </c>
      <c r="BE53" s="263">
        <f t="shared" si="2"/>
        <v>356209</v>
      </c>
      <c r="BF53" s="263">
        <f t="shared" si="2"/>
        <v>97270</v>
      </c>
      <c r="BG53" s="263">
        <f t="shared" si="2"/>
        <v>0</v>
      </c>
      <c r="BH53" s="263">
        <f t="shared" si="2"/>
        <v>203677</v>
      </c>
      <c r="BI53" s="263">
        <f t="shared" si="2"/>
        <v>0</v>
      </c>
      <c r="BJ53" s="263">
        <f t="shared" si="2"/>
        <v>0</v>
      </c>
      <c r="BK53" s="263">
        <f t="shared" si="2"/>
        <v>51270</v>
      </c>
      <c r="BL53" s="263">
        <f t="shared" si="2"/>
        <v>61780</v>
      </c>
      <c r="BM53" s="263">
        <f t="shared" si="2"/>
        <v>0</v>
      </c>
      <c r="BN53" s="263">
        <f t="shared" si="2"/>
        <v>0</v>
      </c>
      <c r="BO53" s="263">
        <f t="shared" si="2"/>
        <v>7578</v>
      </c>
      <c r="BP53" s="263">
        <f t="shared" ref="BP53:CD53" si="3">IF($B$53,ROUND(($B$53/($CE$91+$CF$91)*BP91),0))</f>
        <v>0</v>
      </c>
      <c r="BQ53" s="263">
        <f t="shared" si="3"/>
        <v>0</v>
      </c>
      <c r="BR53" s="263">
        <f t="shared" si="3"/>
        <v>49867</v>
      </c>
      <c r="BS53" s="263">
        <f t="shared" si="3"/>
        <v>0</v>
      </c>
      <c r="BT53" s="263">
        <f t="shared" si="3"/>
        <v>0</v>
      </c>
      <c r="BU53" s="263">
        <f t="shared" si="3"/>
        <v>0</v>
      </c>
      <c r="BV53" s="263">
        <f t="shared" si="3"/>
        <v>0</v>
      </c>
      <c r="BW53" s="263">
        <f t="shared" si="3"/>
        <v>0</v>
      </c>
      <c r="BX53" s="263">
        <f t="shared" si="3"/>
        <v>0</v>
      </c>
      <c r="BY53" s="263">
        <f t="shared" si="3"/>
        <v>53983</v>
      </c>
      <c r="BZ53" s="263">
        <f t="shared" si="3"/>
        <v>0</v>
      </c>
      <c r="CA53" s="263">
        <f t="shared" si="3"/>
        <v>0</v>
      </c>
      <c r="CB53" s="263">
        <f t="shared" si="3"/>
        <v>0</v>
      </c>
      <c r="CC53" s="263">
        <f t="shared" si="3"/>
        <v>457409</v>
      </c>
      <c r="CD53" s="263">
        <f t="shared" si="3"/>
        <v>0</v>
      </c>
      <c r="CE53" s="32">
        <f>SUM(C53:CD53)</f>
        <v>4376582</v>
      </c>
    </row>
    <row r="54" spans="1:83" x14ac:dyDescent="0.25">
      <c r="A54" s="20" t="s">
        <v>218</v>
      </c>
      <c r="B54" s="263">
        <f>B52+B53</f>
        <v>4376458</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0"/>
      <c r="CE54" s="20"/>
    </row>
    <row r="55" spans="1:83" x14ac:dyDescent="0.25">
      <c r="A55" s="20"/>
      <c r="B55" s="20"/>
      <c r="C55" s="2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row>
    <row r="56" spans="1:83" x14ac:dyDescent="0.25">
      <c r="A56" s="26" t="s">
        <v>221</v>
      </c>
      <c r="B56" s="20"/>
      <c r="C56" s="21" t="s">
        <v>21</v>
      </c>
      <c r="D56" s="22" t="s">
        <v>22</v>
      </c>
      <c r="E56" s="22" t="s">
        <v>23</v>
      </c>
      <c r="F56" s="22" t="s">
        <v>24</v>
      </c>
      <c r="G56" s="22" t="s">
        <v>25</v>
      </c>
      <c r="H56" s="22" t="s">
        <v>26</v>
      </c>
      <c r="I56" s="22" t="s">
        <v>27</v>
      </c>
      <c r="J56" s="22" t="s">
        <v>28</v>
      </c>
      <c r="K56" s="22" t="s">
        <v>29</v>
      </c>
      <c r="L56" s="22" t="s">
        <v>30</v>
      </c>
      <c r="M56" s="22" t="s">
        <v>31</v>
      </c>
      <c r="N56" s="22" t="s">
        <v>32</v>
      </c>
      <c r="O56" s="22" t="s">
        <v>33</v>
      </c>
      <c r="P56" s="22" t="s">
        <v>34</v>
      </c>
      <c r="Q56" s="22" t="s">
        <v>35</v>
      </c>
      <c r="R56" s="22" t="s">
        <v>36</v>
      </c>
      <c r="S56" s="22" t="s">
        <v>37</v>
      </c>
      <c r="T56" s="28" t="s">
        <v>38</v>
      </c>
      <c r="U56" s="22" t="s">
        <v>39</v>
      </c>
      <c r="V56" s="22" t="s">
        <v>40</v>
      </c>
      <c r="W56" s="22" t="s">
        <v>41</v>
      </c>
      <c r="X56" s="22" t="s">
        <v>42</v>
      </c>
      <c r="Y56" s="22" t="s">
        <v>43</v>
      </c>
      <c r="Z56" s="22" t="s">
        <v>44</v>
      </c>
      <c r="AA56" s="22" t="s">
        <v>45</v>
      </c>
      <c r="AB56" s="22" t="s">
        <v>46</v>
      </c>
      <c r="AC56" s="22" t="s">
        <v>47</v>
      </c>
      <c r="AD56" s="22" t="s">
        <v>48</v>
      </c>
      <c r="AE56" s="22" t="s">
        <v>49</v>
      </c>
      <c r="AF56" s="22" t="s">
        <v>50</v>
      </c>
      <c r="AG56" s="22" t="s">
        <v>51</v>
      </c>
      <c r="AH56" s="22" t="s">
        <v>52</v>
      </c>
      <c r="AI56" s="22" t="s">
        <v>53</v>
      </c>
      <c r="AJ56" s="22" t="s">
        <v>54</v>
      </c>
      <c r="AK56" s="22" t="s">
        <v>55</v>
      </c>
      <c r="AL56" s="22" t="s">
        <v>56</v>
      </c>
      <c r="AM56" s="22" t="s">
        <v>57</v>
      </c>
      <c r="AN56" s="22" t="s">
        <v>58</v>
      </c>
      <c r="AO56" s="22" t="s">
        <v>59</v>
      </c>
      <c r="AP56" s="22" t="s">
        <v>60</v>
      </c>
      <c r="AQ56" s="22" t="s">
        <v>61</v>
      </c>
      <c r="AR56" s="22" t="s">
        <v>62</v>
      </c>
      <c r="AS56" s="22" t="s">
        <v>63</v>
      </c>
      <c r="AT56" s="22" t="s">
        <v>64</v>
      </c>
      <c r="AU56" s="22" t="s">
        <v>65</v>
      </c>
      <c r="AV56" s="22" t="s">
        <v>66</v>
      </c>
      <c r="AW56" s="22" t="s">
        <v>67</v>
      </c>
      <c r="AX56" s="22" t="s">
        <v>68</v>
      </c>
      <c r="AY56" s="22" t="s">
        <v>69</v>
      </c>
      <c r="AZ56" s="22" t="s">
        <v>70</v>
      </c>
      <c r="BA56" s="22" t="s">
        <v>71</v>
      </c>
      <c r="BB56" s="22" t="s">
        <v>72</v>
      </c>
      <c r="BC56" s="22" t="s">
        <v>73</v>
      </c>
      <c r="BD56" s="22" t="s">
        <v>74</v>
      </c>
      <c r="BE56" s="22" t="s">
        <v>75</v>
      </c>
      <c r="BF56" s="22" t="s">
        <v>76</v>
      </c>
      <c r="BG56" s="22" t="s">
        <v>77</v>
      </c>
      <c r="BH56" s="22" t="s">
        <v>78</v>
      </c>
      <c r="BI56" s="22" t="s">
        <v>79</v>
      </c>
      <c r="BJ56" s="22" t="s">
        <v>80</v>
      </c>
      <c r="BK56" s="22" t="s">
        <v>81</v>
      </c>
      <c r="BL56" s="22" t="s">
        <v>82</v>
      </c>
      <c r="BM56" s="22" t="s">
        <v>83</v>
      </c>
      <c r="BN56" s="22" t="s">
        <v>84</v>
      </c>
      <c r="BO56" s="22" t="s">
        <v>85</v>
      </c>
      <c r="BP56" s="22" t="s">
        <v>86</v>
      </c>
      <c r="BQ56" s="22" t="s">
        <v>87</v>
      </c>
      <c r="BR56" s="22" t="s">
        <v>88</v>
      </c>
      <c r="BS56" s="22" t="s">
        <v>89</v>
      </c>
      <c r="BT56" s="22" t="s">
        <v>90</v>
      </c>
      <c r="BU56" s="22" t="s">
        <v>91</v>
      </c>
      <c r="BV56" s="22" t="s">
        <v>92</v>
      </c>
      <c r="BW56" s="22" t="s">
        <v>93</v>
      </c>
      <c r="BX56" s="22" t="s">
        <v>94</v>
      </c>
      <c r="BY56" s="22" t="s">
        <v>95</v>
      </c>
      <c r="BZ56" s="22" t="s">
        <v>96</v>
      </c>
      <c r="CA56" s="22" t="s">
        <v>97</v>
      </c>
      <c r="CB56" s="22" t="s">
        <v>98</v>
      </c>
      <c r="CC56" s="22" t="s">
        <v>99</v>
      </c>
      <c r="CD56" s="22" t="s">
        <v>100</v>
      </c>
      <c r="CE56" s="22" t="s">
        <v>101</v>
      </c>
    </row>
    <row r="57" spans="1:83" x14ac:dyDescent="0.25">
      <c r="A57" s="26" t="s">
        <v>222</v>
      </c>
      <c r="B57" s="20"/>
      <c r="C57" s="21" t="s">
        <v>103</v>
      </c>
      <c r="D57" s="22" t="s">
        <v>104</v>
      </c>
      <c r="E57" s="22" t="s">
        <v>105</v>
      </c>
      <c r="F57" s="22" t="s">
        <v>106</v>
      </c>
      <c r="G57" s="22" t="s">
        <v>107</v>
      </c>
      <c r="H57" s="22" t="s">
        <v>108</v>
      </c>
      <c r="I57" s="22" t="s">
        <v>109</v>
      </c>
      <c r="J57" s="22" t="s">
        <v>110</v>
      </c>
      <c r="K57" s="22" t="s">
        <v>111</v>
      </c>
      <c r="L57" s="22" t="s">
        <v>112</v>
      </c>
      <c r="M57" s="22" t="s">
        <v>113</v>
      </c>
      <c r="N57" s="22" t="s">
        <v>114</v>
      </c>
      <c r="O57" s="22" t="s">
        <v>115</v>
      </c>
      <c r="P57" s="22" t="s">
        <v>116</v>
      </c>
      <c r="Q57" s="22" t="s">
        <v>117</v>
      </c>
      <c r="R57" s="22" t="s">
        <v>118</v>
      </c>
      <c r="S57" s="22" t="s">
        <v>119</v>
      </c>
      <c r="T57" s="22" t="s">
        <v>120</v>
      </c>
      <c r="U57" s="22" t="s">
        <v>121</v>
      </c>
      <c r="V57" s="22" t="s">
        <v>122</v>
      </c>
      <c r="W57" s="22" t="s">
        <v>123</v>
      </c>
      <c r="X57" s="22" t="s">
        <v>124</v>
      </c>
      <c r="Y57" s="22" t="s">
        <v>125</v>
      </c>
      <c r="Z57" s="22" t="s">
        <v>125</v>
      </c>
      <c r="AA57" s="22" t="s">
        <v>126</v>
      </c>
      <c r="AB57" s="22" t="s">
        <v>127</v>
      </c>
      <c r="AC57" s="22" t="s">
        <v>128</v>
      </c>
      <c r="AD57" s="22" t="s">
        <v>129</v>
      </c>
      <c r="AE57" s="22" t="s">
        <v>107</v>
      </c>
      <c r="AF57" s="22" t="s">
        <v>108</v>
      </c>
      <c r="AG57" s="22" t="s">
        <v>130</v>
      </c>
      <c r="AH57" s="22" t="s">
        <v>131</v>
      </c>
      <c r="AI57" s="22" t="s">
        <v>132</v>
      </c>
      <c r="AJ57" s="22" t="s">
        <v>133</v>
      </c>
      <c r="AK57" s="22" t="s">
        <v>134</v>
      </c>
      <c r="AL57" s="22" t="s">
        <v>135</v>
      </c>
      <c r="AM57" s="22" t="s">
        <v>136</v>
      </c>
      <c r="AN57" s="22" t="s">
        <v>122</v>
      </c>
      <c r="AO57" s="22" t="s">
        <v>137</v>
      </c>
      <c r="AP57" s="22" t="s">
        <v>138</v>
      </c>
      <c r="AQ57" s="22" t="s">
        <v>139</v>
      </c>
      <c r="AR57" s="22" t="s">
        <v>140</v>
      </c>
      <c r="AS57" s="22" t="s">
        <v>141</v>
      </c>
      <c r="AT57" s="22" t="s">
        <v>142</v>
      </c>
      <c r="AU57" s="22" t="s">
        <v>143</v>
      </c>
      <c r="AV57" s="22" t="s">
        <v>144</v>
      </c>
      <c r="AW57" s="22" t="s">
        <v>145</v>
      </c>
      <c r="AX57" s="22" t="s">
        <v>146</v>
      </c>
      <c r="AY57" s="22" t="s">
        <v>147</v>
      </c>
      <c r="AZ57" s="22" t="s">
        <v>148</v>
      </c>
      <c r="BA57" s="22" t="s">
        <v>149</v>
      </c>
      <c r="BB57" s="22" t="s">
        <v>150</v>
      </c>
      <c r="BC57" s="22" t="s">
        <v>119</v>
      </c>
      <c r="BD57" s="22" t="s">
        <v>151</v>
      </c>
      <c r="BE57" s="22" t="s">
        <v>152</v>
      </c>
      <c r="BF57" s="22" t="s">
        <v>153</v>
      </c>
      <c r="BG57" s="22" t="s">
        <v>154</v>
      </c>
      <c r="BH57" s="22" t="s">
        <v>155</v>
      </c>
      <c r="BI57" s="22" t="s">
        <v>156</v>
      </c>
      <c r="BJ57" s="22" t="s">
        <v>157</v>
      </c>
      <c r="BK57" s="22" t="s">
        <v>158</v>
      </c>
      <c r="BL57" s="22" t="s">
        <v>159</v>
      </c>
      <c r="BM57" s="22" t="s">
        <v>144</v>
      </c>
      <c r="BN57" s="22" t="s">
        <v>160</v>
      </c>
      <c r="BO57" s="22" t="s">
        <v>161</v>
      </c>
      <c r="BP57" s="22" t="s">
        <v>162</v>
      </c>
      <c r="BQ57" s="22" t="s">
        <v>163</v>
      </c>
      <c r="BR57" s="22" t="s">
        <v>164</v>
      </c>
      <c r="BS57" s="22" t="s">
        <v>165</v>
      </c>
      <c r="BT57" s="22" t="s">
        <v>166</v>
      </c>
      <c r="BU57" s="22" t="s">
        <v>167</v>
      </c>
      <c r="BV57" s="22" t="s">
        <v>167</v>
      </c>
      <c r="BW57" s="22" t="s">
        <v>167</v>
      </c>
      <c r="BX57" s="22" t="s">
        <v>168</v>
      </c>
      <c r="BY57" s="22" t="s">
        <v>169</v>
      </c>
      <c r="BZ57" s="22" t="s">
        <v>170</v>
      </c>
      <c r="CA57" s="22" t="s">
        <v>171</v>
      </c>
      <c r="CB57" s="22" t="s">
        <v>172</v>
      </c>
      <c r="CC57" s="22" t="s">
        <v>144</v>
      </c>
      <c r="CD57" s="22" t="s">
        <v>223</v>
      </c>
      <c r="CE57" s="22" t="s">
        <v>173</v>
      </c>
    </row>
    <row r="58" spans="1:83" x14ac:dyDescent="0.25">
      <c r="A58" s="26" t="s">
        <v>224</v>
      </c>
      <c r="B58" s="20"/>
      <c r="C58" s="21" t="s">
        <v>175</v>
      </c>
      <c r="D58" s="22" t="s">
        <v>175</v>
      </c>
      <c r="E58" s="22" t="s">
        <v>175</v>
      </c>
      <c r="F58" s="22" t="s">
        <v>176</v>
      </c>
      <c r="G58" s="22" t="s">
        <v>177</v>
      </c>
      <c r="H58" s="22" t="s">
        <v>175</v>
      </c>
      <c r="I58" s="22" t="s">
        <v>178</v>
      </c>
      <c r="J58" s="22"/>
      <c r="K58" s="22" t="s">
        <v>169</v>
      </c>
      <c r="L58" s="22" t="s">
        <v>179</v>
      </c>
      <c r="M58" s="22" t="s">
        <v>180</v>
      </c>
      <c r="N58" s="22" t="s">
        <v>181</v>
      </c>
      <c r="O58" s="22" t="s">
        <v>182</v>
      </c>
      <c r="P58" s="22" t="s">
        <v>181</v>
      </c>
      <c r="Q58" s="22" t="s">
        <v>183</v>
      </c>
      <c r="R58" s="22"/>
      <c r="S58" s="22" t="s">
        <v>181</v>
      </c>
      <c r="T58" s="22" t="s">
        <v>184</v>
      </c>
      <c r="U58" s="22"/>
      <c r="V58" s="22" t="s">
        <v>185</v>
      </c>
      <c r="W58" s="22" t="s">
        <v>186</v>
      </c>
      <c r="X58" s="22" t="s">
        <v>187</v>
      </c>
      <c r="Y58" s="22" t="s">
        <v>188</v>
      </c>
      <c r="Z58" s="22" t="s">
        <v>189</v>
      </c>
      <c r="AA58" s="22" t="s">
        <v>190</v>
      </c>
      <c r="AB58" s="22"/>
      <c r="AC58" s="22" t="s">
        <v>184</v>
      </c>
      <c r="AD58" s="22"/>
      <c r="AE58" s="22" t="s">
        <v>184</v>
      </c>
      <c r="AF58" s="22" t="s">
        <v>191</v>
      </c>
      <c r="AG58" s="22" t="s">
        <v>183</v>
      </c>
      <c r="AH58" s="22"/>
      <c r="AI58" s="22" t="s">
        <v>192</v>
      </c>
      <c r="AJ58" s="22"/>
      <c r="AK58" s="22" t="s">
        <v>184</v>
      </c>
      <c r="AL58" s="22" t="s">
        <v>184</v>
      </c>
      <c r="AM58" s="22" t="s">
        <v>184</v>
      </c>
      <c r="AN58" s="22" t="s">
        <v>193</v>
      </c>
      <c r="AO58" s="22" t="s">
        <v>194</v>
      </c>
      <c r="AP58" s="22" t="s">
        <v>133</v>
      </c>
      <c r="AQ58" s="22" t="s">
        <v>195</v>
      </c>
      <c r="AR58" s="22" t="s">
        <v>181</v>
      </c>
      <c r="AS58" s="22"/>
      <c r="AT58" s="22" t="s">
        <v>196</v>
      </c>
      <c r="AU58" s="22" t="s">
        <v>197</v>
      </c>
      <c r="AV58" s="22" t="s">
        <v>198</v>
      </c>
      <c r="AW58" s="22" t="s">
        <v>199</v>
      </c>
      <c r="AX58" s="22" t="s">
        <v>200</v>
      </c>
      <c r="AY58" s="22"/>
      <c r="AZ58" s="22"/>
      <c r="BA58" s="22" t="s">
        <v>201</v>
      </c>
      <c r="BB58" s="22" t="s">
        <v>181</v>
      </c>
      <c r="BC58" s="22" t="s">
        <v>195</v>
      </c>
      <c r="BD58" s="22"/>
      <c r="BE58" s="22"/>
      <c r="BF58" s="22"/>
      <c r="BG58" s="22"/>
      <c r="BH58" s="22" t="s">
        <v>202</v>
      </c>
      <c r="BI58" s="22" t="s">
        <v>181</v>
      </c>
      <c r="BJ58" s="22"/>
      <c r="BK58" s="22" t="s">
        <v>203</v>
      </c>
      <c r="BL58" s="22"/>
      <c r="BM58" s="22" t="s">
        <v>204</v>
      </c>
      <c r="BN58" s="22" t="s">
        <v>205</v>
      </c>
      <c r="BO58" s="22" t="s">
        <v>206</v>
      </c>
      <c r="BP58" s="22" t="s">
        <v>207</v>
      </c>
      <c r="BQ58" s="22" t="s">
        <v>208</v>
      </c>
      <c r="BR58" s="22"/>
      <c r="BS58" s="22" t="s">
        <v>209</v>
      </c>
      <c r="BT58" s="22" t="s">
        <v>181</v>
      </c>
      <c r="BU58" s="22" t="s">
        <v>210</v>
      </c>
      <c r="BV58" s="22" t="s">
        <v>211</v>
      </c>
      <c r="BW58" s="22" t="s">
        <v>212</v>
      </c>
      <c r="BX58" s="22" t="s">
        <v>163</v>
      </c>
      <c r="BY58" s="22" t="s">
        <v>205</v>
      </c>
      <c r="BZ58" s="22" t="s">
        <v>164</v>
      </c>
      <c r="CA58" s="22" t="s">
        <v>213</v>
      </c>
      <c r="CB58" s="22" t="s">
        <v>213</v>
      </c>
      <c r="CC58" s="22" t="s">
        <v>214</v>
      </c>
      <c r="CD58" s="22" t="s">
        <v>225</v>
      </c>
      <c r="CE58" s="22" t="s">
        <v>215</v>
      </c>
    </row>
    <row r="59" spans="1:83" x14ac:dyDescent="0.25">
      <c r="A59" s="26" t="s">
        <v>226</v>
      </c>
      <c r="B59" s="20"/>
      <c r="C59" s="21" t="s">
        <v>227</v>
      </c>
      <c r="D59" s="22" t="s">
        <v>227</v>
      </c>
      <c r="E59" s="22" t="s">
        <v>227</v>
      </c>
      <c r="F59" s="22" t="s">
        <v>227</v>
      </c>
      <c r="G59" s="22" t="s">
        <v>227</v>
      </c>
      <c r="H59" s="22" t="s">
        <v>227</v>
      </c>
      <c r="I59" s="22" t="s">
        <v>227</v>
      </c>
      <c r="J59" s="22" t="s">
        <v>228</v>
      </c>
      <c r="K59" s="22" t="s">
        <v>227</v>
      </c>
      <c r="L59" s="22" t="s">
        <v>227</v>
      </c>
      <c r="M59" s="22" t="s">
        <v>227</v>
      </c>
      <c r="N59" s="22" t="s">
        <v>227</v>
      </c>
      <c r="O59" s="22" t="s">
        <v>229</v>
      </c>
      <c r="P59" s="22" t="s">
        <v>230</v>
      </c>
      <c r="Q59" s="22" t="s">
        <v>231</v>
      </c>
      <c r="R59" s="23" t="s">
        <v>232</v>
      </c>
      <c r="S59" s="29" t="s">
        <v>233</v>
      </c>
      <c r="T59" s="29" t="s">
        <v>233</v>
      </c>
      <c r="U59" s="22" t="s">
        <v>234</v>
      </c>
      <c r="V59" s="22" t="s">
        <v>234</v>
      </c>
      <c r="W59" s="22" t="s">
        <v>235</v>
      </c>
      <c r="X59" s="22" t="s">
        <v>236</v>
      </c>
      <c r="Y59" s="22" t="s">
        <v>237</v>
      </c>
      <c r="Z59" s="22" t="s">
        <v>237</v>
      </c>
      <c r="AA59" s="22" t="s">
        <v>237</v>
      </c>
      <c r="AB59" s="29" t="s">
        <v>233</v>
      </c>
      <c r="AC59" s="22" t="s">
        <v>238</v>
      </c>
      <c r="AD59" s="22" t="s">
        <v>239</v>
      </c>
      <c r="AE59" s="22" t="s">
        <v>238</v>
      </c>
      <c r="AF59" s="22" t="s">
        <v>240</v>
      </c>
      <c r="AG59" s="22" t="s">
        <v>240</v>
      </c>
      <c r="AH59" s="22" t="s">
        <v>241</v>
      </c>
      <c r="AI59" s="22" t="s">
        <v>242</v>
      </c>
      <c r="AJ59" s="22" t="s">
        <v>240</v>
      </c>
      <c r="AK59" s="22" t="s">
        <v>238</v>
      </c>
      <c r="AL59" s="22" t="s">
        <v>238</v>
      </c>
      <c r="AM59" s="22" t="s">
        <v>238</v>
      </c>
      <c r="AN59" s="22" t="s">
        <v>229</v>
      </c>
      <c r="AO59" s="22" t="s">
        <v>239</v>
      </c>
      <c r="AP59" s="22" t="s">
        <v>240</v>
      </c>
      <c r="AQ59" s="22" t="s">
        <v>241</v>
      </c>
      <c r="AR59" s="22" t="s">
        <v>240</v>
      </c>
      <c r="AS59" s="22" t="s">
        <v>238</v>
      </c>
      <c r="AT59" s="22" t="s">
        <v>243</v>
      </c>
      <c r="AU59" s="22" t="s">
        <v>240</v>
      </c>
      <c r="AV59" s="29" t="s">
        <v>233</v>
      </c>
      <c r="AW59" s="29" t="s">
        <v>233</v>
      </c>
      <c r="AX59" s="29" t="s">
        <v>233</v>
      </c>
      <c r="AY59" s="22" t="s">
        <v>244</v>
      </c>
      <c r="AZ59" s="22" t="s">
        <v>244</v>
      </c>
      <c r="BA59" s="29" t="s">
        <v>233</v>
      </c>
      <c r="BB59" s="29" t="s">
        <v>233</v>
      </c>
      <c r="BC59" s="29" t="s">
        <v>233</v>
      </c>
      <c r="BD59" s="29" t="s">
        <v>233</v>
      </c>
      <c r="BE59" s="22" t="s">
        <v>245</v>
      </c>
      <c r="BF59" s="29" t="s">
        <v>233</v>
      </c>
      <c r="BG59" s="29" t="s">
        <v>233</v>
      </c>
      <c r="BH59" s="29" t="s">
        <v>233</v>
      </c>
      <c r="BI59" s="29" t="s">
        <v>233</v>
      </c>
      <c r="BJ59" s="29" t="s">
        <v>233</v>
      </c>
      <c r="BK59" s="29" t="s">
        <v>233</v>
      </c>
      <c r="BL59" s="29" t="s">
        <v>233</v>
      </c>
      <c r="BM59" s="29" t="s">
        <v>233</v>
      </c>
      <c r="BN59" s="29" t="s">
        <v>233</v>
      </c>
      <c r="BO59" s="29" t="s">
        <v>233</v>
      </c>
      <c r="BP59" s="29" t="s">
        <v>233</v>
      </c>
      <c r="BQ59" s="29" t="s">
        <v>233</v>
      </c>
      <c r="BR59" s="29" t="s">
        <v>233</v>
      </c>
      <c r="BS59" s="29" t="s">
        <v>233</v>
      </c>
      <c r="BT59" s="29" t="s">
        <v>233</v>
      </c>
      <c r="BU59" s="29" t="s">
        <v>233</v>
      </c>
      <c r="BV59" s="29" t="s">
        <v>233</v>
      </c>
      <c r="BW59" s="29" t="s">
        <v>233</v>
      </c>
      <c r="BX59" s="29" t="s">
        <v>233</v>
      </c>
      <c r="BY59" s="29" t="s">
        <v>233</v>
      </c>
      <c r="BZ59" s="29" t="s">
        <v>233</v>
      </c>
      <c r="CA59" s="29" t="s">
        <v>233</v>
      </c>
      <c r="CB59" s="29" t="s">
        <v>233</v>
      </c>
      <c r="CC59" s="29" t="s">
        <v>233</v>
      </c>
      <c r="CD59" s="29" t="s">
        <v>233</v>
      </c>
      <c r="CE59" s="29" t="s">
        <v>233</v>
      </c>
    </row>
    <row r="60" spans="1:83" x14ac:dyDescent="0.25">
      <c r="A60" s="39" t="s">
        <v>246</v>
      </c>
      <c r="B60" s="32"/>
      <c r="C60" s="207">
        <v>320</v>
      </c>
      <c r="D60" s="207"/>
      <c r="E60" s="207">
        <v>3611</v>
      </c>
      <c r="F60" s="207"/>
      <c r="G60" s="207"/>
      <c r="H60" s="207"/>
      <c r="I60" s="207"/>
      <c r="J60" s="207">
        <v>162</v>
      </c>
      <c r="K60" s="207"/>
      <c r="L60" s="207">
        <v>127</v>
      </c>
      <c r="M60" s="207">
        <v>16183</v>
      </c>
      <c r="N60" s="207"/>
      <c r="O60" s="207">
        <v>87</v>
      </c>
      <c r="P60" s="208">
        <v>202480</v>
      </c>
      <c r="Q60" s="208">
        <v>42396</v>
      </c>
      <c r="R60" s="208">
        <v>201254</v>
      </c>
      <c r="S60" s="256"/>
      <c r="T60" s="256"/>
      <c r="U60" s="221">
        <v>275292</v>
      </c>
      <c r="V60" s="208"/>
      <c r="W60" s="208">
        <v>2482</v>
      </c>
      <c r="X60" s="208">
        <v>6915</v>
      </c>
      <c r="Y60" s="208">
        <v>27682</v>
      </c>
      <c r="Z60" s="208"/>
      <c r="AA60" s="208">
        <v>580</v>
      </c>
      <c r="AB60" s="256"/>
      <c r="AC60" s="208">
        <v>38682</v>
      </c>
      <c r="AD60" s="208"/>
      <c r="AE60" s="208">
        <v>102140</v>
      </c>
      <c r="AF60" s="208"/>
      <c r="AG60" s="208">
        <v>12074</v>
      </c>
      <c r="AH60" s="208"/>
      <c r="AI60" s="208"/>
      <c r="AJ60" s="208">
        <v>96734</v>
      </c>
      <c r="AK60" s="208"/>
      <c r="AL60" s="208"/>
      <c r="AM60" s="208"/>
      <c r="AN60" s="208"/>
      <c r="AO60" s="208">
        <v>8160</v>
      </c>
      <c r="AP60" s="208">
        <v>2051</v>
      </c>
      <c r="AQ60" s="208"/>
      <c r="AR60" s="208">
        <v>7790</v>
      </c>
      <c r="AS60" s="208"/>
      <c r="AT60" s="208"/>
      <c r="AU60" s="208"/>
      <c r="AV60" s="256"/>
      <c r="AW60" s="256"/>
      <c r="AX60" s="256"/>
      <c r="AY60" s="208">
        <v>15221</v>
      </c>
      <c r="AZ60" s="208"/>
      <c r="BA60" s="256"/>
      <c r="BB60" s="256"/>
      <c r="BC60" s="256"/>
      <c r="BD60" s="256"/>
      <c r="BE60" s="208">
        <v>140333</v>
      </c>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7"/>
      <c r="CE60" s="32"/>
    </row>
    <row r="61" spans="1:83" s="219" customFormat="1" x14ac:dyDescent="0.25">
      <c r="A61" s="234" t="s">
        <v>247</v>
      </c>
      <c r="B61" s="235"/>
      <c r="C61" s="236">
        <v>8.7799999999999994</v>
      </c>
      <c r="D61" s="236"/>
      <c r="E61" s="236">
        <v>41.384213080656345</v>
      </c>
      <c r="F61" s="236"/>
      <c r="G61" s="236"/>
      <c r="H61" s="236"/>
      <c r="I61" s="236"/>
      <c r="J61" s="236">
        <v>1.8566165934827823</v>
      </c>
      <c r="K61" s="236"/>
      <c r="L61" s="236">
        <v>1.4554957245204527</v>
      </c>
      <c r="M61" s="236">
        <v>9.1300000000000008</v>
      </c>
      <c r="N61" s="236"/>
      <c r="O61" s="236">
        <v>0.99707187427779054</v>
      </c>
      <c r="P61" s="237">
        <v>18.940000000000001</v>
      </c>
      <c r="Q61" s="237">
        <v>2.95</v>
      </c>
      <c r="R61" s="237">
        <v>22.13</v>
      </c>
      <c r="S61" s="238">
        <v>3.78</v>
      </c>
      <c r="T61" s="238"/>
      <c r="U61" s="239">
        <v>26.64</v>
      </c>
      <c r="V61" s="237"/>
      <c r="W61" s="237">
        <v>1.65</v>
      </c>
      <c r="X61" s="237">
        <v>4.59</v>
      </c>
      <c r="Y61" s="237">
        <v>18.38</v>
      </c>
      <c r="Z61" s="237"/>
      <c r="AA61" s="237">
        <v>0.39</v>
      </c>
      <c r="AB61" s="238">
        <v>10.86</v>
      </c>
      <c r="AC61" s="237">
        <v>16.579999999999998</v>
      </c>
      <c r="AD61" s="237"/>
      <c r="AE61" s="237">
        <v>33.4</v>
      </c>
      <c r="AF61" s="237"/>
      <c r="AG61" s="237">
        <v>29.81</v>
      </c>
      <c r="AH61" s="237"/>
      <c r="AI61" s="237"/>
      <c r="AJ61" s="237">
        <v>171.77</v>
      </c>
      <c r="AK61" s="237"/>
      <c r="AL61" s="237"/>
      <c r="AM61" s="237"/>
      <c r="AN61" s="237"/>
      <c r="AO61" s="237">
        <v>3.8966027270626293</v>
      </c>
      <c r="AP61" s="237">
        <v>2.98</v>
      </c>
      <c r="AQ61" s="237"/>
      <c r="AR61" s="237">
        <v>25.23</v>
      </c>
      <c r="AS61" s="237"/>
      <c r="AT61" s="237"/>
      <c r="AU61" s="237"/>
      <c r="AV61" s="238">
        <v>3.27</v>
      </c>
      <c r="AW61" s="238"/>
      <c r="AX61" s="238"/>
      <c r="AY61" s="237">
        <v>15.94</v>
      </c>
      <c r="AZ61" s="237"/>
      <c r="BA61" s="238"/>
      <c r="BB61" s="238"/>
      <c r="BC61" s="238"/>
      <c r="BD61" s="238">
        <v>7.23</v>
      </c>
      <c r="BE61" s="237">
        <v>15.47</v>
      </c>
      <c r="BF61" s="238">
        <v>22.78</v>
      </c>
      <c r="BG61" s="238"/>
      <c r="BH61" s="238">
        <v>15.23</v>
      </c>
      <c r="BI61" s="238"/>
      <c r="BJ61" s="238"/>
      <c r="BK61" s="238">
        <v>27.15</v>
      </c>
      <c r="BL61" s="238">
        <v>14.41</v>
      </c>
      <c r="BM61" s="238"/>
      <c r="BN61" s="238"/>
      <c r="BO61" s="238">
        <v>0.3</v>
      </c>
      <c r="BP61" s="238"/>
      <c r="BQ61" s="238"/>
      <c r="BR61" s="238">
        <v>9.3800000000000008</v>
      </c>
      <c r="BS61" s="238"/>
      <c r="BT61" s="238"/>
      <c r="BU61" s="238"/>
      <c r="BV61" s="238">
        <v>11.14</v>
      </c>
      <c r="BW61" s="238"/>
      <c r="BX61" s="238"/>
      <c r="BY61" s="238">
        <v>20.97</v>
      </c>
      <c r="BZ61" s="238"/>
      <c r="CA61" s="238"/>
      <c r="CB61" s="238"/>
      <c r="CC61" s="238">
        <v>31.44</v>
      </c>
      <c r="CD61" s="240" t="s">
        <v>233</v>
      </c>
      <c r="CE61" s="261">
        <f t="shared" ref="CE61:CE69" si="4">SUM(C61:CD61)</f>
        <v>652.29000000000008</v>
      </c>
    </row>
    <row r="62" spans="1:83" x14ac:dyDescent="0.25">
      <c r="A62" s="39" t="s">
        <v>248</v>
      </c>
      <c r="B62" s="20"/>
      <c r="C62" s="207">
        <v>1000475</v>
      </c>
      <c r="D62" s="207"/>
      <c r="E62" s="207">
        <v>5717146.0016177492</v>
      </c>
      <c r="F62" s="207"/>
      <c r="G62" s="207"/>
      <c r="H62" s="207"/>
      <c r="I62" s="207"/>
      <c r="J62" s="207">
        <v>256487.85717587243</v>
      </c>
      <c r="K62" s="207"/>
      <c r="L62" s="207">
        <v>201073.81395886294</v>
      </c>
      <c r="M62" s="207">
        <v>1272422</v>
      </c>
      <c r="N62" s="207"/>
      <c r="O62" s="207">
        <v>137743.47885370927</v>
      </c>
      <c r="P62" s="208">
        <v>1529840</v>
      </c>
      <c r="Q62" s="208">
        <v>669501</v>
      </c>
      <c r="R62" s="208">
        <v>1251534</v>
      </c>
      <c r="S62" s="222">
        <v>142447</v>
      </c>
      <c r="T62" s="222"/>
      <c r="U62" s="221">
        <v>1820987</v>
      </c>
      <c r="V62" s="208"/>
      <c r="W62" s="208">
        <v>142747</v>
      </c>
      <c r="X62" s="208">
        <v>397701</v>
      </c>
      <c r="Y62" s="208">
        <v>1592071</v>
      </c>
      <c r="Z62" s="208"/>
      <c r="AA62" s="208">
        <v>33357</v>
      </c>
      <c r="AB62" s="233">
        <v>1269340</v>
      </c>
      <c r="AC62" s="208">
        <v>1243103</v>
      </c>
      <c r="AD62" s="208"/>
      <c r="AE62" s="208">
        <v>3001390</v>
      </c>
      <c r="AF62" s="208"/>
      <c r="AG62" s="208">
        <v>4685867</v>
      </c>
      <c r="AH62" s="208"/>
      <c r="AI62" s="208"/>
      <c r="AJ62" s="208">
        <v>24197638</v>
      </c>
      <c r="AK62" s="208"/>
      <c r="AL62" s="208"/>
      <c r="AM62" s="208"/>
      <c r="AN62" s="208"/>
      <c r="AO62" s="208">
        <v>538307.84839380626</v>
      </c>
      <c r="AP62" s="208">
        <v>271236</v>
      </c>
      <c r="AQ62" s="208"/>
      <c r="AR62" s="208">
        <v>2033262</v>
      </c>
      <c r="AS62" s="208"/>
      <c r="AT62" s="208"/>
      <c r="AU62" s="208"/>
      <c r="AV62" s="222">
        <v>2113818</v>
      </c>
      <c r="AW62" s="222"/>
      <c r="AX62" s="222"/>
      <c r="AY62" s="208">
        <v>809747</v>
      </c>
      <c r="AZ62" s="208"/>
      <c r="BA62" s="222"/>
      <c r="BB62" s="222"/>
      <c r="BC62" s="222"/>
      <c r="BD62" s="222">
        <v>348439</v>
      </c>
      <c r="BE62" s="208">
        <v>1092142</v>
      </c>
      <c r="BF62" s="222">
        <v>1042365</v>
      </c>
      <c r="BG62" s="222"/>
      <c r="BH62" s="222">
        <v>1371642</v>
      </c>
      <c r="BI62" s="222"/>
      <c r="BJ62" s="222"/>
      <c r="BK62" s="222">
        <v>1184640</v>
      </c>
      <c r="BL62" s="222">
        <v>724464</v>
      </c>
      <c r="BM62" s="222"/>
      <c r="BN62" s="222"/>
      <c r="BO62" s="222">
        <v>21920</v>
      </c>
      <c r="BP62" s="222"/>
      <c r="BQ62" s="222"/>
      <c r="BR62" s="222">
        <v>977336</v>
      </c>
      <c r="BS62" s="222"/>
      <c r="BT62" s="222"/>
      <c r="BU62" s="222"/>
      <c r="BV62" s="222">
        <v>554055</v>
      </c>
      <c r="BW62" s="222"/>
      <c r="BX62" s="222"/>
      <c r="BY62" s="222">
        <v>1947570</v>
      </c>
      <c r="BZ62" s="222"/>
      <c r="CA62" s="222"/>
      <c r="CB62" s="222"/>
      <c r="CC62" s="222">
        <v>4977218</v>
      </c>
      <c r="CD62" s="29" t="s">
        <v>233</v>
      </c>
      <c r="CE62" s="32">
        <f t="shared" si="4"/>
        <v>70571033</v>
      </c>
    </row>
    <row r="63" spans="1:83" x14ac:dyDescent="0.25">
      <c r="A63" s="39" t="s">
        <v>9</v>
      </c>
      <c r="B63" s="20"/>
      <c r="C63" s="262">
        <f>ROUND(C48+C49,0)</f>
        <v>225657</v>
      </c>
      <c r="D63" s="262">
        <f t="shared" ref="D63:BO63" si="5">ROUND(D48+D49,0)</f>
        <v>0</v>
      </c>
      <c r="E63" s="262">
        <f t="shared" si="5"/>
        <v>1289503</v>
      </c>
      <c r="F63" s="262">
        <f t="shared" si="5"/>
        <v>0</v>
      </c>
      <c r="G63" s="262">
        <f t="shared" si="5"/>
        <v>0</v>
      </c>
      <c r="H63" s="262">
        <f t="shared" si="5"/>
        <v>0</v>
      </c>
      <c r="I63" s="262">
        <f t="shared" si="5"/>
        <v>0</v>
      </c>
      <c r="J63" s="262">
        <f t="shared" si="5"/>
        <v>57851</v>
      </c>
      <c r="K63" s="262">
        <f t="shared" si="5"/>
        <v>0</v>
      </c>
      <c r="L63" s="262">
        <f t="shared" si="5"/>
        <v>45352</v>
      </c>
      <c r="M63" s="262">
        <f t="shared" si="5"/>
        <v>286995</v>
      </c>
      <c r="N63" s="262">
        <f t="shared" si="5"/>
        <v>0</v>
      </c>
      <c r="O63" s="262">
        <f t="shared" si="5"/>
        <v>31068</v>
      </c>
      <c r="P63" s="262">
        <f t="shared" si="5"/>
        <v>345056</v>
      </c>
      <c r="Q63" s="262">
        <f t="shared" si="5"/>
        <v>151006</v>
      </c>
      <c r="R63" s="262">
        <f t="shared" si="5"/>
        <v>282284</v>
      </c>
      <c r="S63" s="262">
        <f t="shared" si="5"/>
        <v>32129</v>
      </c>
      <c r="T63" s="262">
        <f t="shared" si="5"/>
        <v>0</v>
      </c>
      <c r="U63" s="262">
        <f t="shared" si="5"/>
        <v>410724</v>
      </c>
      <c r="V63" s="262">
        <f t="shared" si="5"/>
        <v>0</v>
      </c>
      <c r="W63" s="262">
        <f t="shared" si="5"/>
        <v>32197</v>
      </c>
      <c r="X63" s="262">
        <f t="shared" si="5"/>
        <v>89702</v>
      </c>
      <c r="Y63" s="262">
        <f t="shared" si="5"/>
        <v>359092</v>
      </c>
      <c r="Z63" s="262">
        <f t="shared" si="5"/>
        <v>0</v>
      </c>
      <c r="AA63" s="262">
        <f t="shared" si="5"/>
        <v>7524</v>
      </c>
      <c r="AB63" s="262">
        <f t="shared" si="5"/>
        <v>286300</v>
      </c>
      <c r="AC63" s="262">
        <f t="shared" si="5"/>
        <v>280382</v>
      </c>
      <c r="AD63" s="262">
        <f t="shared" si="5"/>
        <v>0</v>
      </c>
      <c r="AE63" s="262">
        <f t="shared" si="5"/>
        <v>676964</v>
      </c>
      <c r="AF63" s="262">
        <f t="shared" si="5"/>
        <v>0</v>
      </c>
      <c r="AG63" s="262">
        <f t="shared" si="5"/>
        <v>1056898</v>
      </c>
      <c r="AH63" s="262">
        <f t="shared" si="5"/>
        <v>0</v>
      </c>
      <c r="AI63" s="262">
        <f t="shared" si="5"/>
        <v>0</v>
      </c>
      <c r="AJ63" s="262">
        <f t="shared" si="5"/>
        <v>5457781</v>
      </c>
      <c r="AK63" s="262">
        <f t="shared" si="5"/>
        <v>0</v>
      </c>
      <c r="AL63" s="262">
        <f t="shared" si="5"/>
        <v>0</v>
      </c>
      <c r="AM63" s="262">
        <f t="shared" si="5"/>
        <v>0</v>
      </c>
      <c r="AN63" s="262">
        <f t="shared" si="5"/>
        <v>0</v>
      </c>
      <c r="AO63" s="262">
        <f t="shared" si="5"/>
        <v>121415</v>
      </c>
      <c r="AP63" s="262">
        <f t="shared" si="5"/>
        <v>61177</v>
      </c>
      <c r="AQ63" s="262">
        <f t="shared" si="5"/>
        <v>0</v>
      </c>
      <c r="AR63" s="262">
        <f t="shared" si="5"/>
        <v>458603</v>
      </c>
      <c r="AS63" s="262">
        <f t="shared" si="5"/>
        <v>0</v>
      </c>
      <c r="AT63" s="262">
        <f t="shared" si="5"/>
        <v>0</v>
      </c>
      <c r="AU63" s="262">
        <f t="shared" si="5"/>
        <v>0</v>
      </c>
      <c r="AV63" s="262">
        <f t="shared" si="5"/>
        <v>476772</v>
      </c>
      <c r="AW63" s="262">
        <f t="shared" si="5"/>
        <v>0</v>
      </c>
      <c r="AX63" s="262">
        <f t="shared" si="5"/>
        <v>0</v>
      </c>
      <c r="AY63" s="262">
        <f t="shared" si="5"/>
        <v>182639</v>
      </c>
      <c r="AZ63" s="262">
        <f t="shared" si="5"/>
        <v>0</v>
      </c>
      <c r="BA63" s="262">
        <f t="shared" si="5"/>
        <v>0</v>
      </c>
      <c r="BB63" s="262">
        <f t="shared" si="5"/>
        <v>0</v>
      </c>
      <c r="BC63" s="262">
        <f t="shared" si="5"/>
        <v>0</v>
      </c>
      <c r="BD63" s="262">
        <f t="shared" si="5"/>
        <v>78590</v>
      </c>
      <c r="BE63" s="262">
        <f t="shared" si="5"/>
        <v>246333</v>
      </c>
      <c r="BF63" s="262">
        <f t="shared" si="5"/>
        <v>235106</v>
      </c>
      <c r="BG63" s="262">
        <f t="shared" si="5"/>
        <v>0</v>
      </c>
      <c r="BH63" s="262">
        <f t="shared" si="5"/>
        <v>309374</v>
      </c>
      <c r="BI63" s="262">
        <f t="shared" si="5"/>
        <v>0</v>
      </c>
      <c r="BJ63" s="262">
        <f t="shared" si="5"/>
        <v>0</v>
      </c>
      <c r="BK63" s="262">
        <f t="shared" si="5"/>
        <v>267196</v>
      </c>
      <c r="BL63" s="262">
        <f t="shared" si="5"/>
        <v>163403</v>
      </c>
      <c r="BM63" s="262">
        <f t="shared" si="5"/>
        <v>0</v>
      </c>
      <c r="BN63" s="262">
        <f t="shared" si="5"/>
        <v>0</v>
      </c>
      <c r="BO63" s="262">
        <f t="shared" si="5"/>
        <v>4944</v>
      </c>
      <c r="BP63" s="262">
        <f t="shared" ref="BP63:CC63" si="6">ROUND(BP48+BP49,0)</f>
        <v>0</v>
      </c>
      <c r="BQ63" s="262">
        <f t="shared" si="6"/>
        <v>0</v>
      </c>
      <c r="BR63" s="262">
        <f t="shared" si="6"/>
        <v>220438</v>
      </c>
      <c r="BS63" s="262">
        <f t="shared" si="6"/>
        <v>0</v>
      </c>
      <c r="BT63" s="262">
        <f t="shared" si="6"/>
        <v>0</v>
      </c>
      <c r="BU63" s="262">
        <f t="shared" si="6"/>
        <v>0</v>
      </c>
      <c r="BV63" s="262">
        <f t="shared" si="6"/>
        <v>124967</v>
      </c>
      <c r="BW63" s="262">
        <f t="shared" si="6"/>
        <v>0</v>
      </c>
      <c r="BX63" s="262">
        <f t="shared" si="6"/>
        <v>0</v>
      </c>
      <c r="BY63" s="262">
        <f t="shared" si="6"/>
        <v>439275</v>
      </c>
      <c r="BZ63" s="262">
        <f t="shared" si="6"/>
        <v>0</v>
      </c>
      <c r="CA63" s="262">
        <f t="shared" si="6"/>
        <v>0</v>
      </c>
      <c r="CB63" s="262">
        <f t="shared" si="6"/>
        <v>0</v>
      </c>
      <c r="CC63" s="262">
        <f t="shared" si="6"/>
        <v>1122612</v>
      </c>
      <c r="CD63" s="29" t="s">
        <v>233</v>
      </c>
      <c r="CE63" s="32">
        <f t="shared" si="4"/>
        <v>15917309</v>
      </c>
    </row>
    <row r="64" spans="1:83" x14ac:dyDescent="0.25">
      <c r="A64" s="39" t="s">
        <v>249</v>
      </c>
      <c r="B64" s="20"/>
      <c r="C64" s="207">
        <v>51431</v>
      </c>
      <c r="D64" s="207"/>
      <c r="E64" s="207">
        <v>6258.9553963485096</v>
      </c>
      <c r="F64" s="207"/>
      <c r="G64" s="207"/>
      <c r="H64" s="207"/>
      <c r="I64" s="207"/>
      <c r="J64" s="207">
        <v>280.79500808874508</v>
      </c>
      <c r="K64" s="207"/>
      <c r="L64" s="207">
        <v>220.12941992142362</v>
      </c>
      <c r="M64" s="207"/>
      <c r="N64" s="207"/>
      <c r="O64" s="207">
        <v>150.79731915877051</v>
      </c>
      <c r="P64" s="208">
        <v>1340</v>
      </c>
      <c r="Q64" s="208"/>
      <c r="R64" s="208"/>
      <c r="S64" s="222">
        <v>19912</v>
      </c>
      <c r="T64" s="222"/>
      <c r="U64" s="221">
        <v>372280</v>
      </c>
      <c r="V64" s="208"/>
      <c r="W64" s="208">
        <v>2540</v>
      </c>
      <c r="X64" s="208">
        <v>7077</v>
      </c>
      <c r="Y64" s="208">
        <v>28332</v>
      </c>
      <c r="Z64" s="208"/>
      <c r="AA64" s="208">
        <v>594</v>
      </c>
      <c r="AB64" s="233">
        <v>750975</v>
      </c>
      <c r="AC64" s="208">
        <v>151159</v>
      </c>
      <c r="AD64" s="208"/>
      <c r="AE64" s="208">
        <v>9250</v>
      </c>
      <c r="AF64" s="208"/>
      <c r="AG64" s="208">
        <v>194554</v>
      </c>
      <c r="AH64" s="208"/>
      <c r="AI64" s="208"/>
      <c r="AJ64" s="208">
        <v>460885</v>
      </c>
      <c r="AK64" s="208"/>
      <c r="AL64" s="208"/>
      <c r="AM64" s="208"/>
      <c r="AN64" s="208"/>
      <c r="AO64" s="208">
        <v>589.3228564825514</v>
      </c>
      <c r="AP64" s="208">
        <v>507700</v>
      </c>
      <c r="AQ64" s="208"/>
      <c r="AR64" s="208"/>
      <c r="AS64" s="208"/>
      <c r="AT64" s="208"/>
      <c r="AU64" s="208"/>
      <c r="AV64" s="222"/>
      <c r="AW64" s="222"/>
      <c r="AX64" s="222"/>
      <c r="AY64" s="208"/>
      <c r="AZ64" s="208"/>
      <c r="BA64" s="222"/>
      <c r="BB64" s="222"/>
      <c r="BC64" s="222"/>
      <c r="BD64" s="222"/>
      <c r="BE64" s="208">
        <v>1216</v>
      </c>
      <c r="BF64" s="222"/>
      <c r="BG64" s="222"/>
      <c r="BH64" s="222"/>
      <c r="BI64" s="222"/>
      <c r="BJ64" s="222"/>
      <c r="BK64" s="222">
        <v>35361</v>
      </c>
      <c r="BL64" s="222"/>
      <c r="BM64" s="222"/>
      <c r="BN64" s="222"/>
      <c r="BO64" s="222"/>
      <c r="BP64" s="222"/>
      <c r="BQ64" s="222"/>
      <c r="BR64" s="222">
        <v>203090</v>
      </c>
      <c r="BS64" s="222"/>
      <c r="BT64" s="222"/>
      <c r="BU64" s="222"/>
      <c r="BV64" s="222"/>
      <c r="BW64" s="222"/>
      <c r="BX64" s="222"/>
      <c r="BY64" s="222"/>
      <c r="BZ64" s="222"/>
      <c r="CA64" s="222"/>
      <c r="CB64" s="222"/>
      <c r="CC64" s="222">
        <v>264390</v>
      </c>
      <c r="CD64" s="29" t="s">
        <v>233</v>
      </c>
      <c r="CE64" s="32">
        <f t="shared" si="4"/>
        <v>3069586</v>
      </c>
    </row>
    <row r="65" spans="1:83" x14ac:dyDescent="0.25">
      <c r="A65" s="39" t="s">
        <v>250</v>
      </c>
      <c r="B65" s="20"/>
      <c r="C65" s="207">
        <v>82884</v>
      </c>
      <c r="D65" s="207"/>
      <c r="E65" s="207">
        <v>339387.26646637393</v>
      </c>
      <c r="F65" s="207"/>
      <c r="G65" s="207"/>
      <c r="H65" s="207"/>
      <c r="I65" s="207"/>
      <c r="J65" s="207">
        <v>15225.903397272936</v>
      </c>
      <c r="K65" s="207"/>
      <c r="L65" s="207">
        <v>11936.356366997919</v>
      </c>
      <c r="M65" s="207">
        <v>-4915</v>
      </c>
      <c r="N65" s="207"/>
      <c r="O65" s="207">
        <v>8176.8740466836143</v>
      </c>
      <c r="P65" s="208">
        <v>629534</v>
      </c>
      <c r="Q65" s="208">
        <v>31788</v>
      </c>
      <c r="R65" s="208">
        <v>78961</v>
      </c>
      <c r="S65" s="222">
        <v>3363073</v>
      </c>
      <c r="T65" s="222"/>
      <c r="U65" s="221">
        <v>1960189</v>
      </c>
      <c r="V65" s="208"/>
      <c r="W65" s="208">
        <v>27929</v>
      </c>
      <c r="X65" s="208">
        <v>77811</v>
      </c>
      <c r="Y65" s="208">
        <v>311490</v>
      </c>
      <c r="Z65" s="208"/>
      <c r="AA65" s="208">
        <v>6526</v>
      </c>
      <c r="AB65" s="233">
        <v>17540294</v>
      </c>
      <c r="AC65" s="208">
        <v>89411</v>
      </c>
      <c r="AD65" s="208"/>
      <c r="AE65" s="208">
        <v>82985</v>
      </c>
      <c r="AF65" s="208"/>
      <c r="AG65" s="208">
        <v>260617</v>
      </c>
      <c r="AH65" s="208"/>
      <c r="AI65" s="208"/>
      <c r="AJ65" s="208">
        <v>1676171</v>
      </c>
      <c r="AK65" s="208"/>
      <c r="AL65" s="208"/>
      <c r="AM65" s="208"/>
      <c r="AN65" s="208"/>
      <c r="AO65" s="208">
        <v>31955.599722671595</v>
      </c>
      <c r="AP65" s="208">
        <v>982</v>
      </c>
      <c r="AQ65" s="208"/>
      <c r="AR65" s="208">
        <v>118870</v>
      </c>
      <c r="AS65" s="208"/>
      <c r="AT65" s="208"/>
      <c r="AU65" s="208"/>
      <c r="AV65" s="222">
        <v>296728</v>
      </c>
      <c r="AW65" s="222"/>
      <c r="AX65" s="222"/>
      <c r="AY65" s="208">
        <v>387710</v>
      </c>
      <c r="AZ65" s="208"/>
      <c r="BA65" s="222">
        <v>44620</v>
      </c>
      <c r="BB65" s="222"/>
      <c r="BC65" s="222"/>
      <c r="BD65" s="222"/>
      <c r="BE65" s="208">
        <v>88989</v>
      </c>
      <c r="BF65" s="222">
        <v>195691</v>
      </c>
      <c r="BG65" s="222">
        <v>12569</v>
      </c>
      <c r="BH65" s="222">
        <v>254656</v>
      </c>
      <c r="BI65" s="222"/>
      <c r="BJ65" s="222"/>
      <c r="BK65" s="222">
        <v>31090</v>
      </c>
      <c r="BL65" s="222">
        <v>16667</v>
      </c>
      <c r="BM65" s="222"/>
      <c r="BN65" s="222"/>
      <c r="BO65" s="222">
        <v>29874</v>
      </c>
      <c r="BP65" s="222"/>
      <c r="BQ65" s="222"/>
      <c r="BR65" s="222">
        <v>20203</v>
      </c>
      <c r="BS65" s="222"/>
      <c r="BT65" s="222"/>
      <c r="BU65" s="222"/>
      <c r="BV65" s="222">
        <v>7975</v>
      </c>
      <c r="BW65" s="222"/>
      <c r="BX65" s="222"/>
      <c r="BY65" s="222">
        <v>237686</v>
      </c>
      <c r="BZ65" s="222"/>
      <c r="CA65" s="222"/>
      <c r="CB65" s="222"/>
      <c r="CC65" s="222">
        <v>73898</v>
      </c>
      <c r="CD65" s="29" t="s">
        <v>233</v>
      </c>
      <c r="CE65" s="32">
        <f t="shared" si="4"/>
        <v>28439638</v>
      </c>
    </row>
    <row r="66" spans="1:83" x14ac:dyDescent="0.25">
      <c r="A66" s="39" t="s">
        <v>251</v>
      </c>
      <c r="B66" s="20"/>
      <c r="C66" s="207"/>
      <c r="D66" s="207"/>
      <c r="E66" s="207">
        <v>0</v>
      </c>
      <c r="F66" s="207"/>
      <c r="G66" s="207"/>
      <c r="H66" s="207"/>
      <c r="I66" s="207"/>
      <c r="J66" s="207">
        <v>0</v>
      </c>
      <c r="K66" s="207"/>
      <c r="L66" s="207">
        <v>0</v>
      </c>
      <c r="M66" s="207">
        <v>2491</v>
      </c>
      <c r="N66" s="207"/>
      <c r="O66" s="207">
        <v>0</v>
      </c>
      <c r="P66" s="208">
        <v>5966</v>
      </c>
      <c r="Q66" s="208"/>
      <c r="R66" s="208"/>
      <c r="S66" s="222">
        <v>2965</v>
      </c>
      <c r="T66" s="222"/>
      <c r="U66" s="221">
        <v>364</v>
      </c>
      <c r="V66" s="208"/>
      <c r="W66" s="208"/>
      <c r="X66" s="208"/>
      <c r="Y66" s="208"/>
      <c r="Z66" s="208"/>
      <c r="AA66" s="208"/>
      <c r="AB66" s="233">
        <v>12274</v>
      </c>
      <c r="AC66" s="208"/>
      <c r="AD66" s="208"/>
      <c r="AE66" s="208"/>
      <c r="AF66" s="208"/>
      <c r="AG66" s="208"/>
      <c r="AH66" s="208"/>
      <c r="AI66" s="208"/>
      <c r="AJ66" s="208">
        <v>129237</v>
      </c>
      <c r="AK66" s="208"/>
      <c r="AL66" s="208"/>
      <c r="AM66" s="208"/>
      <c r="AN66" s="208"/>
      <c r="AO66" s="208">
        <v>0</v>
      </c>
      <c r="AP66" s="208">
        <v>8670</v>
      </c>
      <c r="AQ66" s="208"/>
      <c r="AR66" s="208">
        <v>2421</v>
      </c>
      <c r="AS66" s="208"/>
      <c r="AT66" s="208"/>
      <c r="AU66" s="208"/>
      <c r="AV66" s="222"/>
      <c r="AW66" s="222"/>
      <c r="AX66" s="222"/>
      <c r="AY66" s="208">
        <v>1676</v>
      </c>
      <c r="AZ66" s="208"/>
      <c r="BA66" s="222"/>
      <c r="BB66" s="222"/>
      <c r="BC66" s="222"/>
      <c r="BD66" s="222"/>
      <c r="BE66" s="208">
        <v>803985</v>
      </c>
      <c r="BF66" s="222">
        <v>56</v>
      </c>
      <c r="BG66" s="222">
        <v>196890</v>
      </c>
      <c r="BH66" s="222"/>
      <c r="BI66" s="222"/>
      <c r="BJ66" s="222"/>
      <c r="BK66" s="222">
        <v>3684</v>
      </c>
      <c r="BL66" s="222"/>
      <c r="BM66" s="222"/>
      <c r="BN66" s="222"/>
      <c r="BO66" s="222"/>
      <c r="BP66" s="222"/>
      <c r="BQ66" s="222"/>
      <c r="BR66" s="222">
        <v>3697</v>
      </c>
      <c r="BS66" s="222"/>
      <c r="BT66" s="222"/>
      <c r="BU66" s="222"/>
      <c r="BV66" s="222">
        <v>6459</v>
      </c>
      <c r="BW66" s="222"/>
      <c r="BX66" s="222"/>
      <c r="BY66" s="222">
        <v>1671</v>
      </c>
      <c r="BZ66" s="222"/>
      <c r="CA66" s="222"/>
      <c r="CB66" s="222"/>
      <c r="CC66" s="222">
        <v>9849</v>
      </c>
      <c r="CD66" s="29" t="s">
        <v>233</v>
      </c>
      <c r="CE66" s="32">
        <f t="shared" si="4"/>
        <v>1192355</v>
      </c>
    </row>
    <row r="67" spans="1:83" x14ac:dyDescent="0.25">
      <c r="A67" s="39" t="s">
        <v>252</v>
      </c>
      <c r="B67" s="20"/>
      <c r="C67" s="207"/>
      <c r="D67" s="207"/>
      <c r="E67" s="207">
        <v>8629.0131730991452</v>
      </c>
      <c r="F67" s="207"/>
      <c r="G67" s="207"/>
      <c r="H67" s="207"/>
      <c r="I67" s="207"/>
      <c r="J67" s="207">
        <v>387.12271781834988</v>
      </c>
      <c r="K67" s="207"/>
      <c r="L67" s="207">
        <v>303.48509359833599</v>
      </c>
      <c r="M67" s="207">
        <v>264731</v>
      </c>
      <c r="N67" s="207"/>
      <c r="O67" s="207">
        <v>207.89923734689162</v>
      </c>
      <c r="P67" s="208">
        <v>107437</v>
      </c>
      <c r="Q67" s="208"/>
      <c r="R67" s="208">
        <v>4356</v>
      </c>
      <c r="S67" s="222">
        <v>5969</v>
      </c>
      <c r="T67" s="222"/>
      <c r="U67" s="221">
        <v>2569293</v>
      </c>
      <c r="V67" s="208"/>
      <c r="W67" s="208">
        <v>17975</v>
      </c>
      <c r="X67" s="208">
        <v>50079</v>
      </c>
      <c r="Y67" s="208">
        <v>200473</v>
      </c>
      <c r="Z67" s="208"/>
      <c r="AA67" s="208">
        <v>4200</v>
      </c>
      <c r="AB67" s="233">
        <v>225053</v>
      </c>
      <c r="AC67" s="208">
        <v>12474</v>
      </c>
      <c r="AD67" s="208"/>
      <c r="AE67" s="208">
        <v>1589</v>
      </c>
      <c r="AF67" s="208"/>
      <c r="AG67" s="208">
        <v>91270</v>
      </c>
      <c r="AH67" s="208"/>
      <c r="AI67" s="208"/>
      <c r="AJ67" s="208">
        <v>420403</v>
      </c>
      <c r="AK67" s="208"/>
      <c r="AL67" s="208"/>
      <c r="AM67" s="208"/>
      <c r="AN67" s="208"/>
      <c r="AO67" s="208">
        <v>812.47977813727755</v>
      </c>
      <c r="AP67" s="208">
        <v>451788</v>
      </c>
      <c r="AQ67" s="208"/>
      <c r="AR67" s="208">
        <v>38906</v>
      </c>
      <c r="AS67" s="208"/>
      <c r="AT67" s="208"/>
      <c r="AU67" s="208"/>
      <c r="AV67" s="222">
        <v>99555</v>
      </c>
      <c r="AW67" s="222"/>
      <c r="AX67" s="222"/>
      <c r="AY67" s="208">
        <v>23571</v>
      </c>
      <c r="AZ67" s="208"/>
      <c r="BA67" s="222">
        <v>341475</v>
      </c>
      <c r="BB67" s="222"/>
      <c r="BC67" s="222"/>
      <c r="BD67" s="222"/>
      <c r="BE67" s="208">
        <v>379694</v>
      </c>
      <c r="BF67" s="222">
        <v>19883</v>
      </c>
      <c r="BG67" s="222">
        <v>51524</v>
      </c>
      <c r="BH67" s="222">
        <v>1865132</v>
      </c>
      <c r="BI67" s="222"/>
      <c r="BJ67" s="222"/>
      <c r="BK67" s="222">
        <v>493938</v>
      </c>
      <c r="BL67" s="222">
        <v>2249</v>
      </c>
      <c r="BM67" s="222"/>
      <c r="BN67" s="222"/>
      <c r="BO67" s="222">
        <v>3777</v>
      </c>
      <c r="BP67" s="222"/>
      <c r="BQ67" s="222"/>
      <c r="BR67" s="222">
        <v>49894</v>
      </c>
      <c r="BS67" s="222"/>
      <c r="BT67" s="222"/>
      <c r="BU67" s="222"/>
      <c r="BV67" s="222">
        <v>114549</v>
      </c>
      <c r="BW67" s="222"/>
      <c r="BX67" s="222"/>
      <c r="BY67" s="222">
        <v>223370</v>
      </c>
      <c r="BZ67" s="222"/>
      <c r="CA67" s="222"/>
      <c r="CB67" s="222"/>
      <c r="CC67" s="222">
        <v>476492</v>
      </c>
      <c r="CD67" s="29" t="s">
        <v>233</v>
      </c>
      <c r="CE67" s="32">
        <f t="shared" si="4"/>
        <v>8621439</v>
      </c>
    </row>
    <row r="68" spans="1:83" x14ac:dyDescent="0.25">
      <c r="A68" s="39" t="s">
        <v>11</v>
      </c>
      <c r="B68" s="20"/>
      <c r="C68" s="32">
        <f t="shared" ref="C68:BN68" si="7">ROUND(C52+C53,0)</f>
        <v>81240</v>
      </c>
      <c r="D68" s="32">
        <f t="shared" si="7"/>
        <v>0</v>
      </c>
      <c r="E68" s="32">
        <f t="shared" si="7"/>
        <v>293244</v>
      </c>
      <c r="F68" s="32">
        <f t="shared" si="7"/>
        <v>0</v>
      </c>
      <c r="G68" s="32">
        <f t="shared" si="7"/>
        <v>0</v>
      </c>
      <c r="H68" s="32">
        <f t="shared" si="7"/>
        <v>0</v>
      </c>
      <c r="I68" s="32">
        <f t="shared" si="7"/>
        <v>0</v>
      </c>
      <c r="J68" s="32">
        <f t="shared" si="7"/>
        <v>13161</v>
      </c>
      <c r="K68" s="32">
        <f t="shared" si="7"/>
        <v>0</v>
      </c>
      <c r="L68" s="32">
        <f t="shared" si="7"/>
        <v>10323</v>
      </c>
      <c r="M68" s="32">
        <f t="shared" si="7"/>
        <v>0</v>
      </c>
      <c r="N68" s="32">
        <f t="shared" si="7"/>
        <v>0</v>
      </c>
      <c r="O68" s="32">
        <f t="shared" si="7"/>
        <v>7079</v>
      </c>
      <c r="P68" s="32">
        <f t="shared" si="7"/>
        <v>372738</v>
      </c>
      <c r="Q68" s="32">
        <f t="shared" si="7"/>
        <v>18369</v>
      </c>
      <c r="R68" s="32">
        <f t="shared" si="7"/>
        <v>4241</v>
      </c>
      <c r="S68" s="32">
        <f t="shared" si="7"/>
        <v>99203</v>
      </c>
      <c r="T68" s="32">
        <f t="shared" si="7"/>
        <v>0</v>
      </c>
      <c r="U68" s="32">
        <f t="shared" si="7"/>
        <v>122281</v>
      </c>
      <c r="V68" s="32">
        <f t="shared" si="7"/>
        <v>0</v>
      </c>
      <c r="W68" s="32">
        <f t="shared" si="7"/>
        <v>13566</v>
      </c>
      <c r="X68" s="32">
        <f t="shared" si="7"/>
        <v>37829</v>
      </c>
      <c r="Y68" s="32">
        <f t="shared" si="7"/>
        <v>151409</v>
      </c>
      <c r="Z68" s="32">
        <f t="shared" si="7"/>
        <v>0</v>
      </c>
      <c r="AA68" s="32">
        <f t="shared" si="7"/>
        <v>3181</v>
      </c>
      <c r="AB68" s="32">
        <f t="shared" si="7"/>
        <v>46998</v>
      </c>
      <c r="AC68" s="32">
        <f t="shared" si="7"/>
        <v>119131</v>
      </c>
      <c r="AD68" s="32">
        <f t="shared" si="7"/>
        <v>0</v>
      </c>
      <c r="AE68" s="32">
        <f t="shared" si="7"/>
        <v>202336</v>
      </c>
      <c r="AF68" s="32">
        <f t="shared" si="7"/>
        <v>0</v>
      </c>
      <c r="AG68" s="32">
        <f t="shared" si="7"/>
        <v>198033</v>
      </c>
      <c r="AH68" s="32">
        <f t="shared" si="7"/>
        <v>0</v>
      </c>
      <c r="AI68" s="32">
        <f t="shared" si="7"/>
        <v>0</v>
      </c>
      <c r="AJ68" s="32">
        <f t="shared" si="7"/>
        <v>973135</v>
      </c>
      <c r="AK68" s="32">
        <f t="shared" si="7"/>
        <v>0</v>
      </c>
      <c r="AL68" s="32">
        <f t="shared" si="7"/>
        <v>0</v>
      </c>
      <c r="AM68" s="32">
        <f t="shared" si="7"/>
        <v>0</v>
      </c>
      <c r="AN68" s="32">
        <f t="shared" si="7"/>
        <v>0</v>
      </c>
      <c r="AO68" s="32">
        <f t="shared" si="7"/>
        <v>27600</v>
      </c>
      <c r="AP68" s="32">
        <f t="shared" si="7"/>
        <v>0</v>
      </c>
      <c r="AQ68" s="32">
        <f t="shared" si="7"/>
        <v>0</v>
      </c>
      <c r="AR68" s="32">
        <f t="shared" si="7"/>
        <v>0</v>
      </c>
      <c r="AS68" s="32">
        <f t="shared" si="7"/>
        <v>0</v>
      </c>
      <c r="AT68" s="32">
        <f t="shared" si="7"/>
        <v>0</v>
      </c>
      <c r="AU68" s="32">
        <f t="shared" si="7"/>
        <v>0</v>
      </c>
      <c r="AV68" s="32">
        <f t="shared" si="7"/>
        <v>121190</v>
      </c>
      <c r="AW68" s="32">
        <f t="shared" si="7"/>
        <v>0</v>
      </c>
      <c r="AX68" s="32">
        <f t="shared" si="7"/>
        <v>0</v>
      </c>
      <c r="AY68" s="32">
        <f t="shared" si="7"/>
        <v>121252</v>
      </c>
      <c r="AZ68" s="32">
        <f t="shared" si="7"/>
        <v>0</v>
      </c>
      <c r="BA68" s="32">
        <f t="shared" si="7"/>
        <v>0</v>
      </c>
      <c r="BB68" s="32">
        <f t="shared" si="7"/>
        <v>0</v>
      </c>
      <c r="BC68" s="32">
        <f t="shared" si="7"/>
        <v>0</v>
      </c>
      <c r="BD68" s="32">
        <f t="shared" si="7"/>
        <v>0</v>
      </c>
      <c r="BE68" s="32">
        <f t="shared" si="7"/>
        <v>356209</v>
      </c>
      <c r="BF68" s="32">
        <f t="shared" si="7"/>
        <v>97270</v>
      </c>
      <c r="BG68" s="32">
        <f t="shared" si="7"/>
        <v>0</v>
      </c>
      <c r="BH68" s="32">
        <f t="shared" si="7"/>
        <v>203677</v>
      </c>
      <c r="BI68" s="32">
        <f t="shared" si="7"/>
        <v>0</v>
      </c>
      <c r="BJ68" s="32">
        <f t="shared" si="7"/>
        <v>0</v>
      </c>
      <c r="BK68" s="32">
        <f t="shared" si="7"/>
        <v>51270</v>
      </c>
      <c r="BL68" s="32">
        <f t="shared" si="7"/>
        <v>61780</v>
      </c>
      <c r="BM68" s="32">
        <f t="shared" si="7"/>
        <v>0</v>
      </c>
      <c r="BN68" s="32">
        <f t="shared" si="7"/>
        <v>0</v>
      </c>
      <c r="BO68" s="32">
        <f t="shared" ref="BO68:CC68" si="8">ROUND(BO52+BO53,0)</f>
        <v>7578</v>
      </c>
      <c r="BP68" s="32">
        <f t="shared" si="8"/>
        <v>0</v>
      </c>
      <c r="BQ68" s="32">
        <f t="shared" si="8"/>
        <v>0</v>
      </c>
      <c r="BR68" s="32">
        <f t="shared" si="8"/>
        <v>49867</v>
      </c>
      <c r="BS68" s="32">
        <f t="shared" si="8"/>
        <v>0</v>
      </c>
      <c r="BT68" s="32">
        <f t="shared" si="8"/>
        <v>0</v>
      </c>
      <c r="BU68" s="32">
        <f t="shared" si="8"/>
        <v>0</v>
      </c>
      <c r="BV68" s="32">
        <f t="shared" si="8"/>
        <v>0</v>
      </c>
      <c r="BW68" s="32">
        <f t="shared" si="8"/>
        <v>0</v>
      </c>
      <c r="BX68" s="32">
        <f t="shared" si="8"/>
        <v>0</v>
      </c>
      <c r="BY68" s="32">
        <f t="shared" si="8"/>
        <v>53983</v>
      </c>
      <c r="BZ68" s="32">
        <f t="shared" si="8"/>
        <v>0</v>
      </c>
      <c r="CA68" s="32">
        <f t="shared" si="8"/>
        <v>0</v>
      </c>
      <c r="CB68" s="32">
        <f t="shared" si="8"/>
        <v>0</v>
      </c>
      <c r="CC68" s="32">
        <f t="shared" si="8"/>
        <v>457409</v>
      </c>
      <c r="CD68" s="29" t="s">
        <v>233</v>
      </c>
      <c r="CE68" s="32">
        <f t="shared" si="4"/>
        <v>4376582</v>
      </c>
    </row>
    <row r="69" spans="1:83" x14ac:dyDescent="0.25">
      <c r="A69" s="39" t="s">
        <v>253</v>
      </c>
      <c r="B69" s="32"/>
      <c r="C69" s="207"/>
      <c r="D69" s="207"/>
      <c r="E69" s="207"/>
      <c r="F69" s="207"/>
      <c r="G69" s="207"/>
      <c r="H69" s="207"/>
      <c r="I69" s="207"/>
      <c r="J69" s="207"/>
      <c r="K69" s="207"/>
      <c r="L69" s="207"/>
      <c r="M69" s="207">
        <v>39177</v>
      </c>
      <c r="N69" s="207"/>
      <c r="O69" s="207"/>
      <c r="P69" s="208">
        <v>256344</v>
      </c>
      <c r="Q69" s="208"/>
      <c r="R69" s="208">
        <v>1564</v>
      </c>
      <c r="S69" s="222">
        <v>39848</v>
      </c>
      <c r="T69" s="222"/>
      <c r="U69" s="221">
        <v>172731</v>
      </c>
      <c r="V69" s="208"/>
      <c r="W69" s="208">
        <v>17791</v>
      </c>
      <c r="X69" s="208">
        <v>49565</v>
      </c>
      <c r="Y69" s="208">
        <v>198420</v>
      </c>
      <c r="Z69" s="208"/>
      <c r="AA69" s="208">
        <v>4157</v>
      </c>
      <c r="AB69" s="233">
        <v>266989</v>
      </c>
      <c r="AC69" s="208">
        <v>32728</v>
      </c>
      <c r="AD69" s="208"/>
      <c r="AE69" s="208"/>
      <c r="AF69" s="208"/>
      <c r="AG69" s="208">
        <v>683</v>
      </c>
      <c r="AH69" s="208"/>
      <c r="AI69" s="208"/>
      <c r="AJ69" s="208">
        <v>250063</v>
      </c>
      <c r="AK69" s="208"/>
      <c r="AL69" s="208"/>
      <c r="AM69" s="208"/>
      <c r="AN69" s="208"/>
      <c r="AO69" s="208"/>
      <c r="AP69" s="208">
        <v>100365</v>
      </c>
      <c r="AQ69" s="208"/>
      <c r="AR69" s="208">
        <v>39485</v>
      </c>
      <c r="AS69" s="208"/>
      <c r="AT69" s="208"/>
      <c r="AU69" s="208"/>
      <c r="AV69" s="222"/>
      <c r="AW69" s="222"/>
      <c r="AX69" s="222"/>
      <c r="AY69" s="208">
        <v>11369</v>
      </c>
      <c r="AZ69" s="208"/>
      <c r="BA69" s="222"/>
      <c r="BB69" s="222"/>
      <c r="BC69" s="222"/>
      <c r="BD69" s="222"/>
      <c r="BE69" s="208">
        <v>220</v>
      </c>
      <c r="BF69" s="222"/>
      <c r="BG69" s="222"/>
      <c r="BH69" s="222"/>
      <c r="BI69" s="222"/>
      <c r="BJ69" s="222"/>
      <c r="BK69" s="222">
        <v>25138</v>
      </c>
      <c r="BL69" s="222"/>
      <c r="BM69" s="222"/>
      <c r="BN69" s="222"/>
      <c r="BO69" s="222"/>
      <c r="BP69" s="222"/>
      <c r="BQ69" s="222"/>
      <c r="BR69" s="222"/>
      <c r="BS69" s="222"/>
      <c r="BT69" s="222"/>
      <c r="BU69" s="222"/>
      <c r="BV69" s="222">
        <v>23086</v>
      </c>
      <c r="BW69" s="222"/>
      <c r="BX69" s="222"/>
      <c r="BY69" s="222"/>
      <c r="BZ69" s="222"/>
      <c r="CA69" s="222"/>
      <c r="CB69" s="222"/>
      <c r="CC69" s="222">
        <v>151769</v>
      </c>
      <c r="CD69" s="29" t="s">
        <v>233</v>
      </c>
      <c r="CE69" s="32">
        <f t="shared" si="4"/>
        <v>1681492</v>
      </c>
    </row>
    <row r="70" spans="1:83" x14ac:dyDescent="0.25">
      <c r="A70" s="39" t="s">
        <v>254</v>
      </c>
      <c r="B70" s="20"/>
      <c r="C70" s="32">
        <f t="shared" ref="C70:BN70" si="9">SUM(C71:C84)</f>
        <v>3529</v>
      </c>
      <c r="D70" s="32">
        <f t="shared" si="9"/>
        <v>0</v>
      </c>
      <c r="E70" s="32">
        <f t="shared" si="9"/>
        <v>36794.312456667438</v>
      </c>
      <c r="F70" s="32">
        <f t="shared" si="9"/>
        <v>0</v>
      </c>
      <c r="G70" s="32">
        <f t="shared" si="9"/>
        <v>0</v>
      </c>
      <c r="H70" s="32">
        <f t="shared" si="9"/>
        <v>0</v>
      </c>
      <c r="I70" s="32">
        <f t="shared" si="9"/>
        <v>0</v>
      </c>
      <c r="J70" s="32">
        <f t="shared" si="9"/>
        <v>1650.7002542177026</v>
      </c>
      <c r="K70" s="32">
        <f t="shared" si="9"/>
        <v>0</v>
      </c>
      <c r="L70" s="32">
        <f t="shared" si="9"/>
        <v>1294.0674832447423</v>
      </c>
      <c r="M70" s="32">
        <f t="shared" si="9"/>
        <v>53710</v>
      </c>
      <c r="N70" s="32">
        <f t="shared" si="9"/>
        <v>0</v>
      </c>
      <c r="O70" s="32">
        <f t="shared" si="9"/>
        <v>886.48717356135887</v>
      </c>
      <c r="P70" s="32">
        <f t="shared" si="9"/>
        <v>62448</v>
      </c>
      <c r="Q70" s="32">
        <f t="shared" si="9"/>
        <v>0</v>
      </c>
      <c r="R70" s="32">
        <f t="shared" si="9"/>
        <v>35672</v>
      </c>
      <c r="S70" s="32">
        <f t="shared" si="9"/>
        <v>-105097</v>
      </c>
      <c r="T70" s="32">
        <f t="shared" si="9"/>
        <v>0</v>
      </c>
      <c r="U70" s="32">
        <f t="shared" si="9"/>
        <v>158620</v>
      </c>
      <c r="V70" s="32">
        <f t="shared" si="9"/>
        <v>0</v>
      </c>
      <c r="W70" s="32">
        <f t="shared" si="9"/>
        <v>24306</v>
      </c>
      <c r="X70" s="32">
        <f t="shared" si="9"/>
        <v>67718</v>
      </c>
      <c r="Y70" s="32">
        <f t="shared" si="9"/>
        <v>271087</v>
      </c>
      <c r="Z70" s="32">
        <f t="shared" si="9"/>
        <v>0</v>
      </c>
      <c r="AA70" s="32">
        <f t="shared" si="9"/>
        <v>5680</v>
      </c>
      <c r="AB70" s="32">
        <f t="shared" si="9"/>
        <v>100293</v>
      </c>
      <c r="AC70" s="32">
        <f t="shared" si="9"/>
        <v>20936</v>
      </c>
      <c r="AD70" s="32">
        <f t="shared" si="9"/>
        <v>0</v>
      </c>
      <c r="AE70" s="32">
        <f t="shared" si="9"/>
        <v>25669</v>
      </c>
      <c r="AF70" s="32">
        <f t="shared" si="9"/>
        <v>0</v>
      </c>
      <c r="AG70" s="32">
        <f t="shared" si="9"/>
        <v>34935</v>
      </c>
      <c r="AH70" s="32">
        <f t="shared" si="9"/>
        <v>0</v>
      </c>
      <c r="AI70" s="32">
        <f t="shared" si="9"/>
        <v>0</v>
      </c>
      <c r="AJ70" s="32">
        <f t="shared" si="9"/>
        <v>212071</v>
      </c>
      <c r="AK70" s="32">
        <f t="shared" si="9"/>
        <v>0</v>
      </c>
      <c r="AL70" s="32">
        <f t="shared" si="9"/>
        <v>0</v>
      </c>
      <c r="AM70" s="32">
        <f t="shared" si="9"/>
        <v>0</v>
      </c>
      <c r="AN70" s="32">
        <f t="shared" si="9"/>
        <v>0</v>
      </c>
      <c r="AO70" s="32">
        <f t="shared" si="9"/>
        <v>3464.4326323087589</v>
      </c>
      <c r="AP70" s="32">
        <f t="shared" si="9"/>
        <v>3796</v>
      </c>
      <c r="AQ70" s="32">
        <f t="shared" si="9"/>
        <v>0</v>
      </c>
      <c r="AR70" s="32">
        <f t="shared" si="9"/>
        <v>92692</v>
      </c>
      <c r="AS70" s="32">
        <f t="shared" si="9"/>
        <v>0</v>
      </c>
      <c r="AT70" s="32">
        <f t="shared" si="9"/>
        <v>0</v>
      </c>
      <c r="AU70" s="32">
        <f t="shared" si="9"/>
        <v>0</v>
      </c>
      <c r="AV70" s="32">
        <f t="shared" si="9"/>
        <v>2713</v>
      </c>
      <c r="AW70" s="32">
        <f t="shared" si="9"/>
        <v>0</v>
      </c>
      <c r="AX70" s="32">
        <f t="shared" si="9"/>
        <v>0</v>
      </c>
      <c r="AY70" s="32">
        <f t="shared" si="9"/>
        <v>7660</v>
      </c>
      <c r="AZ70" s="32">
        <f t="shared" si="9"/>
        <v>0</v>
      </c>
      <c r="BA70" s="32">
        <f t="shared" si="9"/>
        <v>0</v>
      </c>
      <c r="BB70" s="32">
        <f t="shared" si="9"/>
        <v>0</v>
      </c>
      <c r="BC70" s="32">
        <f t="shared" si="9"/>
        <v>0</v>
      </c>
      <c r="BD70" s="32">
        <f t="shared" si="9"/>
        <v>0</v>
      </c>
      <c r="BE70" s="32">
        <f t="shared" si="9"/>
        <v>84341</v>
      </c>
      <c r="BF70" s="32">
        <f t="shared" si="9"/>
        <v>6806</v>
      </c>
      <c r="BG70" s="32">
        <f t="shared" si="9"/>
        <v>-8764</v>
      </c>
      <c r="BH70" s="32">
        <f t="shared" si="9"/>
        <v>38717</v>
      </c>
      <c r="BI70" s="32">
        <f t="shared" si="9"/>
        <v>0</v>
      </c>
      <c r="BJ70" s="32">
        <f t="shared" si="9"/>
        <v>0</v>
      </c>
      <c r="BK70" s="32">
        <f t="shared" si="9"/>
        <v>258756</v>
      </c>
      <c r="BL70" s="32">
        <f t="shared" si="9"/>
        <v>0</v>
      </c>
      <c r="BM70" s="32">
        <f t="shared" si="9"/>
        <v>0</v>
      </c>
      <c r="BN70" s="32">
        <f t="shared" si="9"/>
        <v>0</v>
      </c>
      <c r="BO70" s="32">
        <f t="shared" ref="BO70:CD70" si="10">SUM(BO71:BO84)</f>
        <v>3057</v>
      </c>
      <c r="BP70" s="32">
        <f t="shared" si="10"/>
        <v>0</v>
      </c>
      <c r="BQ70" s="32">
        <f t="shared" si="10"/>
        <v>0</v>
      </c>
      <c r="BR70" s="32">
        <f t="shared" si="10"/>
        <v>78255</v>
      </c>
      <c r="BS70" s="32">
        <f t="shared" si="10"/>
        <v>0</v>
      </c>
      <c r="BT70" s="32">
        <f t="shared" si="10"/>
        <v>0</v>
      </c>
      <c r="BU70" s="32">
        <f t="shared" si="10"/>
        <v>0</v>
      </c>
      <c r="BV70" s="32">
        <f t="shared" si="10"/>
        <v>31</v>
      </c>
      <c r="BW70" s="32">
        <f t="shared" si="10"/>
        <v>0</v>
      </c>
      <c r="BX70" s="32">
        <f t="shared" si="10"/>
        <v>0</v>
      </c>
      <c r="BY70" s="32">
        <f t="shared" si="10"/>
        <v>68752</v>
      </c>
      <c r="BZ70" s="32">
        <f t="shared" si="10"/>
        <v>0</v>
      </c>
      <c r="CA70" s="32">
        <f t="shared" si="10"/>
        <v>0</v>
      </c>
      <c r="CB70" s="32">
        <f t="shared" si="10"/>
        <v>0</v>
      </c>
      <c r="CC70" s="32">
        <f t="shared" si="10"/>
        <v>717041</v>
      </c>
      <c r="CD70" s="32">
        <f t="shared" si="10"/>
        <v>3048547</v>
      </c>
      <c r="CE70" s="32">
        <f>SUM(CE71:CE85)</f>
        <v>14644687</v>
      </c>
    </row>
    <row r="71" spans="1:83" x14ac:dyDescent="0.25">
      <c r="A71" s="33" t="s">
        <v>255</v>
      </c>
      <c r="B71" s="34"/>
      <c r="C71" s="267" t="s">
        <v>282</v>
      </c>
      <c r="D71" s="267" t="s">
        <v>282</v>
      </c>
      <c r="E71" s="267" t="s">
        <v>282</v>
      </c>
      <c r="F71" s="267" t="s">
        <v>282</v>
      </c>
      <c r="G71" s="267" t="s">
        <v>282</v>
      </c>
      <c r="H71" s="267" t="s">
        <v>282</v>
      </c>
      <c r="I71" s="267" t="s">
        <v>282</v>
      </c>
      <c r="J71" s="267" t="s">
        <v>282</v>
      </c>
      <c r="K71" s="267" t="s">
        <v>282</v>
      </c>
      <c r="L71" s="267" t="s">
        <v>282</v>
      </c>
      <c r="M71" s="267" t="s">
        <v>282</v>
      </c>
      <c r="N71" s="267" t="s">
        <v>282</v>
      </c>
      <c r="O71" s="267" t="s">
        <v>282</v>
      </c>
      <c r="P71" s="267" t="s">
        <v>282</v>
      </c>
      <c r="Q71" s="267" t="s">
        <v>282</v>
      </c>
      <c r="R71" s="267" t="s">
        <v>282</v>
      </c>
      <c r="S71" s="267" t="s">
        <v>282</v>
      </c>
      <c r="T71" s="267" t="s">
        <v>282</v>
      </c>
      <c r="U71" s="267" t="s">
        <v>282</v>
      </c>
      <c r="V71" s="267" t="s">
        <v>282</v>
      </c>
      <c r="W71" s="267" t="s">
        <v>282</v>
      </c>
      <c r="X71" s="267" t="s">
        <v>282</v>
      </c>
      <c r="Y71" s="267" t="s">
        <v>282</v>
      </c>
      <c r="Z71" s="267" t="s">
        <v>282</v>
      </c>
      <c r="AA71" s="267" t="s">
        <v>282</v>
      </c>
      <c r="AB71" s="267" t="s">
        <v>282</v>
      </c>
      <c r="AC71" s="267" t="s">
        <v>282</v>
      </c>
      <c r="AD71" s="267" t="s">
        <v>282</v>
      </c>
      <c r="AE71" s="267" t="s">
        <v>282</v>
      </c>
      <c r="AF71" s="267" t="s">
        <v>282</v>
      </c>
      <c r="AG71" s="267" t="s">
        <v>282</v>
      </c>
      <c r="AH71" s="267" t="s">
        <v>282</v>
      </c>
      <c r="AI71" s="267" t="s">
        <v>282</v>
      </c>
      <c r="AJ71" s="267" t="s">
        <v>282</v>
      </c>
      <c r="AK71" s="267" t="s">
        <v>282</v>
      </c>
      <c r="AL71" s="267" t="s">
        <v>282</v>
      </c>
      <c r="AM71" s="267" t="s">
        <v>282</v>
      </c>
      <c r="AN71" s="267" t="s">
        <v>282</v>
      </c>
      <c r="AO71" s="267" t="s">
        <v>282</v>
      </c>
      <c r="AP71" s="267" t="s">
        <v>282</v>
      </c>
      <c r="AQ71" s="267" t="s">
        <v>282</v>
      </c>
      <c r="AR71" s="267" t="s">
        <v>282</v>
      </c>
      <c r="AS71" s="267" t="s">
        <v>282</v>
      </c>
      <c r="AT71" s="267" t="s">
        <v>282</v>
      </c>
      <c r="AU71" s="267" t="s">
        <v>282</v>
      </c>
      <c r="AV71" s="267" t="s">
        <v>282</v>
      </c>
      <c r="AW71" s="267" t="s">
        <v>282</v>
      </c>
      <c r="AX71" s="267" t="s">
        <v>282</v>
      </c>
      <c r="AY71" s="267" t="s">
        <v>282</v>
      </c>
      <c r="AZ71" s="267" t="s">
        <v>282</v>
      </c>
      <c r="BA71" s="267" t="s">
        <v>282</v>
      </c>
      <c r="BB71" s="267" t="s">
        <v>282</v>
      </c>
      <c r="BC71" s="267" t="s">
        <v>282</v>
      </c>
      <c r="BD71" s="267" t="s">
        <v>282</v>
      </c>
      <c r="BE71" s="267" t="s">
        <v>282</v>
      </c>
      <c r="BF71" s="267" t="s">
        <v>282</v>
      </c>
      <c r="BG71" s="267" t="s">
        <v>282</v>
      </c>
      <c r="BH71" s="267" t="s">
        <v>282</v>
      </c>
      <c r="BI71" s="267" t="s">
        <v>282</v>
      </c>
      <c r="BJ71" s="267" t="s">
        <v>282</v>
      </c>
      <c r="BK71" s="267" t="s">
        <v>282</v>
      </c>
      <c r="BL71" s="267" t="s">
        <v>282</v>
      </c>
      <c r="BM71" s="267" t="s">
        <v>282</v>
      </c>
      <c r="BN71" s="267" t="s">
        <v>282</v>
      </c>
      <c r="BO71" s="267" t="s">
        <v>282</v>
      </c>
      <c r="BP71" s="267" t="s">
        <v>282</v>
      </c>
      <c r="BQ71" s="267" t="s">
        <v>282</v>
      </c>
      <c r="BR71" s="267" t="s">
        <v>282</v>
      </c>
      <c r="BS71" s="267" t="s">
        <v>282</v>
      </c>
      <c r="BT71" s="267" t="s">
        <v>282</v>
      </c>
      <c r="BU71" s="267" t="s">
        <v>282</v>
      </c>
      <c r="BV71" s="267" t="s">
        <v>282</v>
      </c>
      <c r="BW71" s="267" t="s">
        <v>282</v>
      </c>
      <c r="BX71" s="267" t="s">
        <v>282</v>
      </c>
      <c r="BY71" s="267" t="s">
        <v>282</v>
      </c>
      <c r="BZ71" s="267" t="s">
        <v>282</v>
      </c>
      <c r="CA71" s="267" t="s">
        <v>282</v>
      </c>
      <c r="CB71" s="267" t="s">
        <v>282</v>
      </c>
      <c r="CC71" s="267" t="s">
        <v>282</v>
      </c>
      <c r="CD71" s="267" t="s">
        <v>282</v>
      </c>
      <c r="CE71" s="32">
        <f>SUM(C71:CD71)</f>
        <v>0</v>
      </c>
    </row>
    <row r="72" spans="1:83" x14ac:dyDescent="0.25">
      <c r="A72" s="33" t="s">
        <v>256</v>
      </c>
      <c r="B72" s="34"/>
      <c r="C72" s="267" t="s">
        <v>282</v>
      </c>
      <c r="D72" s="267" t="s">
        <v>282</v>
      </c>
      <c r="E72" s="267" t="s">
        <v>282</v>
      </c>
      <c r="F72" s="267" t="s">
        <v>282</v>
      </c>
      <c r="G72" s="267" t="s">
        <v>282</v>
      </c>
      <c r="H72" s="267" t="s">
        <v>282</v>
      </c>
      <c r="I72" s="267" t="s">
        <v>282</v>
      </c>
      <c r="J72" s="267" t="s">
        <v>282</v>
      </c>
      <c r="K72" s="267" t="s">
        <v>282</v>
      </c>
      <c r="L72" s="267" t="s">
        <v>282</v>
      </c>
      <c r="M72" s="267" t="s">
        <v>282</v>
      </c>
      <c r="N72" s="267" t="s">
        <v>282</v>
      </c>
      <c r="O72" s="267" t="s">
        <v>282</v>
      </c>
      <c r="P72" s="267" t="s">
        <v>282</v>
      </c>
      <c r="Q72" s="267" t="s">
        <v>282</v>
      </c>
      <c r="R72" s="267" t="s">
        <v>282</v>
      </c>
      <c r="S72" s="267" t="s">
        <v>282</v>
      </c>
      <c r="T72" s="267" t="s">
        <v>282</v>
      </c>
      <c r="U72" s="267" t="s">
        <v>282</v>
      </c>
      <c r="V72" s="267" t="s">
        <v>282</v>
      </c>
      <c r="W72" s="267" t="s">
        <v>282</v>
      </c>
      <c r="X72" s="267" t="s">
        <v>282</v>
      </c>
      <c r="Y72" s="267" t="s">
        <v>282</v>
      </c>
      <c r="Z72" s="267" t="s">
        <v>282</v>
      </c>
      <c r="AA72" s="267" t="s">
        <v>282</v>
      </c>
      <c r="AB72" s="267" t="s">
        <v>282</v>
      </c>
      <c r="AC72" s="267" t="s">
        <v>282</v>
      </c>
      <c r="AD72" s="267" t="s">
        <v>282</v>
      </c>
      <c r="AE72" s="267" t="s">
        <v>282</v>
      </c>
      <c r="AF72" s="267" t="s">
        <v>282</v>
      </c>
      <c r="AG72" s="267" t="s">
        <v>282</v>
      </c>
      <c r="AH72" s="267" t="s">
        <v>282</v>
      </c>
      <c r="AI72" s="267" t="s">
        <v>282</v>
      </c>
      <c r="AJ72" s="267" t="s">
        <v>282</v>
      </c>
      <c r="AK72" s="267" t="s">
        <v>282</v>
      </c>
      <c r="AL72" s="267" t="s">
        <v>282</v>
      </c>
      <c r="AM72" s="267" t="s">
        <v>282</v>
      </c>
      <c r="AN72" s="267" t="s">
        <v>282</v>
      </c>
      <c r="AO72" s="267" t="s">
        <v>282</v>
      </c>
      <c r="AP72" s="267" t="s">
        <v>282</v>
      </c>
      <c r="AQ72" s="267" t="s">
        <v>282</v>
      </c>
      <c r="AR72" s="267" t="s">
        <v>282</v>
      </c>
      <c r="AS72" s="267" t="s">
        <v>282</v>
      </c>
      <c r="AT72" s="267" t="s">
        <v>282</v>
      </c>
      <c r="AU72" s="267" t="s">
        <v>282</v>
      </c>
      <c r="AV72" s="267" t="s">
        <v>282</v>
      </c>
      <c r="AW72" s="267" t="s">
        <v>282</v>
      </c>
      <c r="AX72" s="267" t="s">
        <v>282</v>
      </c>
      <c r="AY72" s="267" t="s">
        <v>282</v>
      </c>
      <c r="AZ72" s="267" t="s">
        <v>282</v>
      </c>
      <c r="BA72" s="267" t="s">
        <v>282</v>
      </c>
      <c r="BB72" s="267" t="s">
        <v>282</v>
      </c>
      <c r="BC72" s="267" t="s">
        <v>282</v>
      </c>
      <c r="BD72" s="267" t="s">
        <v>282</v>
      </c>
      <c r="BE72" s="267" t="s">
        <v>282</v>
      </c>
      <c r="BF72" s="267" t="s">
        <v>282</v>
      </c>
      <c r="BG72" s="267" t="s">
        <v>282</v>
      </c>
      <c r="BH72" s="267" t="s">
        <v>282</v>
      </c>
      <c r="BI72" s="267" t="s">
        <v>282</v>
      </c>
      <c r="BJ72" s="267" t="s">
        <v>282</v>
      </c>
      <c r="BK72" s="267" t="s">
        <v>282</v>
      </c>
      <c r="BL72" s="267" t="s">
        <v>282</v>
      </c>
      <c r="BM72" s="267" t="s">
        <v>282</v>
      </c>
      <c r="BN72" s="267" t="s">
        <v>282</v>
      </c>
      <c r="BO72" s="267" t="s">
        <v>282</v>
      </c>
      <c r="BP72" s="267" t="s">
        <v>282</v>
      </c>
      <c r="BQ72" s="267" t="s">
        <v>282</v>
      </c>
      <c r="BR72" s="267" t="s">
        <v>282</v>
      </c>
      <c r="BS72" s="267" t="s">
        <v>282</v>
      </c>
      <c r="BT72" s="267" t="s">
        <v>282</v>
      </c>
      <c r="BU72" s="267" t="s">
        <v>282</v>
      </c>
      <c r="BV72" s="267" t="s">
        <v>282</v>
      </c>
      <c r="BW72" s="267" t="s">
        <v>282</v>
      </c>
      <c r="BX72" s="267" t="s">
        <v>282</v>
      </c>
      <c r="BY72" s="267" t="s">
        <v>282</v>
      </c>
      <c r="BZ72" s="267" t="s">
        <v>282</v>
      </c>
      <c r="CA72" s="267" t="s">
        <v>282</v>
      </c>
      <c r="CB72" s="267" t="s">
        <v>282</v>
      </c>
      <c r="CC72" s="267" t="s">
        <v>282</v>
      </c>
      <c r="CD72" s="267" t="s">
        <v>282</v>
      </c>
      <c r="CE72" s="32">
        <f t="shared" ref="CE72:CE86" si="11">SUM(C72:CD72)</f>
        <v>0</v>
      </c>
    </row>
    <row r="73" spans="1:83" x14ac:dyDescent="0.25">
      <c r="A73" s="33" t="s">
        <v>257</v>
      </c>
      <c r="B73" s="34"/>
      <c r="C73" s="267" t="s">
        <v>282</v>
      </c>
      <c r="D73" s="267" t="s">
        <v>282</v>
      </c>
      <c r="E73" s="267" t="s">
        <v>282</v>
      </c>
      <c r="F73" s="267" t="s">
        <v>282</v>
      </c>
      <c r="G73" s="267" t="s">
        <v>282</v>
      </c>
      <c r="H73" s="267" t="s">
        <v>282</v>
      </c>
      <c r="I73" s="267" t="s">
        <v>282</v>
      </c>
      <c r="J73" s="267" t="s">
        <v>282</v>
      </c>
      <c r="K73" s="267" t="s">
        <v>282</v>
      </c>
      <c r="L73" s="267" t="s">
        <v>282</v>
      </c>
      <c r="M73" s="267" t="s">
        <v>282</v>
      </c>
      <c r="N73" s="267" t="s">
        <v>282</v>
      </c>
      <c r="O73" s="267" t="s">
        <v>282</v>
      </c>
      <c r="P73" s="267" t="s">
        <v>282</v>
      </c>
      <c r="Q73" s="267" t="s">
        <v>282</v>
      </c>
      <c r="R73" s="267" t="s">
        <v>282</v>
      </c>
      <c r="S73" s="267" t="s">
        <v>282</v>
      </c>
      <c r="T73" s="267" t="s">
        <v>282</v>
      </c>
      <c r="U73" s="267" t="s">
        <v>282</v>
      </c>
      <c r="V73" s="267" t="s">
        <v>282</v>
      </c>
      <c r="W73" s="267" t="s">
        <v>282</v>
      </c>
      <c r="X73" s="267" t="s">
        <v>282</v>
      </c>
      <c r="Y73" s="267" t="s">
        <v>282</v>
      </c>
      <c r="Z73" s="267" t="s">
        <v>282</v>
      </c>
      <c r="AA73" s="267" t="s">
        <v>282</v>
      </c>
      <c r="AB73" s="267" t="s">
        <v>282</v>
      </c>
      <c r="AC73" s="267" t="s">
        <v>282</v>
      </c>
      <c r="AD73" s="267" t="s">
        <v>282</v>
      </c>
      <c r="AE73" s="267" t="s">
        <v>282</v>
      </c>
      <c r="AF73" s="267" t="s">
        <v>282</v>
      </c>
      <c r="AG73" s="267" t="s">
        <v>282</v>
      </c>
      <c r="AH73" s="267" t="s">
        <v>282</v>
      </c>
      <c r="AI73" s="267" t="s">
        <v>282</v>
      </c>
      <c r="AJ73" s="267" t="s">
        <v>282</v>
      </c>
      <c r="AK73" s="267" t="s">
        <v>282</v>
      </c>
      <c r="AL73" s="267" t="s">
        <v>282</v>
      </c>
      <c r="AM73" s="267" t="s">
        <v>282</v>
      </c>
      <c r="AN73" s="267" t="s">
        <v>282</v>
      </c>
      <c r="AO73" s="267" t="s">
        <v>282</v>
      </c>
      <c r="AP73" s="267" t="s">
        <v>282</v>
      </c>
      <c r="AQ73" s="267" t="s">
        <v>282</v>
      </c>
      <c r="AR73" s="267" t="s">
        <v>282</v>
      </c>
      <c r="AS73" s="267" t="s">
        <v>282</v>
      </c>
      <c r="AT73" s="267" t="s">
        <v>282</v>
      </c>
      <c r="AU73" s="267" t="s">
        <v>282</v>
      </c>
      <c r="AV73" s="267" t="s">
        <v>282</v>
      </c>
      <c r="AW73" s="267" t="s">
        <v>282</v>
      </c>
      <c r="AX73" s="267" t="s">
        <v>282</v>
      </c>
      <c r="AY73" s="267" t="s">
        <v>282</v>
      </c>
      <c r="AZ73" s="267" t="s">
        <v>282</v>
      </c>
      <c r="BA73" s="267" t="s">
        <v>282</v>
      </c>
      <c r="BB73" s="267" t="s">
        <v>282</v>
      </c>
      <c r="BC73" s="267" t="s">
        <v>282</v>
      </c>
      <c r="BD73" s="267" t="s">
        <v>282</v>
      </c>
      <c r="BE73" s="267" t="s">
        <v>282</v>
      </c>
      <c r="BF73" s="267" t="s">
        <v>282</v>
      </c>
      <c r="BG73" s="267" t="s">
        <v>282</v>
      </c>
      <c r="BH73" s="267" t="s">
        <v>282</v>
      </c>
      <c r="BI73" s="267" t="s">
        <v>282</v>
      </c>
      <c r="BJ73" s="267" t="s">
        <v>282</v>
      </c>
      <c r="BK73" s="267" t="s">
        <v>282</v>
      </c>
      <c r="BL73" s="267" t="s">
        <v>282</v>
      </c>
      <c r="BM73" s="267" t="s">
        <v>282</v>
      </c>
      <c r="BN73" s="267" t="s">
        <v>282</v>
      </c>
      <c r="BO73" s="267" t="s">
        <v>282</v>
      </c>
      <c r="BP73" s="267" t="s">
        <v>282</v>
      </c>
      <c r="BQ73" s="267" t="s">
        <v>282</v>
      </c>
      <c r="BR73" s="267" t="s">
        <v>282</v>
      </c>
      <c r="BS73" s="267" t="s">
        <v>282</v>
      </c>
      <c r="BT73" s="267" t="s">
        <v>282</v>
      </c>
      <c r="BU73" s="267" t="s">
        <v>282</v>
      </c>
      <c r="BV73" s="267" t="s">
        <v>282</v>
      </c>
      <c r="BW73" s="267" t="s">
        <v>282</v>
      </c>
      <c r="BX73" s="267" t="s">
        <v>282</v>
      </c>
      <c r="BY73" s="267" t="s">
        <v>282</v>
      </c>
      <c r="BZ73" s="267" t="s">
        <v>282</v>
      </c>
      <c r="CA73" s="267" t="s">
        <v>282</v>
      </c>
      <c r="CB73" s="267" t="s">
        <v>282</v>
      </c>
      <c r="CC73" s="267" t="s">
        <v>282</v>
      </c>
      <c r="CD73" s="267" t="s">
        <v>282</v>
      </c>
      <c r="CE73" s="32">
        <f t="shared" si="11"/>
        <v>0</v>
      </c>
    </row>
    <row r="74" spans="1:83" x14ac:dyDescent="0.25">
      <c r="A74" s="33" t="s">
        <v>258</v>
      </c>
      <c r="B74" s="34"/>
      <c r="C74" s="267" t="s">
        <v>282</v>
      </c>
      <c r="D74" s="267" t="s">
        <v>282</v>
      </c>
      <c r="E74" s="267" t="s">
        <v>282</v>
      </c>
      <c r="F74" s="267" t="s">
        <v>282</v>
      </c>
      <c r="G74" s="267" t="s">
        <v>282</v>
      </c>
      <c r="H74" s="267" t="s">
        <v>282</v>
      </c>
      <c r="I74" s="267" t="s">
        <v>282</v>
      </c>
      <c r="J74" s="267" t="s">
        <v>282</v>
      </c>
      <c r="K74" s="267" t="s">
        <v>282</v>
      </c>
      <c r="L74" s="267" t="s">
        <v>282</v>
      </c>
      <c r="M74" s="267" t="s">
        <v>282</v>
      </c>
      <c r="N74" s="267" t="s">
        <v>282</v>
      </c>
      <c r="O74" s="267" t="s">
        <v>282</v>
      </c>
      <c r="P74" s="267" t="s">
        <v>282</v>
      </c>
      <c r="Q74" s="267" t="s">
        <v>282</v>
      </c>
      <c r="R74" s="267" t="s">
        <v>282</v>
      </c>
      <c r="S74" s="267" t="s">
        <v>282</v>
      </c>
      <c r="T74" s="267" t="s">
        <v>282</v>
      </c>
      <c r="U74" s="267" t="s">
        <v>282</v>
      </c>
      <c r="V74" s="267" t="s">
        <v>282</v>
      </c>
      <c r="W74" s="267" t="s">
        <v>282</v>
      </c>
      <c r="X74" s="267" t="s">
        <v>282</v>
      </c>
      <c r="Y74" s="267" t="s">
        <v>282</v>
      </c>
      <c r="Z74" s="267" t="s">
        <v>282</v>
      </c>
      <c r="AA74" s="267" t="s">
        <v>282</v>
      </c>
      <c r="AB74" s="267" t="s">
        <v>282</v>
      </c>
      <c r="AC74" s="267" t="s">
        <v>282</v>
      </c>
      <c r="AD74" s="267" t="s">
        <v>282</v>
      </c>
      <c r="AE74" s="267" t="s">
        <v>282</v>
      </c>
      <c r="AF74" s="267" t="s">
        <v>282</v>
      </c>
      <c r="AG74" s="267" t="s">
        <v>282</v>
      </c>
      <c r="AH74" s="267" t="s">
        <v>282</v>
      </c>
      <c r="AI74" s="267" t="s">
        <v>282</v>
      </c>
      <c r="AJ74" s="267" t="s">
        <v>282</v>
      </c>
      <c r="AK74" s="267" t="s">
        <v>282</v>
      </c>
      <c r="AL74" s="267" t="s">
        <v>282</v>
      </c>
      <c r="AM74" s="267" t="s">
        <v>282</v>
      </c>
      <c r="AN74" s="267" t="s">
        <v>282</v>
      </c>
      <c r="AO74" s="267" t="s">
        <v>282</v>
      </c>
      <c r="AP74" s="267" t="s">
        <v>282</v>
      </c>
      <c r="AQ74" s="267" t="s">
        <v>282</v>
      </c>
      <c r="AR74" s="267" t="s">
        <v>282</v>
      </c>
      <c r="AS74" s="267" t="s">
        <v>282</v>
      </c>
      <c r="AT74" s="267" t="s">
        <v>282</v>
      </c>
      <c r="AU74" s="267" t="s">
        <v>282</v>
      </c>
      <c r="AV74" s="267" t="s">
        <v>282</v>
      </c>
      <c r="AW74" s="267" t="s">
        <v>282</v>
      </c>
      <c r="AX74" s="267" t="s">
        <v>282</v>
      </c>
      <c r="AY74" s="267" t="s">
        <v>282</v>
      </c>
      <c r="AZ74" s="267" t="s">
        <v>282</v>
      </c>
      <c r="BA74" s="267" t="s">
        <v>282</v>
      </c>
      <c r="BB74" s="267" t="s">
        <v>282</v>
      </c>
      <c r="BC74" s="267" t="s">
        <v>282</v>
      </c>
      <c r="BD74" s="267" t="s">
        <v>282</v>
      </c>
      <c r="BE74" s="267" t="s">
        <v>282</v>
      </c>
      <c r="BF74" s="267" t="s">
        <v>282</v>
      </c>
      <c r="BG74" s="267" t="s">
        <v>282</v>
      </c>
      <c r="BH74" s="267" t="s">
        <v>282</v>
      </c>
      <c r="BI74" s="267" t="s">
        <v>282</v>
      </c>
      <c r="BJ74" s="267" t="s">
        <v>282</v>
      </c>
      <c r="BK74" s="267" t="s">
        <v>282</v>
      </c>
      <c r="BL74" s="267" t="s">
        <v>282</v>
      </c>
      <c r="BM74" s="267" t="s">
        <v>282</v>
      </c>
      <c r="BN74" s="267" t="s">
        <v>282</v>
      </c>
      <c r="BO74" s="267" t="s">
        <v>282</v>
      </c>
      <c r="BP74" s="267" t="s">
        <v>282</v>
      </c>
      <c r="BQ74" s="267" t="s">
        <v>282</v>
      </c>
      <c r="BR74" s="267" t="s">
        <v>282</v>
      </c>
      <c r="BS74" s="267" t="s">
        <v>282</v>
      </c>
      <c r="BT74" s="267" t="s">
        <v>282</v>
      </c>
      <c r="BU74" s="267" t="s">
        <v>282</v>
      </c>
      <c r="BV74" s="267" t="s">
        <v>282</v>
      </c>
      <c r="BW74" s="267" t="s">
        <v>282</v>
      </c>
      <c r="BX74" s="267" t="s">
        <v>282</v>
      </c>
      <c r="BY74" s="267" t="s">
        <v>282</v>
      </c>
      <c r="BZ74" s="267" t="s">
        <v>282</v>
      </c>
      <c r="CA74" s="267" t="s">
        <v>282</v>
      </c>
      <c r="CB74" s="267" t="s">
        <v>282</v>
      </c>
      <c r="CC74" s="267" t="s">
        <v>282</v>
      </c>
      <c r="CD74" s="267" t="s">
        <v>282</v>
      </c>
      <c r="CE74" s="32">
        <f t="shared" si="11"/>
        <v>0</v>
      </c>
    </row>
    <row r="75" spans="1:83" x14ac:dyDescent="0.25">
      <c r="A75" s="33" t="s">
        <v>259</v>
      </c>
      <c r="B75" s="34"/>
      <c r="C75" s="267" t="s">
        <v>282</v>
      </c>
      <c r="D75" s="267" t="s">
        <v>282</v>
      </c>
      <c r="E75" s="267" t="s">
        <v>282</v>
      </c>
      <c r="F75" s="267" t="s">
        <v>282</v>
      </c>
      <c r="G75" s="267" t="s">
        <v>282</v>
      </c>
      <c r="H75" s="267" t="s">
        <v>282</v>
      </c>
      <c r="I75" s="267" t="s">
        <v>282</v>
      </c>
      <c r="J75" s="267" t="s">
        <v>282</v>
      </c>
      <c r="K75" s="267" t="s">
        <v>282</v>
      </c>
      <c r="L75" s="267" t="s">
        <v>282</v>
      </c>
      <c r="M75" s="267" t="s">
        <v>282</v>
      </c>
      <c r="N75" s="267" t="s">
        <v>282</v>
      </c>
      <c r="O75" s="267" t="s">
        <v>282</v>
      </c>
      <c r="P75" s="267" t="s">
        <v>282</v>
      </c>
      <c r="Q75" s="267" t="s">
        <v>282</v>
      </c>
      <c r="R75" s="267" t="s">
        <v>282</v>
      </c>
      <c r="S75" s="267" t="s">
        <v>282</v>
      </c>
      <c r="T75" s="267" t="s">
        <v>282</v>
      </c>
      <c r="U75" s="267" t="s">
        <v>282</v>
      </c>
      <c r="V75" s="267" t="s">
        <v>282</v>
      </c>
      <c r="W75" s="267" t="s">
        <v>282</v>
      </c>
      <c r="X75" s="267" t="s">
        <v>282</v>
      </c>
      <c r="Y75" s="267" t="s">
        <v>282</v>
      </c>
      <c r="Z75" s="267" t="s">
        <v>282</v>
      </c>
      <c r="AA75" s="267" t="s">
        <v>282</v>
      </c>
      <c r="AB75" s="267" t="s">
        <v>282</v>
      </c>
      <c r="AC75" s="267" t="s">
        <v>282</v>
      </c>
      <c r="AD75" s="267" t="s">
        <v>282</v>
      </c>
      <c r="AE75" s="267" t="s">
        <v>282</v>
      </c>
      <c r="AF75" s="267" t="s">
        <v>282</v>
      </c>
      <c r="AG75" s="267" t="s">
        <v>282</v>
      </c>
      <c r="AH75" s="267" t="s">
        <v>282</v>
      </c>
      <c r="AI75" s="267" t="s">
        <v>282</v>
      </c>
      <c r="AJ75" s="267" t="s">
        <v>282</v>
      </c>
      <c r="AK75" s="267" t="s">
        <v>282</v>
      </c>
      <c r="AL75" s="267" t="s">
        <v>282</v>
      </c>
      <c r="AM75" s="267" t="s">
        <v>282</v>
      </c>
      <c r="AN75" s="267" t="s">
        <v>282</v>
      </c>
      <c r="AO75" s="267" t="s">
        <v>282</v>
      </c>
      <c r="AP75" s="267" t="s">
        <v>282</v>
      </c>
      <c r="AQ75" s="267" t="s">
        <v>282</v>
      </c>
      <c r="AR75" s="267" t="s">
        <v>282</v>
      </c>
      <c r="AS75" s="267" t="s">
        <v>282</v>
      </c>
      <c r="AT75" s="267" t="s">
        <v>282</v>
      </c>
      <c r="AU75" s="267" t="s">
        <v>282</v>
      </c>
      <c r="AV75" s="267" t="s">
        <v>282</v>
      </c>
      <c r="AW75" s="267" t="s">
        <v>282</v>
      </c>
      <c r="AX75" s="267" t="s">
        <v>282</v>
      </c>
      <c r="AY75" s="267" t="s">
        <v>282</v>
      </c>
      <c r="AZ75" s="267" t="s">
        <v>282</v>
      </c>
      <c r="BA75" s="267" t="s">
        <v>282</v>
      </c>
      <c r="BB75" s="267" t="s">
        <v>282</v>
      </c>
      <c r="BC75" s="267" t="s">
        <v>282</v>
      </c>
      <c r="BD75" s="267" t="s">
        <v>282</v>
      </c>
      <c r="BE75" s="267" t="s">
        <v>282</v>
      </c>
      <c r="BF75" s="267" t="s">
        <v>282</v>
      </c>
      <c r="BG75" s="267" t="s">
        <v>282</v>
      </c>
      <c r="BH75" s="267" t="s">
        <v>282</v>
      </c>
      <c r="BI75" s="267" t="s">
        <v>282</v>
      </c>
      <c r="BJ75" s="267" t="s">
        <v>282</v>
      </c>
      <c r="BK75" s="267" t="s">
        <v>282</v>
      </c>
      <c r="BL75" s="267" t="s">
        <v>282</v>
      </c>
      <c r="BM75" s="267" t="s">
        <v>282</v>
      </c>
      <c r="BN75" s="267" t="s">
        <v>282</v>
      </c>
      <c r="BO75" s="267" t="s">
        <v>282</v>
      </c>
      <c r="BP75" s="267" t="s">
        <v>282</v>
      </c>
      <c r="BQ75" s="267" t="s">
        <v>282</v>
      </c>
      <c r="BR75" s="267" t="s">
        <v>282</v>
      </c>
      <c r="BS75" s="267" t="s">
        <v>282</v>
      </c>
      <c r="BT75" s="267" t="s">
        <v>282</v>
      </c>
      <c r="BU75" s="267" t="s">
        <v>282</v>
      </c>
      <c r="BV75" s="267" t="s">
        <v>282</v>
      </c>
      <c r="BW75" s="267" t="s">
        <v>282</v>
      </c>
      <c r="BX75" s="267" t="s">
        <v>282</v>
      </c>
      <c r="BY75" s="267" t="s">
        <v>282</v>
      </c>
      <c r="BZ75" s="267" t="s">
        <v>282</v>
      </c>
      <c r="CA75" s="267" t="s">
        <v>282</v>
      </c>
      <c r="CB75" s="267" t="s">
        <v>282</v>
      </c>
      <c r="CC75" s="267" t="s">
        <v>282</v>
      </c>
      <c r="CD75" s="267" t="s">
        <v>282</v>
      </c>
      <c r="CE75" s="32">
        <f t="shared" si="11"/>
        <v>0</v>
      </c>
    </row>
    <row r="76" spans="1:83" x14ac:dyDescent="0.25">
      <c r="A76" s="33" t="s">
        <v>260</v>
      </c>
      <c r="B76" s="34"/>
      <c r="C76" s="267" t="s">
        <v>282</v>
      </c>
      <c r="D76" s="267" t="s">
        <v>282</v>
      </c>
      <c r="E76" s="267" t="s">
        <v>282</v>
      </c>
      <c r="F76" s="267" t="s">
        <v>282</v>
      </c>
      <c r="G76" s="267" t="s">
        <v>282</v>
      </c>
      <c r="H76" s="267" t="s">
        <v>282</v>
      </c>
      <c r="I76" s="267" t="s">
        <v>282</v>
      </c>
      <c r="J76" s="267" t="s">
        <v>282</v>
      </c>
      <c r="K76" s="267" t="s">
        <v>282</v>
      </c>
      <c r="L76" s="267" t="s">
        <v>282</v>
      </c>
      <c r="M76" s="267" t="s">
        <v>282</v>
      </c>
      <c r="N76" s="267" t="s">
        <v>282</v>
      </c>
      <c r="O76" s="267" t="s">
        <v>282</v>
      </c>
      <c r="P76" s="267" t="s">
        <v>282</v>
      </c>
      <c r="Q76" s="267" t="s">
        <v>282</v>
      </c>
      <c r="R76" s="267" t="s">
        <v>282</v>
      </c>
      <c r="S76" s="267" t="s">
        <v>282</v>
      </c>
      <c r="T76" s="267" t="s">
        <v>282</v>
      </c>
      <c r="U76" s="267" t="s">
        <v>282</v>
      </c>
      <c r="V76" s="267" t="s">
        <v>282</v>
      </c>
      <c r="W76" s="267" t="s">
        <v>282</v>
      </c>
      <c r="X76" s="267" t="s">
        <v>282</v>
      </c>
      <c r="Y76" s="267" t="s">
        <v>282</v>
      </c>
      <c r="Z76" s="267" t="s">
        <v>282</v>
      </c>
      <c r="AA76" s="267" t="s">
        <v>282</v>
      </c>
      <c r="AB76" s="267" t="s">
        <v>282</v>
      </c>
      <c r="AC76" s="267" t="s">
        <v>282</v>
      </c>
      <c r="AD76" s="267" t="s">
        <v>282</v>
      </c>
      <c r="AE76" s="267" t="s">
        <v>282</v>
      </c>
      <c r="AF76" s="267" t="s">
        <v>282</v>
      </c>
      <c r="AG76" s="267" t="s">
        <v>282</v>
      </c>
      <c r="AH76" s="267" t="s">
        <v>282</v>
      </c>
      <c r="AI76" s="267" t="s">
        <v>282</v>
      </c>
      <c r="AJ76" s="267" t="s">
        <v>282</v>
      </c>
      <c r="AK76" s="267" t="s">
        <v>282</v>
      </c>
      <c r="AL76" s="267" t="s">
        <v>282</v>
      </c>
      <c r="AM76" s="267" t="s">
        <v>282</v>
      </c>
      <c r="AN76" s="267" t="s">
        <v>282</v>
      </c>
      <c r="AO76" s="267" t="s">
        <v>282</v>
      </c>
      <c r="AP76" s="267" t="s">
        <v>282</v>
      </c>
      <c r="AQ76" s="267" t="s">
        <v>282</v>
      </c>
      <c r="AR76" s="267" t="s">
        <v>282</v>
      </c>
      <c r="AS76" s="267" t="s">
        <v>282</v>
      </c>
      <c r="AT76" s="267" t="s">
        <v>282</v>
      </c>
      <c r="AU76" s="267" t="s">
        <v>282</v>
      </c>
      <c r="AV76" s="267" t="s">
        <v>282</v>
      </c>
      <c r="AW76" s="267" t="s">
        <v>282</v>
      </c>
      <c r="AX76" s="267" t="s">
        <v>282</v>
      </c>
      <c r="AY76" s="267" t="s">
        <v>282</v>
      </c>
      <c r="AZ76" s="267" t="s">
        <v>282</v>
      </c>
      <c r="BA76" s="267" t="s">
        <v>282</v>
      </c>
      <c r="BB76" s="267" t="s">
        <v>282</v>
      </c>
      <c r="BC76" s="267" t="s">
        <v>282</v>
      </c>
      <c r="BD76" s="267" t="s">
        <v>282</v>
      </c>
      <c r="BE76" s="267" t="s">
        <v>282</v>
      </c>
      <c r="BF76" s="267" t="s">
        <v>282</v>
      </c>
      <c r="BG76" s="267" t="s">
        <v>282</v>
      </c>
      <c r="BH76" s="267" t="s">
        <v>282</v>
      </c>
      <c r="BI76" s="267" t="s">
        <v>282</v>
      </c>
      <c r="BJ76" s="267" t="s">
        <v>282</v>
      </c>
      <c r="BK76" s="267" t="s">
        <v>282</v>
      </c>
      <c r="BL76" s="267" t="s">
        <v>282</v>
      </c>
      <c r="BM76" s="267" t="s">
        <v>282</v>
      </c>
      <c r="BN76" s="267" t="s">
        <v>282</v>
      </c>
      <c r="BO76" s="267" t="s">
        <v>282</v>
      </c>
      <c r="BP76" s="267" t="s">
        <v>282</v>
      </c>
      <c r="BQ76" s="267" t="s">
        <v>282</v>
      </c>
      <c r="BR76" s="267" t="s">
        <v>282</v>
      </c>
      <c r="BS76" s="267" t="s">
        <v>282</v>
      </c>
      <c r="BT76" s="267" t="s">
        <v>282</v>
      </c>
      <c r="BU76" s="267" t="s">
        <v>282</v>
      </c>
      <c r="BV76" s="267" t="s">
        <v>282</v>
      </c>
      <c r="BW76" s="267" t="s">
        <v>282</v>
      </c>
      <c r="BX76" s="267" t="s">
        <v>282</v>
      </c>
      <c r="BY76" s="267" t="s">
        <v>282</v>
      </c>
      <c r="BZ76" s="267" t="s">
        <v>282</v>
      </c>
      <c r="CA76" s="267" t="s">
        <v>282</v>
      </c>
      <c r="CB76" s="267" t="s">
        <v>282</v>
      </c>
      <c r="CC76" s="267" t="s">
        <v>282</v>
      </c>
      <c r="CD76" s="267" t="s">
        <v>282</v>
      </c>
      <c r="CE76" s="32">
        <f t="shared" si="11"/>
        <v>0</v>
      </c>
    </row>
    <row r="77" spans="1:83" x14ac:dyDescent="0.25">
      <c r="A77" s="33" t="s">
        <v>261</v>
      </c>
      <c r="B77" s="226"/>
      <c r="C77" s="267" t="s">
        <v>282</v>
      </c>
      <c r="D77" s="267" t="s">
        <v>282</v>
      </c>
      <c r="E77" s="267" t="s">
        <v>282</v>
      </c>
      <c r="F77" s="267" t="s">
        <v>282</v>
      </c>
      <c r="G77" s="267" t="s">
        <v>282</v>
      </c>
      <c r="H77" s="267" t="s">
        <v>282</v>
      </c>
      <c r="I77" s="267" t="s">
        <v>282</v>
      </c>
      <c r="J77" s="267" t="s">
        <v>282</v>
      </c>
      <c r="K77" s="267" t="s">
        <v>282</v>
      </c>
      <c r="L77" s="267" t="s">
        <v>282</v>
      </c>
      <c r="M77" s="267" t="s">
        <v>282</v>
      </c>
      <c r="N77" s="267" t="s">
        <v>282</v>
      </c>
      <c r="O77" s="267" t="s">
        <v>282</v>
      </c>
      <c r="P77" s="267" t="s">
        <v>282</v>
      </c>
      <c r="Q77" s="267" t="s">
        <v>282</v>
      </c>
      <c r="R77" s="267" t="s">
        <v>282</v>
      </c>
      <c r="S77" s="267" t="s">
        <v>282</v>
      </c>
      <c r="T77" s="267" t="s">
        <v>282</v>
      </c>
      <c r="U77" s="267" t="s">
        <v>282</v>
      </c>
      <c r="V77" s="267" t="s">
        <v>282</v>
      </c>
      <c r="W77" s="267" t="s">
        <v>282</v>
      </c>
      <c r="X77" s="267" t="s">
        <v>282</v>
      </c>
      <c r="Y77" s="267" t="s">
        <v>282</v>
      </c>
      <c r="Z77" s="267" t="s">
        <v>282</v>
      </c>
      <c r="AA77" s="267" t="s">
        <v>282</v>
      </c>
      <c r="AB77" s="267" t="s">
        <v>282</v>
      </c>
      <c r="AC77" s="267" t="s">
        <v>282</v>
      </c>
      <c r="AD77" s="267" t="s">
        <v>282</v>
      </c>
      <c r="AE77" s="267" t="s">
        <v>282</v>
      </c>
      <c r="AF77" s="267" t="s">
        <v>282</v>
      </c>
      <c r="AG77" s="267" t="s">
        <v>282</v>
      </c>
      <c r="AH77" s="267" t="s">
        <v>282</v>
      </c>
      <c r="AI77" s="267" t="s">
        <v>282</v>
      </c>
      <c r="AJ77" s="267" t="s">
        <v>282</v>
      </c>
      <c r="AK77" s="267" t="s">
        <v>282</v>
      </c>
      <c r="AL77" s="267" t="s">
        <v>282</v>
      </c>
      <c r="AM77" s="267" t="s">
        <v>282</v>
      </c>
      <c r="AN77" s="267" t="s">
        <v>282</v>
      </c>
      <c r="AO77" s="267" t="s">
        <v>282</v>
      </c>
      <c r="AP77" s="267" t="s">
        <v>282</v>
      </c>
      <c r="AQ77" s="267" t="s">
        <v>282</v>
      </c>
      <c r="AR77" s="267" t="s">
        <v>282</v>
      </c>
      <c r="AS77" s="267" t="s">
        <v>282</v>
      </c>
      <c r="AT77" s="267" t="s">
        <v>282</v>
      </c>
      <c r="AU77" s="267" t="s">
        <v>282</v>
      </c>
      <c r="AV77" s="267" t="s">
        <v>282</v>
      </c>
      <c r="AW77" s="267" t="s">
        <v>282</v>
      </c>
      <c r="AX77" s="267" t="s">
        <v>282</v>
      </c>
      <c r="AY77" s="267" t="s">
        <v>282</v>
      </c>
      <c r="AZ77" s="267" t="s">
        <v>282</v>
      </c>
      <c r="BA77" s="267" t="s">
        <v>282</v>
      </c>
      <c r="BB77" s="267" t="s">
        <v>282</v>
      </c>
      <c r="BC77" s="267" t="s">
        <v>282</v>
      </c>
      <c r="BD77" s="267" t="s">
        <v>282</v>
      </c>
      <c r="BE77" s="267" t="s">
        <v>282</v>
      </c>
      <c r="BF77" s="267" t="s">
        <v>282</v>
      </c>
      <c r="BG77" s="267" t="s">
        <v>282</v>
      </c>
      <c r="BH77" s="267" t="s">
        <v>282</v>
      </c>
      <c r="BI77" s="267" t="s">
        <v>282</v>
      </c>
      <c r="BJ77" s="267" t="s">
        <v>282</v>
      </c>
      <c r="BK77" s="267" t="s">
        <v>282</v>
      </c>
      <c r="BL77" s="267" t="s">
        <v>282</v>
      </c>
      <c r="BM77" s="267" t="s">
        <v>282</v>
      </c>
      <c r="BN77" s="267" t="s">
        <v>282</v>
      </c>
      <c r="BO77" s="267" t="s">
        <v>282</v>
      </c>
      <c r="BP77" s="267" t="s">
        <v>282</v>
      </c>
      <c r="BQ77" s="267" t="s">
        <v>282</v>
      </c>
      <c r="BR77" s="267" t="s">
        <v>282</v>
      </c>
      <c r="BS77" s="267" t="s">
        <v>282</v>
      </c>
      <c r="BT77" s="267" t="s">
        <v>282</v>
      </c>
      <c r="BU77" s="267" t="s">
        <v>282</v>
      </c>
      <c r="BV77" s="267" t="s">
        <v>282</v>
      </c>
      <c r="BW77" s="267" t="s">
        <v>282</v>
      </c>
      <c r="BX77" s="267" t="s">
        <v>282</v>
      </c>
      <c r="BY77" s="267" t="s">
        <v>282</v>
      </c>
      <c r="BZ77" s="267" t="s">
        <v>282</v>
      </c>
      <c r="CA77" s="267" t="s">
        <v>282</v>
      </c>
      <c r="CB77" s="267" t="s">
        <v>282</v>
      </c>
      <c r="CC77" s="267" t="s">
        <v>282</v>
      </c>
      <c r="CD77" s="267" t="s">
        <v>282</v>
      </c>
      <c r="CE77" s="32">
        <f t="shared" si="11"/>
        <v>0</v>
      </c>
    </row>
    <row r="78" spans="1:83" x14ac:dyDescent="0.25">
      <c r="A78" s="33" t="s">
        <v>262</v>
      </c>
      <c r="B78" s="34"/>
      <c r="C78" s="267" t="s">
        <v>282</v>
      </c>
      <c r="D78" s="267" t="s">
        <v>282</v>
      </c>
      <c r="E78" s="267" t="s">
        <v>282</v>
      </c>
      <c r="F78" s="267" t="s">
        <v>282</v>
      </c>
      <c r="G78" s="267" t="s">
        <v>282</v>
      </c>
      <c r="H78" s="267" t="s">
        <v>282</v>
      </c>
      <c r="I78" s="267" t="s">
        <v>282</v>
      </c>
      <c r="J78" s="267" t="s">
        <v>282</v>
      </c>
      <c r="K78" s="267" t="s">
        <v>282</v>
      </c>
      <c r="L78" s="267" t="s">
        <v>282</v>
      </c>
      <c r="M78" s="267" t="s">
        <v>282</v>
      </c>
      <c r="N78" s="267" t="s">
        <v>282</v>
      </c>
      <c r="O78" s="267" t="s">
        <v>282</v>
      </c>
      <c r="P78" s="267" t="s">
        <v>282</v>
      </c>
      <c r="Q78" s="267" t="s">
        <v>282</v>
      </c>
      <c r="R78" s="267" t="s">
        <v>282</v>
      </c>
      <c r="S78" s="267" t="s">
        <v>282</v>
      </c>
      <c r="T78" s="267" t="s">
        <v>282</v>
      </c>
      <c r="U78" s="267" t="s">
        <v>282</v>
      </c>
      <c r="V78" s="267" t="s">
        <v>282</v>
      </c>
      <c r="W78" s="267" t="s">
        <v>282</v>
      </c>
      <c r="X78" s="267" t="s">
        <v>282</v>
      </c>
      <c r="Y78" s="267" t="s">
        <v>282</v>
      </c>
      <c r="Z78" s="267" t="s">
        <v>282</v>
      </c>
      <c r="AA78" s="267" t="s">
        <v>282</v>
      </c>
      <c r="AB78" s="267" t="s">
        <v>282</v>
      </c>
      <c r="AC78" s="267" t="s">
        <v>282</v>
      </c>
      <c r="AD78" s="267" t="s">
        <v>282</v>
      </c>
      <c r="AE78" s="267" t="s">
        <v>282</v>
      </c>
      <c r="AF78" s="267" t="s">
        <v>282</v>
      </c>
      <c r="AG78" s="267" t="s">
        <v>282</v>
      </c>
      <c r="AH78" s="267" t="s">
        <v>282</v>
      </c>
      <c r="AI78" s="267" t="s">
        <v>282</v>
      </c>
      <c r="AJ78" s="267" t="s">
        <v>282</v>
      </c>
      <c r="AK78" s="267" t="s">
        <v>282</v>
      </c>
      <c r="AL78" s="267" t="s">
        <v>282</v>
      </c>
      <c r="AM78" s="267" t="s">
        <v>282</v>
      </c>
      <c r="AN78" s="267" t="s">
        <v>282</v>
      </c>
      <c r="AO78" s="267" t="s">
        <v>282</v>
      </c>
      <c r="AP78" s="267" t="s">
        <v>282</v>
      </c>
      <c r="AQ78" s="267" t="s">
        <v>282</v>
      </c>
      <c r="AR78" s="267" t="s">
        <v>282</v>
      </c>
      <c r="AS78" s="267" t="s">
        <v>282</v>
      </c>
      <c r="AT78" s="267" t="s">
        <v>282</v>
      </c>
      <c r="AU78" s="267" t="s">
        <v>282</v>
      </c>
      <c r="AV78" s="267" t="s">
        <v>282</v>
      </c>
      <c r="AW78" s="267" t="s">
        <v>282</v>
      </c>
      <c r="AX78" s="267" t="s">
        <v>282</v>
      </c>
      <c r="AY78" s="267" t="s">
        <v>282</v>
      </c>
      <c r="AZ78" s="267" t="s">
        <v>282</v>
      </c>
      <c r="BA78" s="267" t="s">
        <v>282</v>
      </c>
      <c r="BB78" s="267" t="s">
        <v>282</v>
      </c>
      <c r="BC78" s="267" t="s">
        <v>282</v>
      </c>
      <c r="BD78" s="267" t="s">
        <v>282</v>
      </c>
      <c r="BE78" s="267" t="s">
        <v>282</v>
      </c>
      <c r="BF78" s="267" t="s">
        <v>282</v>
      </c>
      <c r="BG78" s="267" t="s">
        <v>282</v>
      </c>
      <c r="BH78" s="267" t="s">
        <v>282</v>
      </c>
      <c r="BI78" s="267" t="s">
        <v>282</v>
      </c>
      <c r="BJ78" s="267" t="s">
        <v>282</v>
      </c>
      <c r="BK78" s="267" t="s">
        <v>282</v>
      </c>
      <c r="BL78" s="267" t="s">
        <v>282</v>
      </c>
      <c r="BM78" s="267" t="s">
        <v>282</v>
      </c>
      <c r="BN78" s="267" t="s">
        <v>282</v>
      </c>
      <c r="BO78" s="267" t="s">
        <v>282</v>
      </c>
      <c r="BP78" s="267" t="s">
        <v>282</v>
      </c>
      <c r="BQ78" s="267" t="s">
        <v>282</v>
      </c>
      <c r="BR78" s="267" t="s">
        <v>282</v>
      </c>
      <c r="BS78" s="267" t="s">
        <v>282</v>
      </c>
      <c r="BT78" s="267" t="s">
        <v>282</v>
      </c>
      <c r="BU78" s="267" t="s">
        <v>282</v>
      </c>
      <c r="BV78" s="267" t="s">
        <v>282</v>
      </c>
      <c r="BW78" s="267" t="s">
        <v>282</v>
      </c>
      <c r="BX78" s="267" t="s">
        <v>282</v>
      </c>
      <c r="BY78" s="267" t="s">
        <v>282</v>
      </c>
      <c r="BZ78" s="267" t="s">
        <v>282</v>
      </c>
      <c r="CA78" s="267" t="s">
        <v>282</v>
      </c>
      <c r="CB78" s="267" t="s">
        <v>282</v>
      </c>
      <c r="CC78" s="267" t="s">
        <v>282</v>
      </c>
      <c r="CD78" s="267" t="s">
        <v>282</v>
      </c>
      <c r="CE78" s="32">
        <f t="shared" si="11"/>
        <v>0</v>
      </c>
    </row>
    <row r="79" spans="1:83" x14ac:dyDescent="0.25">
      <c r="A79" s="33" t="s">
        <v>263</v>
      </c>
      <c r="B79" s="20"/>
      <c r="C79" s="267" t="s">
        <v>282</v>
      </c>
      <c r="D79" s="267" t="s">
        <v>282</v>
      </c>
      <c r="E79" s="267" t="s">
        <v>282</v>
      </c>
      <c r="F79" s="267" t="s">
        <v>282</v>
      </c>
      <c r="G79" s="267" t="s">
        <v>282</v>
      </c>
      <c r="H79" s="267" t="s">
        <v>282</v>
      </c>
      <c r="I79" s="267" t="s">
        <v>282</v>
      </c>
      <c r="J79" s="267" t="s">
        <v>282</v>
      </c>
      <c r="K79" s="267" t="s">
        <v>282</v>
      </c>
      <c r="L79" s="267" t="s">
        <v>282</v>
      </c>
      <c r="M79" s="267" t="s">
        <v>282</v>
      </c>
      <c r="N79" s="267" t="s">
        <v>282</v>
      </c>
      <c r="O79" s="267" t="s">
        <v>282</v>
      </c>
      <c r="P79" s="267" t="s">
        <v>282</v>
      </c>
      <c r="Q79" s="267" t="s">
        <v>282</v>
      </c>
      <c r="R79" s="267" t="s">
        <v>282</v>
      </c>
      <c r="S79" s="267" t="s">
        <v>282</v>
      </c>
      <c r="T79" s="267" t="s">
        <v>282</v>
      </c>
      <c r="U79" s="267" t="s">
        <v>282</v>
      </c>
      <c r="V79" s="267" t="s">
        <v>282</v>
      </c>
      <c r="W79" s="267" t="s">
        <v>282</v>
      </c>
      <c r="X79" s="267" t="s">
        <v>282</v>
      </c>
      <c r="Y79" s="267" t="s">
        <v>282</v>
      </c>
      <c r="Z79" s="267" t="s">
        <v>282</v>
      </c>
      <c r="AA79" s="267" t="s">
        <v>282</v>
      </c>
      <c r="AB79" s="267" t="s">
        <v>282</v>
      </c>
      <c r="AC79" s="267" t="s">
        <v>282</v>
      </c>
      <c r="AD79" s="267" t="s">
        <v>282</v>
      </c>
      <c r="AE79" s="267" t="s">
        <v>282</v>
      </c>
      <c r="AF79" s="267" t="s">
        <v>282</v>
      </c>
      <c r="AG79" s="267" t="s">
        <v>282</v>
      </c>
      <c r="AH79" s="267" t="s">
        <v>282</v>
      </c>
      <c r="AI79" s="267" t="s">
        <v>282</v>
      </c>
      <c r="AJ79" s="267" t="s">
        <v>282</v>
      </c>
      <c r="AK79" s="267" t="s">
        <v>282</v>
      </c>
      <c r="AL79" s="267" t="s">
        <v>282</v>
      </c>
      <c r="AM79" s="267" t="s">
        <v>282</v>
      </c>
      <c r="AN79" s="267" t="s">
        <v>282</v>
      </c>
      <c r="AO79" s="267" t="s">
        <v>282</v>
      </c>
      <c r="AP79" s="267" t="s">
        <v>282</v>
      </c>
      <c r="AQ79" s="267" t="s">
        <v>282</v>
      </c>
      <c r="AR79" s="267" t="s">
        <v>282</v>
      </c>
      <c r="AS79" s="267" t="s">
        <v>282</v>
      </c>
      <c r="AT79" s="267" t="s">
        <v>282</v>
      </c>
      <c r="AU79" s="267" t="s">
        <v>282</v>
      </c>
      <c r="AV79" s="267" t="s">
        <v>282</v>
      </c>
      <c r="AW79" s="267" t="s">
        <v>282</v>
      </c>
      <c r="AX79" s="267" t="s">
        <v>282</v>
      </c>
      <c r="AY79" s="267" t="s">
        <v>282</v>
      </c>
      <c r="AZ79" s="267" t="s">
        <v>282</v>
      </c>
      <c r="BA79" s="267" t="s">
        <v>282</v>
      </c>
      <c r="BB79" s="267" t="s">
        <v>282</v>
      </c>
      <c r="BC79" s="267" t="s">
        <v>282</v>
      </c>
      <c r="BD79" s="267" t="s">
        <v>282</v>
      </c>
      <c r="BE79" s="267" t="s">
        <v>282</v>
      </c>
      <c r="BF79" s="267" t="s">
        <v>282</v>
      </c>
      <c r="BG79" s="267" t="s">
        <v>282</v>
      </c>
      <c r="BH79" s="267" t="s">
        <v>282</v>
      </c>
      <c r="BI79" s="267" t="s">
        <v>282</v>
      </c>
      <c r="BJ79" s="267" t="s">
        <v>282</v>
      </c>
      <c r="BK79" s="267" t="s">
        <v>282</v>
      </c>
      <c r="BL79" s="267" t="s">
        <v>282</v>
      </c>
      <c r="BM79" s="267" t="s">
        <v>282</v>
      </c>
      <c r="BN79" s="267" t="s">
        <v>282</v>
      </c>
      <c r="BO79" s="267" t="s">
        <v>282</v>
      </c>
      <c r="BP79" s="267" t="s">
        <v>282</v>
      </c>
      <c r="BQ79" s="267" t="s">
        <v>282</v>
      </c>
      <c r="BR79" s="267" t="s">
        <v>282</v>
      </c>
      <c r="BS79" s="267" t="s">
        <v>282</v>
      </c>
      <c r="BT79" s="267" t="s">
        <v>282</v>
      </c>
      <c r="BU79" s="267" t="s">
        <v>282</v>
      </c>
      <c r="BV79" s="267" t="s">
        <v>282</v>
      </c>
      <c r="BW79" s="267" t="s">
        <v>282</v>
      </c>
      <c r="BX79" s="267" t="s">
        <v>282</v>
      </c>
      <c r="BY79" s="267" t="s">
        <v>282</v>
      </c>
      <c r="BZ79" s="267" t="s">
        <v>282</v>
      </c>
      <c r="CA79" s="267" t="s">
        <v>282</v>
      </c>
      <c r="CB79" s="267" t="s">
        <v>282</v>
      </c>
      <c r="CC79" s="267" t="s">
        <v>282</v>
      </c>
      <c r="CD79" s="267" t="s">
        <v>282</v>
      </c>
      <c r="CE79" s="32">
        <f t="shared" si="11"/>
        <v>0</v>
      </c>
    </row>
    <row r="80" spans="1:83" x14ac:dyDescent="0.25">
      <c r="A80" s="33" t="s">
        <v>264</v>
      </c>
      <c r="B80" s="20"/>
      <c r="C80" s="267" t="s">
        <v>282</v>
      </c>
      <c r="D80" s="267" t="s">
        <v>282</v>
      </c>
      <c r="E80" s="267" t="s">
        <v>282</v>
      </c>
      <c r="F80" s="267" t="s">
        <v>282</v>
      </c>
      <c r="G80" s="267" t="s">
        <v>282</v>
      </c>
      <c r="H80" s="267" t="s">
        <v>282</v>
      </c>
      <c r="I80" s="267" t="s">
        <v>282</v>
      </c>
      <c r="J80" s="267" t="s">
        <v>282</v>
      </c>
      <c r="K80" s="267" t="s">
        <v>282</v>
      </c>
      <c r="L80" s="267" t="s">
        <v>282</v>
      </c>
      <c r="M80" s="267" t="s">
        <v>282</v>
      </c>
      <c r="N80" s="267" t="s">
        <v>282</v>
      </c>
      <c r="O80" s="267" t="s">
        <v>282</v>
      </c>
      <c r="P80" s="267" t="s">
        <v>282</v>
      </c>
      <c r="Q80" s="267" t="s">
        <v>282</v>
      </c>
      <c r="R80" s="267" t="s">
        <v>282</v>
      </c>
      <c r="S80" s="267" t="s">
        <v>282</v>
      </c>
      <c r="T80" s="267" t="s">
        <v>282</v>
      </c>
      <c r="U80" s="267" t="s">
        <v>282</v>
      </c>
      <c r="V80" s="267" t="s">
        <v>282</v>
      </c>
      <c r="W80" s="267" t="s">
        <v>282</v>
      </c>
      <c r="X80" s="267" t="s">
        <v>282</v>
      </c>
      <c r="Y80" s="267" t="s">
        <v>282</v>
      </c>
      <c r="Z80" s="267" t="s">
        <v>282</v>
      </c>
      <c r="AA80" s="267" t="s">
        <v>282</v>
      </c>
      <c r="AB80" s="267" t="s">
        <v>282</v>
      </c>
      <c r="AC80" s="267" t="s">
        <v>282</v>
      </c>
      <c r="AD80" s="267" t="s">
        <v>282</v>
      </c>
      <c r="AE80" s="267" t="s">
        <v>282</v>
      </c>
      <c r="AF80" s="267" t="s">
        <v>282</v>
      </c>
      <c r="AG80" s="267" t="s">
        <v>282</v>
      </c>
      <c r="AH80" s="267" t="s">
        <v>282</v>
      </c>
      <c r="AI80" s="267" t="s">
        <v>282</v>
      </c>
      <c r="AJ80" s="267" t="s">
        <v>282</v>
      </c>
      <c r="AK80" s="267" t="s">
        <v>282</v>
      </c>
      <c r="AL80" s="267" t="s">
        <v>282</v>
      </c>
      <c r="AM80" s="267" t="s">
        <v>282</v>
      </c>
      <c r="AN80" s="267" t="s">
        <v>282</v>
      </c>
      <c r="AO80" s="267" t="s">
        <v>282</v>
      </c>
      <c r="AP80" s="267" t="s">
        <v>282</v>
      </c>
      <c r="AQ80" s="267" t="s">
        <v>282</v>
      </c>
      <c r="AR80" s="267" t="s">
        <v>282</v>
      </c>
      <c r="AS80" s="267" t="s">
        <v>282</v>
      </c>
      <c r="AT80" s="267" t="s">
        <v>282</v>
      </c>
      <c r="AU80" s="267" t="s">
        <v>282</v>
      </c>
      <c r="AV80" s="267" t="s">
        <v>282</v>
      </c>
      <c r="AW80" s="267" t="s">
        <v>282</v>
      </c>
      <c r="AX80" s="267" t="s">
        <v>282</v>
      </c>
      <c r="AY80" s="267" t="s">
        <v>282</v>
      </c>
      <c r="AZ80" s="267" t="s">
        <v>282</v>
      </c>
      <c r="BA80" s="267" t="s">
        <v>282</v>
      </c>
      <c r="BB80" s="267" t="s">
        <v>282</v>
      </c>
      <c r="BC80" s="267" t="s">
        <v>282</v>
      </c>
      <c r="BD80" s="267" t="s">
        <v>282</v>
      </c>
      <c r="BE80" s="267" t="s">
        <v>282</v>
      </c>
      <c r="BF80" s="267" t="s">
        <v>282</v>
      </c>
      <c r="BG80" s="267" t="s">
        <v>282</v>
      </c>
      <c r="BH80" s="267" t="s">
        <v>282</v>
      </c>
      <c r="BI80" s="267" t="s">
        <v>282</v>
      </c>
      <c r="BJ80" s="267" t="s">
        <v>282</v>
      </c>
      <c r="BK80" s="267" t="s">
        <v>282</v>
      </c>
      <c r="BL80" s="267" t="s">
        <v>282</v>
      </c>
      <c r="BM80" s="267" t="s">
        <v>282</v>
      </c>
      <c r="BN80" s="267" t="s">
        <v>282</v>
      </c>
      <c r="BO80" s="267" t="s">
        <v>282</v>
      </c>
      <c r="BP80" s="267" t="s">
        <v>282</v>
      </c>
      <c r="BQ80" s="267" t="s">
        <v>282</v>
      </c>
      <c r="BR80" s="267" t="s">
        <v>282</v>
      </c>
      <c r="BS80" s="267" t="s">
        <v>282</v>
      </c>
      <c r="BT80" s="267" t="s">
        <v>282</v>
      </c>
      <c r="BU80" s="267" t="s">
        <v>282</v>
      </c>
      <c r="BV80" s="267" t="s">
        <v>282</v>
      </c>
      <c r="BW80" s="267" t="s">
        <v>282</v>
      </c>
      <c r="BX80" s="267" t="s">
        <v>282</v>
      </c>
      <c r="BY80" s="267" t="s">
        <v>282</v>
      </c>
      <c r="BZ80" s="267" t="s">
        <v>282</v>
      </c>
      <c r="CA80" s="267" t="s">
        <v>282</v>
      </c>
      <c r="CB80" s="267" t="s">
        <v>282</v>
      </c>
      <c r="CC80" s="267" t="s">
        <v>282</v>
      </c>
      <c r="CD80" s="267" t="s">
        <v>282</v>
      </c>
      <c r="CE80" s="32">
        <f t="shared" si="11"/>
        <v>0</v>
      </c>
    </row>
    <row r="81" spans="1:84" x14ac:dyDescent="0.25">
      <c r="A81" s="33" t="s">
        <v>265</v>
      </c>
      <c r="B81" s="20"/>
      <c r="C81" s="267" t="s">
        <v>282</v>
      </c>
      <c r="D81" s="267" t="s">
        <v>282</v>
      </c>
      <c r="E81" s="267" t="s">
        <v>282</v>
      </c>
      <c r="F81" s="267" t="s">
        <v>282</v>
      </c>
      <c r="G81" s="267" t="s">
        <v>282</v>
      </c>
      <c r="H81" s="267" t="s">
        <v>282</v>
      </c>
      <c r="I81" s="267" t="s">
        <v>282</v>
      </c>
      <c r="J81" s="267" t="s">
        <v>282</v>
      </c>
      <c r="K81" s="267" t="s">
        <v>282</v>
      </c>
      <c r="L81" s="267" t="s">
        <v>282</v>
      </c>
      <c r="M81" s="267" t="s">
        <v>282</v>
      </c>
      <c r="N81" s="267" t="s">
        <v>282</v>
      </c>
      <c r="O81" s="267" t="s">
        <v>282</v>
      </c>
      <c r="P81" s="267" t="s">
        <v>282</v>
      </c>
      <c r="Q81" s="267" t="s">
        <v>282</v>
      </c>
      <c r="R81" s="267" t="s">
        <v>282</v>
      </c>
      <c r="S81" s="267" t="s">
        <v>282</v>
      </c>
      <c r="T81" s="267" t="s">
        <v>282</v>
      </c>
      <c r="U81" s="267" t="s">
        <v>282</v>
      </c>
      <c r="V81" s="267" t="s">
        <v>282</v>
      </c>
      <c r="W81" s="267" t="s">
        <v>282</v>
      </c>
      <c r="X81" s="267" t="s">
        <v>282</v>
      </c>
      <c r="Y81" s="267" t="s">
        <v>282</v>
      </c>
      <c r="Z81" s="267" t="s">
        <v>282</v>
      </c>
      <c r="AA81" s="267" t="s">
        <v>282</v>
      </c>
      <c r="AB81" s="267" t="s">
        <v>282</v>
      </c>
      <c r="AC81" s="267" t="s">
        <v>282</v>
      </c>
      <c r="AD81" s="267" t="s">
        <v>282</v>
      </c>
      <c r="AE81" s="267" t="s">
        <v>282</v>
      </c>
      <c r="AF81" s="267" t="s">
        <v>282</v>
      </c>
      <c r="AG81" s="267" t="s">
        <v>282</v>
      </c>
      <c r="AH81" s="267" t="s">
        <v>282</v>
      </c>
      <c r="AI81" s="267" t="s">
        <v>282</v>
      </c>
      <c r="AJ81" s="267" t="s">
        <v>282</v>
      </c>
      <c r="AK81" s="267" t="s">
        <v>282</v>
      </c>
      <c r="AL81" s="267" t="s">
        <v>282</v>
      </c>
      <c r="AM81" s="267" t="s">
        <v>282</v>
      </c>
      <c r="AN81" s="267" t="s">
        <v>282</v>
      </c>
      <c r="AO81" s="267" t="s">
        <v>282</v>
      </c>
      <c r="AP81" s="267" t="s">
        <v>282</v>
      </c>
      <c r="AQ81" s="267" t="s">
        <v>282</v>
      </c>
      <c r="AR81" s="267" t="s">
        <v>282</v>
      </c>
      <c r="AS81" s="267" t="s">
        <v>282</v>
      </c>
      <c r="AT81" s="267" t="s">
        <v>282</v>
      </c>
      <c r="AU81" s="267" t="s">
        <v>282</v>
      </c>
      <c r="AV81" s="267" t="s">
        <v>282</v>
      </c>
      <c r="AW81" s="267" t="s">
        <v>282</v>
      </c>
      <c r="AX81" s="267" t="s">
        <v>282</v>
      </c>
      <c r="AY81" s="267" t="s">
        <v>282</v>
      </c>
      <c r="AZ81" s="267" t="s">
        <v>282</v>
      </c>
      <c r="BA81" s="267" t="s">
        <v>282</v>
      </c>
      <c r="BB81" s="267" t="s">
        <v>282</v>
      </c>
      <c r="BC81" s="267" t="s">
        <v>282</v>
      </c>
      <c r="BD81" s="267" t="s">
        <v>282</v>
      </c>
      <c r="BE81" s="267" t="s">
        <v>282</v>
      </c>
      <c r="BF81" s="267" t="s">
        <v>282</v>
      </c>
      <c r="BG81" s="267" t="s">
        <v>282</v>
      </c>
      <c r="BH81" s="267" t="s">
        <v>282</v>
      </c>
      <c r="BI81" s="267" t="s">
        <v>282</v>
      </c>
      <c r="BJ81" s="267" t="s">
        <v>282</v>
      </c>
      <c r="BK81" s="267" t="s">
        <v>282</v>
      </c>
      <c r="BL81" s="267" t="s">
        <v>282</v>
      </c>
      <c r="BM81" s="267" t="s">
        <v>282</v>
      </c>
      <c r="BN81" s="267" t="s">
        <v>282</v>
      </c>
      <c r="BO81" s="267" t="s">
        <v>282</v>
      </c>
      <c r="BP81" s="267" t="s">
        <v>282</v>
      </c>
      <c r="BQ81" s="267" t="s">
        <v>282</v>
      </c>
      <c r="BR81" s="267" t="s">
        <v>282</v>
      </c>
      <c r="BS81" s="267" t="s">
        <v>282</v>
      </c>
      <c r="BT81" s="267" t="s">
        <v>282</v>
      </c>
      <c r="BU81" s="267" t="s">
        <v>282</v>
      </c>
      <c r="BV81" s="267" t="s">
        <v>282</v>
      </c>
      <c r="BW81" s="267" t="s">
        <v>282</v>
      </c>
      <c r="BX81" s="267" t="s">
        <v>282</v>
      </c>
      <c r="BY81" s="267" t="s">
        <v>282</v>
      </c>
      <c r="BZ81" s="267" t="s">
        <v>282</v>
      </c>
      <c r="CA81" s="267" t="s">
        <v>282</v>
      </c>
      <c r="CB81" s="267" t="s">
        <v>282</v>
      </c>
      <c r="CC81" s="267" t="s">
        <v>282</v>
      </c>
      <c r="CD81" s="267" t="s">
        <v>282</v>
      </c>
      <c r="CE81" s="32">
        <f t="shared" si="11"/>
        <v>0</v>
      </c>
    </row>
    <row r="82" spans="1:84" x14ac:dyDescent="0.25">
      <c r="A82" s="33" t="s">
        <v>266</v>
      </c>
      <c r="B82" s="20"/>
      <c r="C82" s="267" t="s">
        <v>282</v>
      </c>
      <c r="D82" s="267" t="s">
        <v>282</v>
      </c>
      <c r="E82" s="267" t="s">
        <v>282</v>
      </c>
      <c r="F82" s="267" t="s">
        <v>282</v>
      </c>
      <c r="G82" s="267" t="s">
        <v>282</v>
      </c>
      <c r="H82" s="267" t="s">
        <v>282</v>
      </c>
      <c r="I82" s="267" t="s">
        <v>282</v>
      </c>
      <c r="J82" s="267" t="s">
        <v>282</v>
      </c>
      <c r="K82" s="267" t="s">
        <v>282</v>
      </c>
      <c r="L82" s="267" t="s">
        <v>282</v>
      </c>
      <c r="M82" s="267" t="s">
        <v>282</v>
      </c>
      <c r="N82" s="267" t="s">
        <v>282</v>
      </c>
      <c r="O82" s="267" t="s">
        <v>282</v>
      </c>
      <c r="P82" s="267" t="s">
        <v>282</v>
      </c>
      <c r="Q82" s="267" t="s">
        <v>282</v>
      </c>
      <c r="R82" s="267" t="s">
        <v>282</v>
      </c>
      <c r="S82" s="267" t="s">
        <v>282</v>
      </c>
      <c r="T82" s="267" t="s">
        <v>282</v>
      </c>
      <c r="U82" s="267" t="s">
        <v>282</v>
      </c>
      <c r="V82" s="267" t="s">
        <v>282</v>
      </c>
      <c r="W82" s="267" t="s">
        <v>282</v>
      </c>
      <c r="X82" s="267" t="s">
        <v>282</v>
      </c>
      <c r="Y82" s="267" t="s">
        <v>282</v>
      </c>
      <c r="Z82" s="267" t="s">
        <v>282</v>
      </c>
      <c r="AA82" s="267" t="s">
        <v>282</v>
      </c>
      <c r="AB82" s="267" t="s">
        <v>282</v>
      </c>
      <c r="AC82" s="267" t="s">
        <v>282</v>
      </c>
      <c r="AD82" s="267" t="s">
        <v>282</v>
      </c>
      <c r="AE82" s="267" t="s">
        <v>282</v>
      </c>
      <c r="AF82" s="267" t="s">
        <v>282</v>
      </c>
      <c r="AG82" s="267" t="s">
        <v>282</v>
      </c>
      <c r="AH82" s="267" t="s">
        <v>282</v>
      </c>
      <c r="AI82" s="267" t="s">
        <v>282</v>
      </c>
      <c r="AJ82" s="267" t="s">
        <v>282</v>
      </c>
      <c r="AK82" s="267" t="s">
        <v>282</v>
      </c>
      <c r="AL82" s="267" t="s">
        <v>282</v>
      </c>
      <c r="AM82" s="267" t="s">
        <v>282</v>
      </c>
      <c r="AN82" s="267" t="s">
        <v>282</v>
      </c>
      <c r="AO82" s="267" t="s">
        <v>282</v>
      </c>
      <c r="AP82" s="267" t="s">
        <v>282</v>
      </c>
      <c r="AQ82" s="267" t="s">
        <v>282</v>
      </c>
      <c r="AR82" s="267" t="s">
        <v>282</v>
      </c>
      <c r="AS82" s="267" t="s">
        <v>282</v>
      </c>
      <c r="AT82" s="267" t="s">
        <v>282</v>
      </c>
      <c r="AU82" s="267" t="s">
        <v>282</v>
      </c>
      <c r="AV82" s="267" t="s">
        <v>282</v>
      </c>
      <c r="AW82" s="267" t="s">
        <v>282</v>
      </c>
      <c r="AX82" s="267" t="s">
        <v>282</v>
      </c>
      <c r="AY82" s="267" t="s">
        <v>282</v>
      </c>
      <c r="AZ82" s="267" t="s">
        <v>282</v>
      </c>
      <c r="BA82" s="267" t="s">
        <v>282</v>
      </c>
      <c r="BB82" s="267" t="s">
        <v>282</v>
      </c>
      <c r="BC82" s="267" t="s">
        <v>282</v>
      </c>
      <c r="BD82" s="267" t="s">
        <v>282</v>
      </c>
      <c r="BE82" s="267" t="s">
        <v>282</v>
      </c>
      <c r="BF82" s="267" t="s">
        <v>282</v>
      </c>
      <c r="BG82" s="267" t="s">
        <v>282</v>
      </c>
      <c r="BH82" s="267" t="s">
        <v>282</v>
      </c>
      <c r="BI82" s="267" t="s">
        <v>282</v>
      </c>
      <c r="BJ82" s="267" t="s">
        <v>282</v>
      </c>
      <c r="BK82" s="267" t="s">
        <v>282</v>
      </c>
      <c r="BL82" s="267" t="s">
        <v>282</v>
      </c>
      <c r="BM82" s="267" t="s">
        <v>282</v>
      </c>
      <c r="BN82" s="267" t="s">
        <v>282</v>
      </c>
      <c r="BO82" s="267" t="s">
        <v>282</v>
      </c>
      <c r="BP82" s="267" t="s">
        <v>282</v>
      </c>
      <c r="BQ82" s="267" t="s">
        <v>282</v>
      </c>
      <c r="BR82" s="267" t="s">
        <v>282</v>
      </c>
      <c r="BS82" s="267" t="s">
        <v>282</v>
      </c>
      <c r="BT82" s="267" t="s">
        <v>282</v>
      </c>
      <c r="BU82" s="267" t="s">
        <v>282</v>
      </c>
      <c r="BV82" s="267" t="s">
        <v>282</v>
      </c>
      <c r="BW82" s="267" t="s">
        <v>282</v>
      </c>
      <c r="BX82" s="267" t="s">
        <v>282</v>
      </c>
      <c r="BY82" s="267" t="s">
        <v>282</v>
      </c>
      <c r="BZ82" s="267" t="s">
        <v>282</v>
      </c>
      <c r="CA82" s="267" t="s">
        <v>282</v>
      </c>
      <c r="CB82" s="267" t="s">
        <v>282</v>
      </c>
      <c r="CC82" s="267" t="s">
        <v>282</v>
      </c>
      <c r="CD82" s="267" t="s">
        <v>282</v>
      </c>
      <c r="CE82" s="32">
        <f t="shared" si="11"/>
        <v>0</v>
      </c>
    </row>
    <row r="83" spans="1:84" x14ac:dyDescent="0.25">
      <c r="A83" s="33" t="s">
        <v>267</v>
      </c>
      <c r="B83" s="20"/>
      <c r="C83" s="267" t="s">
        <v>282</v>
      </c>
      <c r="D83" s="267" t="s">
        <v>282</v>
      </c>
      <c r="E83" s="267" t="s">
        <v>282</v>
      </c>
      <c r="F83" s="267" t="s">
        <v>282</v>
      </c>
      <c r="G83" s="267" t="s">
        <v>282</v>
      </c>
      <c r="H83" s="267" t="s">
        <v>282</v>
      </c>
      <c r="I83" s="267" t="s">
        <v>282</v>
      </c>
      <c r="J83" s="267" t="s">
        <v>282</v>
      </c>
      <c r="K83" s="267" t="s">
        <v>282</v>
      </c>
      <c r="L83" s="267" t="s">
        <v>282</v>
      </c>
      <c r="M83" s="267" t="s">
        <v>282</v>
      </c>
      <c r="N83" s="267" t="s">
        <v>282</v>
      </c>
      <c r="O83" s="267" t="s">
        <v>282</v>
      </c>
      <c r="P83" s="267" t="s">
        <v>282</v>
      </c>
      <c r="Q83" s="267" t="s">
        <v>282</v>
      </c>
      <c r="R83" s="267" t="s">
        <v>282</v>
      </c>
      <c r="S83" s="267" t="s">
        <v>282</v>
      </c>
      <c r="T83" s="267" t="s">
        <v>282</v>
      </c>
      <c r="U83" s="267" t="s">
        <v>282</v>
      </c>
      <c r="V83" s="267" t="s">
        <v>282</v>
      </c>
      <c r="W83" s="267" t="s">
        <v>282</v>
      </c>
      <c r="X83" s="267" t="s">
        <v>282</v>
      </c>
      <c r="Y83" s="267" t="s">
        <v>282</v>
      </c>
      <c r="Z83" s="267" t="s">
        <v>282</v>
      </c>
      <c r="AA83" s="267" t="s">
        <v>282</v>
      </c>
      <c r="AB83" s="267" t="s">
        <v>282</v>
      </c>
      <c r="AC83" s="267" t="s">
        <v>282</v>
      </c>
      <c r="AD83" s="267" t="s">
        <v>282</v>
      </c>
      <c r="AE83" s="267" t="s">
        <v>282</v>
      </c>
      <c r="AF83" s="267" t="s">
        <v>282</v>
      </c>
      <c r="AG83" s="267" t="s">
        <v>282</v>
      </c>
      <c r="AH83" s="267" t="s">
        <v>282</v>
      </c>
      <c r="AI83" s="267" t="s">
        <v>282</v>
      </c>
      <c r="AJ83" s="267" t="s">
        <v>282</v>
      </c>
      <c r="AK83" s="267" t="s">
        <v>282</v>
      </c>
      <c r="AL83" s="267" t="s">
        <v>282</v>
      </c>
      <c r="AM83" s="267" t="s">
        <v>282</v>
      </c>
      <c r="AN83" s="267" t="s">
        <v>282</v>
      </c>
      <c r="AO83" s="267" t="s">
        <v>282</v>
      </c>
      <c r="AP83" s="267" t="s">
        <v>282</v>
      </c>
      <c r="AQ83" s="267" t="s">
        <v>282</v>
      </c>
      <c r="AR83" s="267" t="s">
        <v>282</v>
      </c>
      <c r="AS83" s="267" t="s">
        <v>282</v>
      </c>
      <c r="AT83" s="267" t="s">
        <v>282</v>
      </c>
      <c r="AU83" s="267" t="s">
        <v>282</v>
      </c>
      <c r="AV83" s="267" t="s">
        <v>282</v>
      </c>
      <c r="AW83" s="267" t="s">
        <v>282</v>
      </c>
      <c r="AX83" s="267" t="s">
        <v>282</v>
      </c>
      <c r="AY83" s="267" t="s">
        <v>282</v>
      </c>
      <c r="AZ83" s="267" t="s">
        <v>282</v>
      </c>
      <c r="BA83" s="267" t="s">
        <v>282</v>
      </c>
      <c r="BB83" s="267" t="s">
        <v>282</v>
      </c>
      <c r="BC83" s="267" t="s">
        <v>282</v>
      </c>
      <c r="BD83" s="267" t="s">
        <v>282</v>
      </c>
      <c r="BE83" s="267" t="s">
        <v>282</v>
      </c>
      <c r="BF83" s="267" t="s">
        <v>282</v>
      </c>
      <c r="BG83" s="267" t="s">
        <v>282</v>
      </c>
      <c r="BH83" s="267" t="s">
        <v>282</v>
      </c>
      <c r="BI83" s="267" t="s">
        <v>282</v>
      </c>
      <c r="BJ83" s="267" t="s">
        <v>282</v>
      </c>
      <c r="BK83" s="267" t="s">
        <v>282</v>
      </c>
      <c r="BL83" s="267" t="s">
        <v>282</v>
      </c>
      <c r="BM83" s="267" t="s">
        <v>282</v>
      </c>
      <c r="BN83" s="267" t="s">
        <v>282</v>
      </c>
      <c r="BO83" s="267" t="s">
        <v>282</v>
      </c>
      <c r="BP83" s="267" t="s">
        <v>282</v>
      </c>
      <c r="BQ83" s="267" t="s">
        <v>282</v>
      </c>
      <c r="BR83" s="267" t="s">
        <v>282</v>
      </c>
      <c r="BS83" s="267" t="s">
        <v>282</v>
      </c>
      <c r="BT83" s="267" t="s">
        <v>282</v>
      </c>
      <c r="BU83" s="267" t="s">
        <v>282</v>
      </c>
      <c r="BV83" s="267" t="s">
        <v>282</v>
      </c>
      <c r="BW83" s="267" t="s">
        <v>282</v>
      </c>
      <c r="BX83" s="267" t="s">
        <v>282</v>
      </c>
      <c r="BY83" s="267" t="s">
        <v>282</v>
      </c>
      <c r="BZ83" s="267" t="s">
        <v>282</v>
      </c>
      <c r="CA83" s="267" t="s">
        <v>282</v>
      </c>
      <c r="CB83" s="267" t="s">
        <v>282</v>
      </c>
      <c r="CC83" s="267" t="s">
        <v>282</v>
      </c>
      <c r="CD83" s="267" t="s">
        <v>282</v>
      </c>
      <c r="CE83" s="32">
        <f t="shared" si="11"/>
        <v>0</v>
      </c>
    </row>
    <row r="84" spans="1:84" x14ac:dyDescent="0.25">
      <c r="A84" s="33" t="s">
        <v>268</v>
      </c>
      <c r="B84" s="20"/>
      <c r="C84" s="24">
        <v>3529</v>
      </c>
      <c r="D84" s="24"/>
      <c r="E84" s="30">
        <v>36794.312456667438</v>
      </c>
      <c r="F84" s="30"/>
      <c r="G84" s="24"/>
      <c r="H84" s="24"/>
      <c r="I84" s="30"/>
      <c r="J84" s="30">
        <v>1650.7002542177026</v>
      </c>
      <c r="K84" s="30"/>
      <c r="L84" s="30">
        <v>1294.0674832447423</v>
      </c>
      <c r="M84" s="24">
        <v>53710</v>
      </c>
      <c r="N84" s="24"/>
      <c r="O84" s="24">
        <v>886.48717356135887</v>
      </c>
      <c r="P84" s="30">
        <v>62448</v>
      </c>
      <c r="Q84" s="30"/>
      <c r="R84" s="31">
        <v>35672</v>
      </c>
      <c r="S84" s="30">
        <v>-105097</v>
      </c>
      <c r="T84" s="24"/>
      <c r="U84" s="30">
        <v>158620</v>
      </c>
      <c r="V84" s="30"/>
      <c r="W84" s="24">
        <v>24306</v>
      </c>
      <c r="X84" s="30">
        <v>67718</v>
      </c>
      <c r="Y84" s="30">
        <v>271087</v>
      </c>
      <c r="Z84" s="30"/>
      <c r="AA84" s="30">
        <v>5680</v>
      </c>
      <c r="AB84" s="30">
        <v>100293</v>
      </c>
      <c r="AC84" s="30">
        <v>20936</v>
      </c>
      <c r="AD84" s="30"/>
      <c r="AE84" s="30">
        <v>25669</v>
      </c>
      <c r="AF84" s="30"/>
      <c r="AG84" s="30">
        <v>34935</v>
      </c>
      <c r="AH84" s="30"/>
      <c r="AI84" s="30"/>
      <c r="AJ84" s="30">
        <v>212071</v>
      </c>
      <c r="AK84" s="30"/>
      <c r="AL84" s="30"/>
      <c r="AM84" s="30"/>
      <c r="AN84" s="30"/>
      <c r="AO84" s="24">
        <v>3464.4326323087589</v>
      </c>
      <c r="AP84" s="30">
        <v>3796</v>
      </c>
      <c r="AQ84" s="24"/>
      <c r="AR84" s="24">
        <v>92692</v>
      </c>
      <c r="AS84" s="24"/>
      <c r="AT84" s="24"/>
      <c r="AU84" s="30"/>
      <c r="AV84" s="30">
        <v>2713</v>
      </c>
      <c r="AW84" s="30"/>
      <c r="AX84" s="30"/>
      <c r="AY84" s="30">
        <v>7660</v>
      </c>
      <c r="AZ84" s="30"/>
      <c r="BA84" s="30"/>
      <c r="BB84" s="30"/>
      <c r="BC84" s="30"/>
      <c r="BD84" s="30"/>
      <c r="BE84" s="30">
        <v>84341</v>
      </c>
      <c r="BF84" s="30">
        <v>6806</v>
      </c>
      <c r="BG84" s="30">
        <v>-8764</v>
      </c>
      <c r="BH84" s="31">
        <v>38717</v>
      </c>
      <c r="BI84" s="30"/>
      <c r="BJ84" s="30"/>
      <c r="BK84" s="30">
        <v>258756</v>
      </c>
      <c r="BL84" s="30"/>
      <c r="BM84" s="30"/>
      <c r="BN84" s="30"/>
      <c r="BO84" s="30">
        <v>3057</v>
      </c>
      <c r="BP84" s="30"/>
      <c r="BQ84" s="30"/>
      <c r="BR84" s="30">
        <v>78255</v>
      </c>
      <c r="BS84" s="30"/>
      <c r="BT84" s="30"/>
      <c r="BU84" s="30"/>
      <c r="BV84" s="30">
        <v>31</v>
      </c>
      <c r="BW84" s="30"/>
      <c r="BX84" s="30"/>
      <c r="BY84" s="30">
        <v>68752</v>
      </c>
      <c r="BZ84" s="30"/>
      <c r="CA84" s="30"/>
      <c r="CB84" s="30"/>
      <c r="CC84" s="30">
        <v>717041</v>
      </c>
      <c r="CD84" s="35">
        <v>3048547</v>
      </c>
      <c r="CE84" s="32">
        <f t="shared" si="11"/>
        <v>5418067</v>
      </c>
    </row>
    <row r="85" spans="1:84" x14ac:dyDescent="0.25">
      <c r="A85" s="39" t="s">
        <v>269</v>
      </c>
      <c r="B85" s="20"/>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35">
        <v>9226620</v>
      </c>
      <c r="CE85" s="32">
        <f t="shared" si="11"/>
        <v>9226620</v>
      </c>
    </row>
    <row r="86" spans="1:84" x14ac:dyDescent="0.25">
      <c r="A86" s="39" t="s">
        <v>270</v>
      </c>
      <c r="B86" s="32"/>
      <c r="C86" s="32">
        <f>SUM(C62:C70)-C85</f>
        <v>1445216</v>
      </c>
      <c r="D86" s="32">
        <f t="shared" ref="D86:BO86" si="12">SUM(D62:D70)-D85</f>
        <v>0</v>
      </c>
      <c r="E86" s="32">
        <f t="shared" si="12"/>
        <v>7690962.5491102384</v>
      </c>
      <c r="F86" s="32">
        <f t="shared" si="12"/>
        <v>0</v>
      </c>
      <c r="G86" s="32">
        <f t="shared" si="12"/>
        <v>0</v>
      </c>
      <c r="H86" s="32">
        <f t="shared" si="12"/>
        <v>0</v>
      </c>
      <c r="I86" s="32">
        <f t="shared" si="12"/>
        <v>0</v>
      </c>
      <c r="J86" s="32">
        <f t="shared" si="12"/>
        <v>345044.37855327019</v>
      </c>
      <c r="K86" s="32">
        <f t="shared" si="12"/>
        <v>0</v>
      </c>
      <c r="L86" s="32">
        <f t="shared" si="12"/>
        <v>270502.8523226254</v>
      </c>
      <c r="M86" s="32">
        <f t="shared" si="12"/>
        <v>1914611</v>
      </c>
      <c r="N86" s="32">
        <f t="shared" si="12"/>
        <v>0</v>
      </c>
      <c r="O86" s="32">
        <f t="shared" si="12"/>
        <v>185312.53663045989</v>
      </c>
      <c r="P86" s="32">
        <f t="shared" si="12"/>
        <v>3310703</v>
      </c>
      <c r="Q86" s="32">
        <f t="shared" si="12"/>
        <v>870664</v>
      </c>
      <c r="R86" s="32">
        <f t="shared" si="12"/>
        <v>1658612</v>
      </c>
      <c r="S86" s="32">
        <f t="shared" si="12"/>
        <v>3600449</v>
      </c>
      <c r="T86" s="32">
        <f t="shared" si="12"/>
        <v>0</v>
      </c>
      <c r="U86" s="32">
        <f t="shared" si="12"/>
        <v>7587469</v>
      </c>
      <c r="V86" s="32">
        <f t="shared" si="12"/>
        <v>0</v>
      </c>
      <c r="W86" s="32">
        <f t="shared" si="12"/>
        <v>279051</v>
      </c>
      <c r="X86" s="32">
        <f t="shared" si="12"/>
        <v>777482</v>
      </c>
      <c r="Y86" s="32">
        <f t="shared" si="12"/>
        <v>3112374</v>
      </c>
      <c r="Z86" s="32">
        <f t="shared" si="12"/>
        <v>0</v>
      </c>
      <c r="AA86" s="32">
        <f t="shared" si="12"/>
        <v>65219</v>
      </c>
      <c r="AB86" s="32">
        <f t="shared" si="12"/>
        <v>20498516</v>
      </c>
      <c r="AC86" s="32">
        <f t="shared" si="12"/>
        <v>1949324</v>
      </c>
      <c r="AD86" s="32">
        <f t="shared" si="12"/>
        <v>0</v>
      </c>
      <c r="AE86" s="32">
        <f t="shared" si="12"/>
        <v>4000183</v>
      </c>
      <c r="AF86" s="32">
        <f t="shared" si="12"/>
        <v>0</v>
      </c>
      <c r="AG86" s="32">
        <f t="shared" si="12"/>
        <v>6522857</v>
      </c>
      <c r="AH86" s="32">
        <f t="shared" si="12"/>
        <v>0</v>
      </c>
      <c r="AI86" s="32">
        <f t="shared" si="12"/>
        <v>0</v>
      </c>
      <c r="AJ86" s="32">
        <f t="shared" si="12"/>
        <v>33777384</v>
      </c>
      <c r="AK86" s="32">
        <f t="shared" si="12"/>
        <v>0</v>
      </c>
      <c r="AL86" s="32">
        <f t="shared" si="12"/>
        <v>0</v>
      </c>
      <c r="AM86" s="32">
        <f t="shared" si="12"/>
        <v>0</v>
      </c>
      <c r="AN86" s="32">
        <f t="shared" si="12"/>
        <v>0</v>
      </c>
      <c r="AO86" s="32">
        <f t="shared" si="12"/>
        <v>724144.68338340649</v>
      </c>
      <c r="AP86" s="32">
        <f t="shared" si="12"/>
        <v>1405714</v>
      </c>
      <c r="AQ86" s="32">
        <f t="shared" si="12"/>
        <v>0</v>
      </c>
      <c r="AR86" s="32">
        <f t="shared" si="12"/>
        <v>2784239</v>
      </c>
      <c r="AS86" s="32">
        <f t="shared" si="12"/>
        <v>0</v>
      </c>
      <c r="AT86" s="32">
        <f t="shared" si="12"/>
        <v>0</v>
      </c>
      <c r="AU86" s="32">
        <f t="shared" si="12"/>
        <v>0</v>
      </c>
      <c r="AV86" s="32">
        <f t="shared" si="12"/>
        <v>3110776</v>
      </c>
      <c r="AW86" s="32">
        <f t="shared" si="12"/>
        <v>0</v>
      </c>
      <c r="AX86" s="32">
        <f t="shared" si="12"/>
        <v>0</v>
      </c>
      <c r="AY86" s="32">
        <f t="shared" si="12"/>
        <v>1545624</v>
      </c>
      <c r="AZ86" s="32">
        <f t="shared" si="12"/>
        <v>0</v>
      </c>
      <c r="BA86" s="32">
        <f t="shared" si="12"/>
        <v>386095</v>
      </c>
      <c r="BB86" s="32">
        <f t="shared" si="12"/>
        <v>0</v>
      </c>
      <c r="BC86" s="32">
        <f t="shared" si="12"/>
        <v>0</v>
      </c>
      <c r="BD86" s="32">
        <f t="shared" si="12"/>
        <v>427029</v>
      </c>
      <c r="BE86" s="32">
        <f t="shared" si="12"/>
        <v>3053129</v>
      </c>
      <c r="BF86" s="32">
        <f t="shared" si="12"/>
        <v>1597177</v>
      </c>
      <c r="BG86" s="32">
        <f t="shared" si="12"/>
        <v>252219</v>
      </c>
      <c r="BH86" s="32">
        <f t="shared" si="12"/>
        <v>4043198</v>
      </c>
      <c r="BI86" s="32">
        <f t="shared" si="12"/>
        <v>0</v>
      </c>
      <c r="BJ86" s="32">
        <f t="shared" si="12"/>
        <v>0</v>
      </c>
      <c r="BK86" s="32">
        <f t="shared" si="12"/>
        <v>2351073</v>
      </c>
      <c r="BL86" s="32">
        <f t="shared" si="12"/>
        <v>968563</v>
      </c>
      <c r="BM86" s="32">
        <f t="shared" si="12"/>
        <v>0</v>
      </c>
      <c r="BN86" s="32">
        <f t="shared" si="12"/>
        <v>0</v>
      </c>
      <c r="BO86" s="32">
        <f t="shared" si="12"/>
        <v>71150</v>
      </c>
      <c r="BP86" s="32">
        <f t="shared" ref="BP86:CD86" si="13">SUM(BP62:BP70)-BP85</f>
        <v>0</v>
      </c>
      <c r="BQ86" s="32">
        <f t="shared" si="13"/>
        <v>0</v>
      </c>
      <c r="BR86" s="32">
        <f t="shared" si="13"/>
        <v>1602780</v>
      </c>
      <c r="BS86" s="32">
        <f t="shared" si="13"/>
        <v>0</v>
      </c>
      <c r="BT86" s="32">
        <f t="shared" si="13"/>
        <v>0</v>
      </c>
      <c r="BU86" s="32">
        <f t="shared" si="13"/>
        <v>0</v>
      </c>
      <c r="BV86" s="32">
        <f t="shared" si="13"/>
        <v>831122</v>
      </c>
      <c r="BW86" s="32">
        <f t="shared" si="13"/>
        <v>0</v>
      </c>
      <c r="BX86" s="32">
        <f t="shared" si="13"/>
        <v>0</v>
      </c>
      <c r="BY86" s="32">
        <f t="shared" si="13"/>
        <v>2972307</v>
      </c>
      <c r="BZ86" s="32">
        <f t="shared" si="13"/>
        <v>0</v>
      </c>
      <c r="CA86" s="32">
        <f t="shared" si="13"/>
        <v>0</v>
      </c>
      <c r="CB86" s="32">
        <f t="shared" si="13"/>
        <v>0</v>
      </c>
      <c r="CC86" s="32">
        <f t="shared" si="13"/>
        <v>8250678</v>
      </c>
      <c r="CD86" s="32">
        <f t="shared" si="13"/>
        <v>-6178073</v>
      </c>
      <c r="CE86" s="32">
        <f t="shared" si="11"/>
        <v>130060881</v>
      </c>
    </row>
    <row r="87" spans="1:84" x14ac:dyDescent="0.25">
      <c r="A87" s="39" t="s">
        <v>271</v>
      </c>
      <c r="B87" s="32"/>
      <c r="C87" s="29" t="s">
        <v>233</v>
      </c>
      <c r="D87" s="29" t="s">
        <v>233</v>
      </c>
      <c r="E87" s="29" t="s">
        <v>233</v>
      </c>
      <c r="F87" s="29" t="s">
        <v>233</v>
      </c>
      <c r="G87" s="29" t="s">
        <v>233</v>
      </c>
      <c r="H87" s="29" t="s">
        <v>233</v>
      </c>
      <c r="I87" s="29" t="s">
        <v>233</v>
      </c>
      <c r="J87" s="29" t="s">
        <v>233</v>
      </c>
      <c r="K87" s="36" t="s">
        <v>233</v>
      </c>
      <c r="L87" s="29" t="s">
        <v>233</v>
      </c>
      <c r="M87" s="29" t="s">
        <v>233</v>
      </c>
      <c r="N87" s="29" t="s">
        <v>233</v>
      </c>
      <c r="O87" s="29" t="s">
        <v>233</v>
      </c>
      <c r="P87" s="29" t="s">
        <v>233</v>
      </c>
      <c r="Q87" s="29" t="s">
        <v>233</v>
      </c>
      <c r="R87" s="29" t="s">
        <v>233</v>
      </c>
      <c r="S87" s="29" t="s">
        <v>233</v>
      </c>
      <c r="T87" s="29" t="s">
        <v>233</v>
      </c>
      <c r="U87" s="29" t="s">
        <v>233</v>
      </c>
      <c r="V87" s="29" t="s">
        <v>233</v>
      </c>
      <c r="W87" s="29" t="s">
        <v>233</v>
      </c>
      <c r="X87" s="29" t="s">
        <v>233</v>
      </c>
      <c r="Y87" s="29" t="s">
        <v>233</v>
      </c>
      <c r="Z87" s="29" t="s">
        <v>233</v>
      </c>
      <c r="AA87" s="29" t="s">
        <v>233</v>
      </c>
      <c r="AB87" s="29" t="s">
        <v>233</v>
      </c>
      <c r="AC87" s="29" t="s">
        <v>233</v>
      </c>
      <c r="AD87" s="29" t="s">
        <v>233</v>
      </c>
      <c r="AE87" s="29" t="s">
        <v>233</v>
      </c>
      <c r="AF87" s="29" t="s">
        <v>233</v>
      </c>
      <c r="AG87" s="29" t="s">
        <v>233</v>
      </c>
      <c r="AH87" s="29" t="s">
        <v>233</v>
      </c>
      <c r="AI87" s="29" t="s">
        <v>233</v>
      </c>
      <c r="AJ87" s="29" t="s">
        <v>233</v>
      </c>
      <c r="AK87" s="29" t="s">
        <v>233</v>
      </c>
      <c r="AL87" s="29" t="s">
        <v>233</v>
      </c>
      <c r="AM87" s="29" t="s">
        <v>233</v>
      </c>
      <c r="AN87" s="29" t="s">
        <v>233</v>
      </c>
      <c r="AO87" s="29" t="s">
        <v>233</v>
      </c>
      <c r="AP87" s="29" t="s">
        <v>233</v>
      </c>
      <c r="AQ87" s="29" t="s">
        <v>233</v>
      </c>
      <c r="AR87" s="29" t="s">
        <v>233</v>
      </c>
      <c r="AS87" s="29" t="s">
        <v>233</v>
      </c>
      <c r="AT87" s="29" t="s">
        <v>233</v>
      </c>
      <c r="AU87" s="29" t="s">
        <v>233</v>
      </c>
      <c r="AV87" s="29" t="s">
        <v>233</v>
      </c>
      <c r="AW87" s="29" t="s">
        <v>233</v>
      </c>
      <c r="AX87" s="29" t="s">
        <v>233</v>
      </c>
      <c r="AY87" s="29" t="s">
        <v>233</v>
      </c>
      <c r="AZ87" s="29" t="s">
        <v>233</v>
      </c>
      <c r="BA87" s="29" t="s">
        <v>233</v>
      </c>
      <c r="BB87" s="29" t="s">
        <v>233</v>
      </c>
      <c r="BC87" s="29" t="s">
        <v>233</v>
      </c>
      <c r="BD87" s="29" t="s">
        <v>233</v>
      </c>
      <c r="BE87" s="29" t="s">
        <v>233</v>
      </c>
      <c r="BF87" s="29" t="s">
        <v>233</v>
      </c>
      <c r="BG87" s="29" t="s">
        <v>233</v>
      </c>
      <c r="BH87" s="29" t="s">
        <v>233</v>
      </c>
      <c r="BI87" s="29" t="s">
        <v>233</v>
      </c>
      <c r="BJ87" s="29" t="s">
        <v>233</v>
      </c>
      <c r="BK87" s="29" t="s">
        <v>233</v>
      </c>
      <c r="BL87" s="29" t="s">
        <v>233</v>
      </c>
      <c r="BM87" s="29" t="s">
        <v>233</v>
      </c>
      <c r="BN87" s="29" t="s">
        <v>233</v>
      </c>
      <c r="BO87" s="29" t="s">
        <v>233</v>
      </c>
      <c r="BP87" s="29" t="s">
        <v>233</v>
      </c>
      <c r="BQ87" s="29" t="s">
        <v>233</v>
      </c>
      <c r="BR87" s="29" t="s">
        <v>233</v>
      </c>
      <c r="BS87" s="29" t="s">
        <v>233</v>
      </c>
      <c r="BT87" s="29" t="s">
        <v>233</v>
      </c>
      <c r="BU87" s="29" t="s">
        <v>233</v>
      </c>
      <c r="BV87" s="29" t="s">
        <v>233</v>
      </c>
      <c r="BW87" s="29" t="s">
        <v>233</v>
      </c>
      <c r="BX87" s="29" t="s">
        <v>233</v>
      </c>
      <c r="BY87" s="29" t="s">
        <v>233</v>
      </c>
      <c r="BZ87" s="29" t="s">
        <v>233</v>
      </c>
      <c r="CA87" s="29" t="s">
        <v>233</v>
      </c>
      <c r="CB87" s="29" t="s">
        <v>233</v>
      </c>
      <c r="CC87" s="29" t="s">
        <v>233</v>
      </c>
      <c r="CD87" s="29" t="s">
        <v>233</v>
      </c>
      <c r="CE87" s="35" t="s">
        <v>282</v>
      </c>
    </row>
    <row r="88" spans="1:84" x14ac:dyDescent="0.25">
      <c r="A88" s="26" t="s">
        <v>272</v>
      </c>
      <c r="B88" s="20"/>
      <c r="C88" s="207">
        <v>3388000</v>
      </c>
      <c r="D88" s="207"/>
      <c r="E88" s="207">
        <v>9327211.3309452273</v>
      </c>
      <c r="F88" s="207"/>
      <c r="G88" s="207"/>
      <c r="H88" s="207"/>
      <c r="I88" s="207"/>
      <c r="J88" s="207">
        <v>418445.92512133118</v>
      </c>
      <c r="K88" s="207"/>
      <c r="L88" s="207">
        <v>328040.94129882136</v>
      </c>
      <c r="M88" s="207"/>
      <c r="N88" s="207"/>
      <c r="O88" s="207">
        <v>224720.95978738155</v>
      </c>
      <c r="P88" s="207">
        <v>7047727</v>
      </c>
      <c r="Q88" s="207">
        <v>449290</v>
      </c>
      <c r="R88" s="207">
        <v>2332677</v>
      </c>
      <c r="S88" s="207">
        <v>10232</v>
      </c>
      <c r="T88" s="207"/>
      <c r="U88" s="207">
        <v>2130036</v>
      </c>
      <c r="V88" s="207"/>
      <c r="W88" s="207">
        <v>290978</v>
      </c>
      <c r="X88" s="207">
        <v>1301388</v>
      </c>
      <c r="Y88" s="207">
        <v>1248110</v>
      </c>
      <c r="Z88" s="207"/>
      <c r="AA88" s="207">
        <v>5422</v>
      </c>
      <c r="AB88" s="207">
        <v>4289660</v>
      </c>
      <c r="AC88" s="207">
        <v>2082986</v>
      </c>
      <c r="AD88" s="207"/>
      <c r="AE88" s="207">
        <v>737246</v>
      </c>
      <c r="AF88" s="207"/>
      <c r="AG88" s="207">
        <v>1613812</v>
      </c>
      <c r="AH88" s="207"/>
      <c r="AI88" s="207"/>
      <c r="AJ88" s="207">
        <v>1629119</v>
      </c>
      <c r="AK88" s="207"/>
      <c r="AL88" s="207"/>
      <c r="AM88" s="207"/>
      <c r="AN88" s="207"/>
      <c r="AO88" s="207">
        <v>878219.84284723818</v>
      </c>
      <c r="AP88" s="207">
        <v>51453</v>
      </c>
      <c r="AQ88" s="207"/>
      <c r="AR88" s="207"/>
      <c r="AS88" s="207"/>
      <c r="AT88" s="207"/>
      <c r="AU88" s="207"/>
      <c r="AV88" s="207">
        <v>13459</v>
      </c>
      <c r="AW88" s="29" t="s">
        <v>233</v>
      </c>
      <c r="AX88" s="29" t="s">
        <v>233</v>
      </c>
      <c r="AY88" s="29" t="s">
        <v>233</v>
      </c>
      <c r="AZ88" s="29" t="s">
        <v>233</v>
      </c>
      <c r="BA88" s="29" t="s">
        <v>233</v>
      </c>
      <c r="BB88" s="29" t="s">
        <v>233</v>
      </c>
      <c r="BC88" s="29" t="s">
        <v>233</v>
      </c>
      <c r="BD88" s="29" t="s">
        <v>233</v>
      </c>
      <c r="BE88" s="29" t="s">
        <v>233</v>
      </c>
      <c r="BF88" s="29" t="s">
        <v>233</v>
      </c>
      <c r="BG88" s="29" t="s">
        <v>233</v>
      </c>
      <c r="BH88" s="29" t="s">
        <v>233</v>
      </c>
      <c r="BI88" s="29" t="s">
        <v>233</v>
      </c>
      <c r="BJ88" s="29" t="s">
        <v>233</v>
      </c>
      <c r="BK88" s="29" t="s">
        <v>233</v>
      </c>
      <c r="BL88" s="29" t="s">
        <v>233</v>
      </c>
      <c r="BM88" s="29" t="s">
        <v>233</v>
      </c>
      <c r="BN88" s="29" t="s">
        <v>233</v>
      </c>
      <c r="BO88" s="29" t="s">
        <v>233</v>
      </c>
      <c r="BP88" s="29" t="s">
        <v>233</v>
      </c>
      <c r="BQ88" s="29" t="s">
        <v>233</v>
      </c>
      <c r="BR88" s="29" t="s">
        <v>233</v>
      </c>
      <c r="BS88" s="29" t="s">
        <v>233</v>
      </c>
      <c r="BT88" s="29" t="s">
        <v>233</v>
      </c>
      <c r="BU88" s="29" t="s">
        <v>233</v>
      </c>
      <c r="BV88" s="29" t="s">
        <v>233</v>
      </c>
      <c r="BW88" s="29" t="s">
        <v>233</v>
      </c>
      <c r="BX88" s="29" t="s">
        <v>233</v>
      </c>
      <c r="BY88" s="29" t="s">
        <v>233</v>
      </c>
      <c r="BZ88" s="29" t="s">
        <v>233</v>
      </c>
      <c r="CA88" s="29" t="s">
        <v>233</v>
      </c>
      <c r="CB88" s="29" t="s">
        <v>233</v>
      </c>
      <c r="CC88" s="29" t="s">
        <v>233</v>
      </c>
      <c r="CD88" s="29" t="s">
        <v>233</v>
      </c>
      <c r="CE88" s="32">
        <f t="shared" ref="CE88:CE95" si="14">SUM(C88:CD88)</f>
        <v>39798234</v>
      </c>
    </row>
    <row r="89" spans="1:84" x14ac:dyDescent="0.25">
      <c r="A89" s="26" t="s">
        <v>273</v>
      </c>
      <c r="B89" s="20"/>
      <c r="C89" s="207">
        <v>22685</v>
      </c>
      <c r="D89" s="207"/>
      <c r="E89" s="207">
        <v>1971299.728449272</v>
      </c>
      <c r="F89" s="207"/>
      <c r="G89" s="207"/>
      <c r="H89" s="207"/>
      <c r="I89" s="207"/>
      <c r="J89" s="207">
        <v>88438.259764270857</v>
      </c>
      <c r="K89" s="207"/>
      <c r="L89" s="207">
        <v>69331.228333718507</v>
      </c>
      <c r="M89" s="207">
        <v>3799340</v>
      </c>
      <c r="N89" s="207"/>
      <c r="O89" s="207">
        <v>47494.62098451583</v>
      </c>
      <c r="P89" s="207">
        <v>25711638</v>
      </c>
      <c r="Q89" s="207">
        <v>5078803</v>
      </c>
      <c r="R89" s="207">
        <v>9244669</v>
      </c>
      <c r="S89" s="207">
        <v>478764</v>
      </c>
      <c r="T89" s="207"/>
      <c r="U89" s="207">
        <v>20483476</v>
      </c>
      <c r="V89" s="207"/>
      <c r="W89" s="207">
        <v>5578971</v>
      </c>
      <c r="X89" s="207">
        <v>16128524</v>
      </c>
      <c r="Y89" s="207">
        <v>13301452</v>
      </c>
      <c r="Z89" s="207"/>
      <c r="AA89" s="207">
        <v>2874903</v>
      </c>
      <c r="AB89" s="207">
        <v>48870726</v>
      </c>
      <c r="AC89" s="207">
        <v>5151797</v>
      </c>
      <c r="AD89" s="207"/>
      <c r="AE89" s="207">
        <v>10547972</v>
      </c>
      <c r="AF89" s="207"/>
      <c r="AG89" s="207">
        <v>32647744</v>
      </c>
      <c r="AH89" s="207"/>
      <c r="AI89" s="207"/>
      <c r="AJ89" s="207">
        <v>44788442</v>
      </c>
      <c r="AK89" s="207"/>
      <c r="AL89" s="207"/>
      <c r="AM89" s="207"/>
      <c r="AN89" s="207"/>
      <c r="AO89" s="207">
        <v>185611.16246822278</v>
      </c>
      <c r="AP89" s="207">
        <v>1735985</v>
      </c>
      <c r="AQ89" s="207"/>
      <c r="AR89" s="207">
        <v>2354517</v>
      </c>
      <c r="AS89" s="207"/>
      <c r="AT89" s="207"/>
      <c r="AU89" s="207"/>
      <c r="AV89" s="207">
        <v>7034765</v>
      </c>
      <c r="AW89" s="29" t="s">
        <v>233</v>
      </c>
      <c r="AX89" s="29" t="s">
        <v>233</v>
      </c>
      <c r="AY89" s="29" t="s">
        <v>233</v>
      </c>
      <c r="AZ89" s="29" t="s">
        <v>233</v>
      </c>
      <c r="BA89" s="29" t="s">
        <v>233</v>
      </c>
      <c r="BB89" s="29" t="s">
        <v>233</v>
      </c>
      <c r="BC89" s="29" t="s">
        <v>233</v>
      </c>
      <c r="BD89" s="29" t="s">
        <v>233</v>
      </c>
      <c r="BE89" s="29" t="s">
        <v>233</v>
      </c>
      <c r="BF89" s="29" t="s">
        <v>233</v>
      </c>
      <c r="BG89" s="29" t="s">
        <v>233</v>
      </c>
      <c r="BH89" s="29" t="s">
        <v>233</v>
      </c>
      <c r="BI89" s="29" t="s">
        <v>233</v>
      </c>
      <c r="BJ89" s="29" t="s">
        <v>233</v>
      </c>
      <c r="BK89" s="29" t="s">
        <v>233</v>
      </c>
      <c r="BL89" s="29" t="s">
        <v>233</v>
      </c>
      <c r="BM89" s="29" t="s">
        <v>233</v>
      </c>
      <c r="BN89" s="29" t="s">
        <v>233</v>
      </c>
      <c r="BO89" s="29" t="s">
        <v>233</v>
      </c>
      <c r="BP89" s="29" t="s">
        <v>233</v>
      </c>
      <c r="BQ89" s="29" t="s">
        <v>233</v>
      </c>
      <c r="BR89" s="29" t="s">
        <v>233</v>
      </c>
      <c r="BS89" s="29" t="s">
        <v>233</v>
      </c>
      <c r="BT89" s="29" t="s">
        <v>233</v>
      </c>
      <c r="BU89" s="29" t="s">
        <v>233</v>
      </c>
      <c r="BV89" s="29" t="s">
        <v>233</v>
      </c>
      <c r="BW89" s="29" t="s">
        <v>233</v>
      </c>
      <c r="BX89" s="29" t="s">
        <v>233</v>
      </c>
      <c r="BY89" s="29" t="s">
        <v>233</v>
      </c>
      <c r="BZ89" s="29" t="s">
        <v>233</v>
      </c>
      <c r="CA89" s="29" t="s">
        <v>233</v>
      </c>
      <c r="CB89" s="29" t="s">
        <v>233</v>
      </c>
      <c r="CC89" s="29" t="s">
        <v>233</v>
      </c>
      <c r="CD89" s="29" t="s">
        <v>233</v>
      </c>
      <c r="CE89" s="32">
        <f t="shared" si="14"/>
        <v>258197348</v>
      </c>
    </row>
    <row r="90" spans="1:84" x14ac:dyDescent="0.25">
      <c r="A90" s="26" t="s">
        <v>274</v>
      </c>
      <c r="B90" s="20"/>
      <c r="C90" s="32">
        <f>C88+C89</f>
        <v>3410685</v>
      </c>
      <c r="D90" s="32">
        <f t="shared" ref="D90:AV90" si="15">D88+D89</f>
        <v>0</v>
      </c>
      <c r="E90" s="32">
        <f t="shared" si="15"/>
        <v>11298511.059394499</v>
      </c>
      <c r="F90" s="32">
        <f t="shared" si="15"/>
        <v>0</v>
      </c>
      <c r="G90" s="32">
        <f t="shared" si="15"/>
        <v>0</v>
      </c>
      <c r="H90" s="32">
        <f t="shared" si="15"/>
        <v>0</v>
      </c>
      <c r="I90" s="32">
        <f t="shared" si="15"/>
        <v>0</v>
      </c>
      <c r="J90" s="32">
        <f t="shared" si="15"/>
        <v>506884.18488560204</v>
      </c>
      <c r="K90" s="32">
        <f t="shared" si="15"/>
        <v>0</v>
      </c>
      <c r="L90" s="32">
        <f t="shared" si="15"/>
        <v>397372.16963253985</v>
      </c>
      <c r="M90" s="32">
        <f t="shared" si="15"/>
        <v>3799340</v>
      </c>
      <c r="N90" s="32">
        <f t="shared" si="15"/>
        <v>0</v>
      </c>
      <c r="O90" s="32">
        <f t="shared" si="15"/>
        <v>272215.5807718974</v>
      </c>
      <c r="P90" s="32">
        <f t="shared" si="15"/>
        <v>32759365</v>
      </c>
      <c r="Q90" s="32">
        <f t="shared" si="15"/>
        <v>5528093</v>
      </c>
      <c r="R90" s="32">
        <f t="shared" si="15"/>
        <v>11577346</v>
      </c>
      <c r="S90" s="32">
        <f t="shared" si="15"/>
        <v>488996</v>
      </c>
      <c r="T90" s="32">
        <f t="shared" si="15"/>
        <v>0</v>
      </c>
      <c r="U90" s="32">
        <f t="shared" si="15"/>
        <v>22613512</v>
      </c>
      <c r="V90" s="32">
        <f t="shared" si="15"/>
        <v>0</v>
      </c>
      <c r="W90" s="32">
        <f t="shared" si="15"/>
        <v>5869949</v>
      </c>
      <c r="X90" s="32">
        <f t="shared" si="15"/>
        <v>17429912</v>
      </c>
      <c r="Y90" s="32">
        <f t="shared" si="15"/>
        <v>14549562</v>
      </c>
      <c r="Z90" s="32">
        <f t="shared" si="15"/>
        <v>0</v>
      </c>
      <c r="AA90" s="32">
        <f t="shared" si="15"/>
        <v>2880325</v>
      </c>
      <c r="AB90" s="32">
        <f t="shared" si="15"/>
        <v>53160386</v>
      </c>
      <c r="AC90" s="32">
        <f t="shared" si="15"/>
        <v>7234783</v>
      </c>
      <c r="AD90" s="32">
        <f t="shared" si="15"/>
        <v>0</v>
      </c>
      <c r="AE90" s="32">
        <f t="shared" si="15"/>
        <v>11285218</v>
      </c>
      <c r="AF90" s="32">
        <f t="shared" si="15"/>
        <v>0</v>
      </c>
      <c r="AG90" s="32">
        <f t="shared" si="15"/>
        <v>34261556</v>
      </c>
      <c r="AH90" s="32">
        <f t="shared" si="15"/>
        <v>0</v>
      </c>
      <c r="AI90" s="32">
        <f t="shared" si="15"/>
        <v>0</v>
      </c>
      <c r="AJ90" s="32">
        <f t="shared" si="15"/>
        <v>46417561</v>
      </c>
      <c r="AK90" s="32">
        <f t="shared" si="15"/>
        <v>0</v>
      </c>
      <c r="AL90" s="32">
        <f t="shared" si="15"/>
        <v>0</v>
      </c>
      <c r="AM90" s="32">
        <f t="shared" si="15"/>
        <v>0</v>
      </c>
      <c r="AN90" s="32">
        <f t="shared" si="15"/>
        <v>0</v>
      </c>
      <c r="AO90" s="32">
        <f t="shared" si="15"/>
        <v>1063831.005315461</v>
      </c>
      <c r="AP90" s="32">
        <f t="shared" si="15"/>
        <v>1787438</v>
      </c>
      <c r="AQ90" s="32">
        <f t="shared" si="15"/>
        <v>0</v>
      </c>
      <c r="AR90" s="32">
        <f t="shared" si="15"/>
        <v>2354517</v>
      </c>
      <c r="AS90" s="32">
        <f t="shared" si="15"/>
        <v>0</v>
      </c>
      <c r="AT90" s="32">
        <f t="shared" si="15"/>
        <v>0</v>
      </c>
      <c r="AU90" s="32">
        <f t="shared" si="15"/>
        <v>0</v>
      </c>
      <c r="AV90" s="32">
        <f t="shared" si="15"/>
        <v>7048224</v>
      </c>
      <c r="AW90" s="29" t="s">
        <v>233</v>
      </c>
      <c r="AX90" s="29" t="s">
        <v>233</v>
      </c>
      <c r="AY90" s="29" t="s">
        <v>233</v>
      </c>
      <c r="AZ90" s="29" t="s">
        <v>233</v>
      </c>
      <c r="BA90" s="29" t="s">
        <v>233</v>
      </c>
      <c r="BB90" s="29" t="s">
        <v>233</v>
      </c>
      <c r="BC90" s="29" t="s">
        <v>233</v>
      </c>
      <c r="BD90" s="29" t="s">
        <v>233</v>
      </c>
      <c r="BE90" s="29" t="s">
        <v>233</v>
      </c>
      <c r="BF90" s="29" t="s">
        <v>233</v>
      </c>
      <c r="BG90" s="29" t="s">
        <v>233</v>
      </c>
      <c r="BH90" s="29" t="s">
        <v>233</v>
      </c>
      <c r="BI90" s="29" t="s">
        <v>233</v>
      </c>
      <c r="BJ90" s="29" t="s">
        <v>233</v>
      </c>
      <c r="BK90" s="29" t="s">
        <v>233</v>
      </c>
      <c r="BL90" s="29" t="s">
        <v>233</v>
      </c>
      <c r="BM90" s="29" t="s">
        <v>233</v>
      </c>
      <c r="BN90" s="29" t="s">
        <v>233</v>
      </c>
      <c r="BO90" s="29" t="s">
        <v>233</v>
      </c>
      <c r="BP90" s="29" t="s">
        <v>233</v>
      </c>
      <c r="BQ90" s="29" t="s">
        <v>233</v>
      </c>
      <c r="BR90" s="29" t="s">
        <v>233</v>
      </c>
      <c r="BS90" s="29" t="s">
        <v>233</v>
      </c>
      <c r="BT90" s="29" t="s">
        <v>233</v>
      </c>
      <c r="BU90" s="29" t="s">
        <v>233</v>
      </c>
      <c r="BV90" s="29" t="s">
        <v>233</v>
      </c>
      <c r="BW90" s="29" t="s">
        <v>233</v>
      </c>
      <c r="BX90" s="29" t="s">
        <v>233</v>
      </c>
      <c r="BY90" s="29" t="s">
        <v>233</v>
      </c>
      <c r="BZ90" s="29" t="s">
        <v>233</v>
      </c>
      <c r="CA90" s="29" t="s">
        <v>233</v>
      </c>
      <c r="CB90" s="29" t="s">
        <v>233</v>
      </c>
      <c r="CC90" s="29" t="s">
        <v>233</v>
      </c>
      <c r="CD90" s="29" t="s">
        <v>233</v>
      </c>
      <c r="CE90" s="32">
        <f t="shared" si="14"/>
        <v>297995582</v>
      </c>
    </row>
    <row r="91" spans="1:84" x14ac:dyDescent="0.25">
      <c r="A91" s="39" t="s">
        <v>275</v>
      </c>
      <c r="B91" s="32"/>
      <c r="C91" s="207">
        <v>2605</v>
      </c>
      <c r="D91" s="207"/>
      <c r="E91" s="207">
        <v>9403</v>
      </c>
      <c r="F91" s="207"/>
      <c r="G91" s="207"/>
      <c r="H91" s="207"/>
      <c r="I91" s="207"/>
      <c r="J91" s="207">
        <v>422</v>
      </c>
      <c r="K91" s="207"/>
      <c r="L91" s="207">
        <v>331</v>
      </c>
      <c r="M91" s="207"/>
      <c r="N91" s="207"/>
      <c r="O91" s="207">
        <v>227</v>
      </c>
      <c r="P91" s="207">
        <v>11952</v>
      </c>
      <c r="Q91" s="207">
        <v>589</v>
      </c>
      <c r="R91" s="207">
        <v>136</v>
      </c>
      <c r="S91" s="207">
        <v>3181</v>
      </c>
      <c r="T91" s="207"/>
      <c r="U91" s="207">
        <v>3921</v>
      </c>
      <c r="V91" s="207"/>
      <c r="W91" s="207">
        <v>435</v>
      </c>
      <c r="X91" s="207">
        <v>1213</v>
      </c>
      <c r="Y91" s="207">
        <v>4855</v>
      </c>
      <c r="Z91" s="207"/>
      <c r="AA91" s="207">
        <v>102</v>
      </c>
      <c r="AB91" s="207">
        <v>1507</v>
      </c>
      <c r="AC91" s="207">
        <v>3820</v>
      </c>
      <c r="AD91" s="207"/>
      <c r="AE91" s="207">
        <v>6488</v>
      </c>
      <c r="AF91" s="207"/>
      <c r="AG91" s="207">
        <v>6350</v>
      </c>
      <c r="AH91" s="207"/>
      <c r="AI91" s="207"/>
      <c r="AJ91" s="207">
        <v>31204</v>
      </c>
      <c r="AK91" s="207"/>
      <c r="AL91" s="207"/>
      <c r="AM91" s="207"/>
      <c r="AN91" s="207"/>
      <c r="AO91" s="207">
        <v>885</v>
      </c>
      <c r="AP91" s="207"/>
      <c r="AQ91" s="207"/>
      <c r="AR91" s="207"/>
      <c r="AS91" s="207"/>
      <c r="AT91" s="207"/>
      <c r="AU91" s="207"/>
      <c r="AV91" s="207">
        <v>3886</v>
      </c>
      <c r="AW91" s="207"/>
      <c r="AX91" s="207"/>
      <c r="AY91" s="207">
        <v>3888</v>
      </c>
      <c r="AZ91" s="207"/>
      <c r="BA91" s="207"/>
      <c r="BB91" s="207"/>
      <c r="BC91" s="207"/>
      <c r="BD91" s="207"/>
      <c r="BE91" s="207">
        <v>11422</v>
      </c>
      <c r="BF91" s="207">
        <v>3119</v>
      </c>
      <c r="BG91" s="207"/>
      <c r="BH91" s="207">
        <v>6531</v>
      </c>
      <c r="BI91" s="207"/>
      <c r="BJ91" s="207"/>
      <c r="BK91" s="207">
        <v>1644</v>
      </c>
      <c r="BL91" s="207">
        <v>1981</v>
      </c>
      <c r="BM91" s="207"/>
      <c r="BN91" s="207"/>
      <c r="BO91" s="207">
        <v>243</v>
      </c>
      <c r="BP91" s="207"/>
      <c r="BQ91" s="207"/>
      <c r="BR91" s="207">
        <v>1599</v>
      </c>
      <c r="BS91" s="207"/>
      <c r="BT91" s="207"/>
      <c r="BU91" s="207"/>
      <c r="BV91" s="207"/>
      <c r="BW91" s="207"/>
      <c r="BX91" s="207"/>
      <c r="BY91" s="207">
        <v>1731</v>
      </c>
      <c r="BZ91" s="207"/>
      <c r="CA91" s="207"/>
      <c r="CB91" s="207"/>
      <c r="CC91" s="207">
        <v>14667</v>
      </c>
      <c r="CD91" s="227" t="s">
        <v>233</v>
      </c>
      <c r="CE91" s="32">
        <f t="shared" si="14"/>
        <v>140337</v>
      </c>
      <c r="CF91" s="32">
        <f>BE60-CE91</f>
        <v>-4</v>
      </c>
    </row>
    <row r="92" spans="1:84" x14ac:dyDescent="0.25">
      <c r="A92" s="26" t="s">
        <v>276</v>
      </c>
      <c r="B92" s="20"/>
      <c r="C92" s="207">
        <v>1200</v>
      </c>
      <c r="D92" s="207"/>
      <c r="E92" s="207">
        <v>13544</v>
      </c>
      <c r="F92" s="207"/>
      <c r="G92" s="207"/>
      <c r="H92" s="207"/>
      <c r="I92" s="207"/>
      <c r="J92" s="207">
        <v>0</v>
      </c>
      <c r="K92" s="207"/>
      <c r="L92" s="207">
        <v>476</v>
      </c>
      <c r="M92" s="207"/>
      <c r="N92" s="207"/>
      <c r="O92" s="207">
        <v>0</v>
      </c>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v>0</v>
      </c>
      <c r="AP92" s="207"/>
      <c r="AQ92" s="207"/>
      <c r="AR92" s="207"/>
      <c r="AS92" s="207"/>
      <c r="AT92" s="207"/>
      <c r="AU92" s="207"/>
      <c r="AV92" s="207"/>
      <c r="AW92" s="207"/>
      <c r="AX92" s="258" t="s">
        <v>233</v>
      </c>
      <c r="AY92" s="258" t="s">
        <v>233</v>
      </c>
      <c r="AZ92" s="207"/>
      <c r="BA92" s="207"/>
      <c r="BB92" s="207"/>
      <c r="BC92" s="207"/>
      <c r="BD92" s="223" t="s">
        <v>233</v>
      </c>
      <c r="BE92" s="223" t="s">
        <v>233</v>
      </c>
      <c r="BF92" s="207"/>
      <c r="BG92" s="223" t="s">
        <v>233</v>
      </c>
      <c r="BH92" s="207"/>
      <c r="BI92" s="207"/>
      <c r="BJ92" s="223" t="s">
        <v>233</v>
      </c>
      <c r="BK92" s="207"/>
      <c r="BL92" s="207"/>
      <c r="BM92" s="207"/>
      <c r="BN92" s="223" t="s">
        <v>233</v>
      </c>
      <c r="BO92" s="223" t="s">
        <v>233</v>
      </c>
      <c r="BP92" s="223" t="s">
        <v>233</v>
      </c>
      <c r="BQ92" s="223" t="s">
        <v>233</v>
      </c>
      <c r="BR92" s="207"/>
      <c r="BS92" s="207"/>
      <c r="BT92" s="207"/>
      <c r="BU92" s="207"/>
      <c r="BV92" s="207"/>
      <c r="BW92" s="207"/>
      <c r="BX92" s="207"/>
      <c r="BY92" s="207"/>
      <c r="BZ92" s="207"/>
      <c r="CA92" s="207"/>
      <c r="CB92" s="207"/>
      <c r="CC92" s="223" t="s">
        <v>233</v>
      </c>
      <c r="CD92" s="223" t="s">
        <v>233</v>
      </c>
      <c r="CE92" s="32">
        <f t="shared" si="14"/>
        <v>15220</v>
      </c>
      <c r="CF92" s="32">
        <f>AY60-CE92</f>
        <v>1</v>
      </c>
    </row>
    <row r="93" spans="1:84" x14ac:dyDescent="0.25">
      <c r="A93" s="26" t="s">
        <v>277</v>
      </c>
      <c r="B93" s="20"/>
      <c r="C93" s="207">
        <v>880</v>
      </c>
      <c r="D93" s="207"/>
      <c r="E93" s="207">
        <v>3175</v>
      </c>
      <c r="F93" s="207"/>
      <c r="G93" s="207"/>
      <c r="H93" s="207"/>
      <c r="I93" s="207"/>
      <c r="J93" s="207">
        <v>142</v>
      </c>
      <c r="K93" s="207"/>
      <c r="L93" s="207">
        <v>112</v>
      </c>
      <c r="M93" s="207"/>
      <c r="N93" s="207"/>
      <c r="O93" s="207">
        <v>77</v>
      </c>
      <c r="P93" s="207">
        <v>4036</v>
      </c>
      <c r="Q93" s="207">
        <v>199</v>
      </c>
      <c r="R93" s="207">
        <v>46</v>
      </c>
      <c r="S93" s="207">
        <v>1074</v>
      </c>
      <c r="T93" s="207"/>
      <c r="U93" s="207">
        <v>1324</v>
      </c>
      <c r="V93" s="207"/>
      <c r="W93" s="207">
        <v>147</v>
      </c>
      <c r="X93" s="207">
        <v>409</v>
      </c>
      <c r="Y93" s="207">
        <v>1639</v>
      </c>
      <c r="Z93" s="207"/>
      <c r="AA93" s="207">
        <v>34</v>
      </c>
      <c r="AB93" s="207">
        <v>509</v>
      </c>
      <c r="AC93" s="207">
        <v>1290</v>
      </c>
      <c r="AD93" s="207"/>
      <c r="AE93" s="207">
        <v>2191</v>
      </c>
      <c r="AF93" s="207"/>
      <c r="AG93" s="207">
        <v>2144</v>
      </c>
      <c r="AH93" s="207"/>
      <c r="AI93" s="207"/>
      <c r="AJ93" s="207">
        <v>10537</v>
      </c>
      <c r="AK93" s="207"/>
      <c r="AL93" s="207"/>
      <c r="AM93" s="207"/>
      <c r="AN93" s="207"/>
      <c r="AO93" s="207">
        <v>299</v>
      </c>
      <c r="AP93" s="207"/>
      <c r="AQ93" s="207"/>
      <c r="AR93" s="207"/>
      <c r="AS93" s="207"/>
      <c r="AT93" s="207"/>
      <c r="AU93" s="207"/>
      <c r="AV93" s="207">
        <v>1312</v>
      </c>
      <c r="AW93" s="207"/>
      <c r="AX93" s="258" t="s">
        <v>233</v>
      </c>
      <c r="AY93" s="258" t="s">
        <v>233</v>
      </c>
      <c r="AZ93" s="223" t="s">
        <v>233</v>
      </c>
      <c r="BA93" s="207"/>
      <c r="BB93" s="207"/>
      <c r="BC93" s="207"/>
      <c r="BD93" s="223" t="s">
        <v>233</v>
      </c>
      <c r="BE93" s="223" t="s">
        <v>233</v>
      </c>
      <c r="BF93" s="223" t="s">
        <v>233</v>
      </c>
      <c r="BG93" s="223" t="s">
        <v>233</v>
      </c>
      <c r="BH93" s="207">
        <v>2206</v>
      </c>
      <c r="BI93" s="207"/>
      <c r="BJ93" s="223" t="s">
        <v>233</v>
      </c>
      <c r="BK93" s="207">
        <v>555</v>
      </c>
      <c r="BL93" s="207">
        <v>669</v>
      </c>
      <c r="BM93" s="207"/>
      <c r="BN93" s="223" t="s">
        <v>233</v>
      </c>
      <c r="BO93" s="223" t="s">
        <v>233</v>
      </c>
      <c r="BP93" s="223" t="s">
        <v>233</v>
      </c>
      <c r="BQ93" s="223" t="s">
        <v>233</v>
      </c>
      <c r="BR93" s="223" t="s">
        <v>233</v>
      </c>
      <c r="BS93" s="207"/>
      <c r="BT93" s="207"/>
      <c r="BU93" s="207"/>
      <c r="BV93" s="207"/>
      <c r="BW93" s="207"/>
      <c r="BX93" s="207"/>
      <c r="BY93" s="207">
        <v>584</v>
      </c>
      <c r="BZ93" s="207"/>
      <c r="CA93" s="207"/>
      <c r="CB93" s="207"/>
      <c r="CC93" s="223" t="s">
        <v>233</v>
      </c>
      <c r="CD93" s="223" t="s">
        <v>233</v>
      </c>
      <c r="CE93" s="32">
        <f t="shared" si="14"/>
        <v>35590</v>
      </c>
      <c r="CF93" s="20"/>
    </row>
    <row r="94" spans="1:84" x14ac:dyDescent="0.25">
      <c r="A94" s="26" t="s">
        <v>278</v>
      </c>
      <c r="B94" s="20"/>
      <c r="C94" s="207">
        <v>10328</v>
      </c>
      <c r="D94" s="207"/>
      <c r="E94" s="207">
        <v>44607.157846082737</v>
      </c>
      <c r="F94" s="207"/>
      <c r="G94" s="207"/>
      <c r="H94" s="207"/>
      <c r="I94" s="207"/>
      <c r="J94" s="207">
        <v>2001.2073029812802</v>
      </c>
      <c r="K94" s="207"/>
      <c r="L94" s="207">
        <v>1568.8477004853246</v>
      </c>
      <c r="M94" s="207"/>
      <c r="N94" s="207"/>
      <c r="O94" s="207">
        <v>1074.7224404899468</v>
      </c>
      <c r="P94" s="207">
        <v>37824</v>
      </c>
      <c r="Q94" s="207">
        <v>8764</v>
      </c>
      <c r="R94" s="207">
        <v>7741</v>
      </c>
      <c r="S94" s="207"/>
      <c r="T94" s="207"/>
      <c r="U94" s="207">
        <v>330</v>
      </c>
      <c r="V94" s="207"/>
      <c r="W94" s="207">
        <v>2208</v>
      </c>
      <c r="X94" s="207">
        <v>6153</v>
      </c>
      <c r="Y94" s="207">
        <v>24631</v>
      </c>
      <c r="Z94" s="207"/>
      <c r="AA94" s="207">
        <v>516</v>
      </c>
      <c r="AB94" s="207"/>
      <c r="AC94" s="207">
        <v>5597</v>
      </c>
      <c r="AD94" s="207"/>
      <c r="AE94" s="207">
        <v>26997</v>
      </c>
      <c r="AF94" s="207"/>
      <c r="AG94" s="207">
        <v>67792</v>
      </c>
      <c r="AH94" s="207"/>
      <c r="AI94" s="207"/>
      <c r="AJ94" s="207">
        <v>26732</v>
      </c>
      <c r="AK94" s="207"/>
      <c r="AL94" s="207"/>
      <c r="AM94" s="207"/>
      <c r="AN94" s="207"/>
      <c r="AO94" s="207">
        <v>4200.0647099607113</v>
      </c>
      <c r="AP94" s="207"/>
      <c r="AQ94" s="207"/>
      <c r="AR94" s="207"/>
      <c r="AS94" s="207"/>
      <c r="AT94" s="207"/>
      <c r="AU94" s="207"/>
      <c r="AV94" s="207"/>
      <c r="AW94" s="207"/>
      <c r="AX94" s="258" t="s">
        <v>233</v>
      </c>
      <c r="AY94" s="258" t="s">
        <v>233</v>
      </c>
      <c r="AZ94" s="223" t="s">
        <v>233</v>
      </c>
      <c r="BA94" s="223" t="s">
        <v>233</v>
      </c>
      <c r="BB94" s="207"/>
      <c r="BC94" s="207"/>
      <c r="BD94" s="223" t="s">
        <v>233</v>
      </c>
      <c r="BE94" s="223" t="s">
        <v>233</v>
      </c>
      <c r="BF94" s="223" t="s">
        <v>233</v>
      </c>
      <c r="BG94" s="223" t="s">
        <v>233</v>
      </c>
      <c r="BH94" s="207">
        <v>2440</v>
      </c>
      <c r="BI94" s="207"/>
      <c r="BJ94" s="223" t="s">
        <v>233</v>
      </c>
      <c r="BK94" s="207"/>
      <c r="BL94" s="207"/>
      <c r="BM94" s="207"/>
      <c r="BN94" s="223" t="s">
        <v>233</v>
      </c>
      <c r="BO94" s="223" t="s">
        <v>233</v>
      </c>
      <c r="BP94" s="223" t="s">
        <v>233</v>
      </c>
      <c r="BQ94" s="223" t="s">
        <v>233</v>
      </c>
      <c r="BR94" s="223" t="s">
        <v>233</v>
      </c>
      <c r="BS94" s="207"/>
      <c r="BT94" s="207"/>
      <c r="BU94" s="207"/>
      <c r="BV94" s="207"/>
      <c r="BW94" s="207"/>
      <c r="BX94" s="207"/>
      <c r="BY94" s="207"/>
      <c r="BZ94" s="207"/>
      <c r="CA94" s="207"/>
      <c r="CB94" s="207"/>
      <c r="CC94" s="223" t="s">
        <v>233</v>
      </c>
      <c r="CD94" s="223" t="s">
        <v>233</v>
      </c>
      <c r="CE94" s="32">
        <f t="shared" si="14"/>
        <v>281505</v>
      </c>
      <c r="CF94" s="32">
        <f>BA60</f>
        <v>0</v>
      </c>
    </row>
    <row r="95" spans="1:84" x14ac:dyDescent="0.25">
      <c r="A95" s="26" t="s">
        <v>279</v>
      </c>
      <c r="B95" s="20"/>
      <c r="C95" s="236">
        <v>8.7799999999999994</v>
      </c>
      <c r="D95" s="236"/>
      <c r="E95" s="236">
        <v>41.384213080656345</v>
      </c>
      <c r="F95" s="236"/>
      <c r="G95" s="236"/>
      <c r="H95" s="236"/>
      <c r="I95" s="236"/>
      <c r="J95" s="236">
        <v>1.8566165934827823</v>
      </c>
      <c r="K95" s="236"/>
      <c r="L95" s="236">
        <v>1.4554957245204527</v>
      </c>
      <c r="M95" s="236"/>
      <c r="N95" s="236"/>
      <c r="O95" s="236">
        <v>0.99707187427779054</v>
      </c>
      <c r="P95" s="237">
        <v>18.940000000000001</v>
      </c>
      <c r="Q95" s="237">
        <v>2.95</v>
      </c>
      <c r="R95" s="237">
        <v>17.27</v>
      </c>
      <c r="S95" s="238"/>
      <c r="T95" s="238"/>
      <c r="U95" s="239">
        <v>5.33</v>
      </c>
      <c r="V95" s="237"/>
      <c r="W95" s="237"/>
      <c r="X95" s="237"/>
      <c r="Y95" s="237"/>
      <c r="Z95" s="237"/>
      <c r="AA95" s="237"/>
      <c r="AB95" s="238">
        <v>10.86</v>
      </c>
      <c r="AC95" s="237">
        <v>3.66</v>
      </c>
      <c r="AD95" s="237"/>
      <c r="AE95" s="237"/>
      <c r="AF95" s="237"/>
      <c r="AG95" s="237">
        <v>24.4</v>
      </c>
      <c r="AH95" s="237"/>
      <c r="AI95" s="237"/>
      <c r="AJ95" s="237">
        <v>12.8</v>
      </c>
      <c r="AK95" s="237"/>
      <c r="AL95" s="237"/>
      <c r="AM95" s="237"/>
      <c r="AN95" s="237"/>
      <c r="AO95" s="237">
        <v>3.8966027270626293</v>
      </c>
      <c r="AP95" s="237"/>
      <c r="AQ95" s="237"/>
      <c r="AR95" s="237"/>
      <c r="AS95" s="237"/>
      <c r="AT95" s="237"/>
      <c r="AU95" s="237"/>
      <c r="AV95" s="238">
        <v>3.27</v>
      </c>
      <c r="AW95" s="258" t="s">
        <v>233</v>
      </c>
      <c r="AX95" s="258" t="s">
        <v>233</v>
      </c>
      <c r="AY95" s="258" t="s">
        <v>233</v>
      </c>
      <c r="AZ95" s="223" t="s">
        <v>233</v>
      </c>
      <c r="BA95" s="223" t="s">
        <v>233</v>
      </c>
      <c r="BB95" s="223" t="s">
        <v>233</v>
      </c>
      <c r="BC95" s="223" t="s">
        <v>233</v>
      </c>
      <c r="BD95" s="223" t="s">
        <v>233</v>
      </c>
      <c r="BE95" s="223" t="s">
        <v>233</v>
      </c>
      <c r="BF95" s="223" t="s">
        <v>233</v>
      </c>
      <c r="BG95" s="223" t="s">
        <v>233</v>
      </c>
      <c r="BH95" s="223" t="s">
        <v>233</v>
      </c>
      <c r="BI95" s="223" t="s">
        <v>233</v>
      </c>
      <c r="BJ95" s="223" t="s">
        <v>233</v>
      </c>
      <c r="BK95" s="223" t="s">
        <v>233</v>
      </c>
      <c r="BL95" s="223" t="s">
        <v>233</v>
      </c>
      <c r="BM95" s="223" t="s">
        <v>233</v>
      </c>
      <c r="BN95" s="223" t="s">
        <v>233</v>
      </c>
      <c r="BO95" s="223" t="s">
        <v>233</v>
      </c>
      <c r="BP95" s="223" t="s">
        <v>233</v>
      </c>
      <c r="BQ95" s="223" t="s">
        <v>233</v>
      </c>
      <c r="BR95" s="223" t="s">
        <v>233</v>
      </c>
      <c r="BS95" s="223" t="s">
        <v>233</v>
      </c>
      <c r="BT95" s="223" t="s">
        <v>233</v>
      </c>
      <c r="BU95" s="224"/>
      <c r="BV95" s="224"/>
      <c r="BW95" s="224"/>
      <c r="BX95" s="224"/>
      <c r="BY95" s="224"/>
      <c r="BZ95" s="224"/>
      <c r="CA95" s="224"/>
      <c r="CB95" s="224"/>
      <c r="CC95" s="223" t="s">
        <v>233</v>
      </c>
      <c r="CD95" s="223" t="s">
        <v>233</v>
      </c>
      <c r="CE95" s="260">
        <f t="shared" si="14"/>
        <v>157.85000000000002</v>
      </c>
      <c r="CF95" s="37"/>
    </row>
    <row r="96" spans="1:84" x14ac:dyDescent="0.25">
      <c r="A96" s="38" t="s">
        <v>280</v>
      </c>
      <c r="B96" s="38"/>
      <c r="C96" s="38"/>
      <c r="D96" s="38"/>
      <c r="E96" s="38"/>
    </row>
    <row r="97" spans="1:6" x14ac:dyDescent="0.25">
      <c r="A97" s="39" t="s">
        <v>281</v>
      </c>
      <c r="B97" s="40"/>
      <c r="C97" s="211" t="s">
        <v>1360</v>
      </c>
      <c r="D97" s="42"/>
      <c r="E97" s="43"/>
      <c r="F97" s="16"/>
    </row>
    <row r="98" spans="1:6" x14ac:dyDescent="0.25">
      <c r="A98" s="32" t="s">
        <v>283</v>
      </c>
      <c r="B98" s="40" t="s">
        <v>284</v>
      </c>
      <c r="C98" s="212" t="s">
        <v>1361</v>
      </c>
      <c r="D98" s="42"/>
      <c r="E98" s="43"/>
      <c r="F98" s="16"/>
    </row>
    <row r="99" spans="1:6" x14ac:dyDescent="0.25">
      <c r="A99" s="32" t="s">
        <v>285</v>
      </c>
      <c r="B99" s="40" t="s">
        <v>284</v>
      </c>
      <c r="C99" s="213" t="s">
        <v>1362</v>
      </c>
      <c r="D99" s="42"/>
      <c r="E99" s="43"/>
      <c r="F99" s="16"/>
    </row>
    <row r="100" spans="1:6" x14ac:dyDescent="0.25">
      <c r="A100" s="32" t="s">
        <v>286</v>
      </c>
      <c r="B100" s="40" t="s">
        <v>284</v>
      </c>
      <c r="C100" s="213" t="s">
        <v>1363</v>
      </c>
      <c r="D100" s="42"/>
      <c r="E100" s="43"/>
      <c r="F100" s="16"/>
    </row>
    <row r="101" spans="1:6" x14ac:dyDescent="0.25">
      <c r="A101" s="32" t="s">
        <v>287</v>
      </c>
      <c r="B101" s="40" t="s">
        <v>284</v>
      </c>
      <c r="C101" s="213" t="s">
        <v>1364</v>
      </c>
      <c r="D101" s="42"/>
      <c r="E101" s="43"/>
      <c r="F101" s="16"/>
    </row>
    <row r="102" spans="1:6" x14ac:dyDescent="0.25">
      <c r="A102" s="32" t="s">
        <v>288</v>
      </c>
      <c r="B102" s="40" t="s">
        <v>284</v>
      </c>
      <c r="C102" s="213" t="s">
        <v>1365</v>
      </c>
      <c r="D102" s="42"/>
      <c r="E102" s="43"/>
      <c r="F102" s="16"/>
    </row>
    <row r="103" spans="1:6" x14ac:dyDescent="0.25">
      <c r="A103" s="32" t="s">
        <v>289</v>
      </c>
      <c r="B103" s="40" t="s">
        <v>284</v>
      </c>
      <c r="C103" s="241">
        <v>98368</v>
      </c>
      <c r="D103" s="42"/>
      <c r="E103" s="43"/>
      <c r="F103" s="16"/>
    </row>
    <row r="104" spans="1:6" x14ac:dyDescent="0.25">
      <c r="A104" s="32" t="s">
        <v>290</v>
      </c>
      <c r="B104" s="40" t="s">
        <v>284</v>
      </c>
      <c r="C104" s="241" t="s">
        <v>1366</v>
      </c>
      <c r="D104" s="42"/>
      <c r="E104" s="43"/>
      <c r="F104" s="16"/>
    </row>
    <row r="105" spans="1:6" x14ac:dyDescent="0.25">
      <c r="A105" s="32" t="s">
        <v>291</v>
      </c>
      <c r="B105" s="40" t="s">
        <v>284</v>
      </c>
      <c r="C105" s="211" t="s">
        <v>1367</v>
      </c>
      <c r="D105" s="42"/>
      <c r="E105" s="43"/>
      <c r="F105" s="16"/>
    </row>
    <row r="106" spans="1:6" x14ac:dyDescent="0.25">
      <c r="A106" s="32" t="s">
        <v>292</v>
      </c>
      <c r="B106" s="40" t="s">
        <v>284</v>
      </c>
      <c r="C106" s="211" t="s">
        <v>1368</v>
      </c>
      <c r="D106" s="42"/>
      <c r="E106" s="43"/>
      <c r="F106" s="16"/>
    </row>
    <row r="107" spans="1:6" x14ac:dyDescent="0.25">
      <c r="A107" s="32" t="s">
        <v>293</v>
      </c>
      <c r="B107" s="40" t="s">
        <v>284</v>
      </c>
      <c r="C107" s="213" t="s">
        <v>1369</v>
      </c>
      <c r="D107" s="42"/>
      <c r="E107" s="43"/>
      <c r="F107" s="16"/>
    </row>
    <row r="108" spans="1:6" x14ac:dyDescent="0.25">
      <c r="A108" s="32" t="s">
        <v>294</v>
      </c>
      <c r="B108" s="40" t="s">
        <v>284</v>
      </c>
      <c r="C108" s="334" t="s">
        <v>1370</v>
      </c>
      <c r="D108" s="42"/>
      <c r="E108" s="43"/>
      <c r="F108" s="16"/>
    </row>
    <row r="109" spans="1:6" x14ac:dyDescent="0.25">
      <c r="A109" s="32" t="s">
        <v>295</v>
      </c>
      <c r="B109" s="40" t="s">
        <v>284</v>
      </c>
      <c r="C109" s="334" t="s">
        <v>1371</v>
      </c>
      <c r="D109" s="42"/>
      <c r="E109" s="43"/>
      <c r="F109" s="16"/>
    </row>
    <row r="110" spans="1:6" x14ac:dyDescent="0.25">
      <c r="A110" s="44" t="s">
        <v>296</v>
      </c>
      <c r="B110" s="40" t="s">
        <v>284</v>
      </c>
      <c r="C110" s="41"/>
      <c r="D110" s="42"/>
      <c r="E110" s="43"/>
      <c r="F110" s="16"/>
    </row>
    <row r="111" spans="1:6" x14ac:dyDescent="0.25">
      <c r="A111" s="44" t="s">
        <v>297</v>
      </c>
      <c r="B111" s="40" t="s">
        <v>284</v>
      </c>
      <c r="C111" s="320"/>
      <c r="D111" s="42"/>
      <c r="E111" s="43"/>
      <c r="F111" s="16"/>
    </row>
    <row r="112" spans="1:6" x14ac:dyDescent="0.25">
      <c r="A112" s="38" t="s">
        <v>298</v>
      </c>
      <c r="B112" s="38"/>
      <c r="C112" s="38"/>
      <c r="D112" s="38"/>
      <c r="E112" s="38"/>
    </row>
    <row r="113" spans="1:5" x14ac:dyDescent="0.25">
      <c r="A113" s="45" t="s">
        <v>299</v>
      </c>
      <c r="B113" s="45"/>
      <c r="C113" s="45"/>
      <c r="D113" s="45"/>
      <c r="E113" s="45"/>
    </row>
    <row r="114" spans="1:5" x14ac:dyDescent="0.25">
      <c r="A114" s="20" t="s">
        <v>288</v>
      </c>
      <c r="B114" s="46" t="s">
        <v>284</v>
      </c>
      <c r="C114" s="47" t="s">
        <v>282</v>
      </c>
      <c r="D114" s="20"/>
      <c r="E114" s="20"/>
    </row>
    <row r="115" spans="1:5" x14ac:dyDescent="0.25">
      <c r="A115" s="20" t="s">
        <v>290</v>
      </c>
      <c r="B115" s="46" t="s">
        <v>284</v>
      </c>
      <c r="C115" s="47" t="s">
        <v>282</v>
      </c>
      <c r="D115" s="20"/>
      <c r="E115" s="20"/>
    </row>
    <row r="116" spans="1:5" x14ac:dyDescent="0.25">
      <c r="A116" s="20" t="s">
        <v>300</v>
      </c>
      <c r="B116" s="46" t="s">
        <v>284</v>
      </c>
      <c r="C116" s="47">
        <v>1</v>
      </c>
      <c r="D116" s="20"/>
      <c r="E116" s="20"/>
    </row>
    <row r="117" spans="1:5" x14ac:dyDescent="0.25">
      <c r="A117" s="45" t="s">
        <v>301</v>
      </c>
      <c r="B117" s="45"/>
      <c r="C117" s="45"/>
      <c r="D117" s="45"/>
      <c r="E117" s="45"/>
    </row>
    <row r="118" spans="1:5" x14ac:dyDescent="0.25">
      <c r="A118" s="20" t="s">
        <v>302</v>
      </c>
      <c r="B118" s="46" t="s">
        <v>284</v>
      </c>
      <c r="C118" s="47"/>
      <c r="D118" s="20"/>
      <c r="E118" s="20"/>
    </row>
    <row r="119" spans="1:5" x14ac:dyDescent="0.25">
      <c r="A119" s="20" t="s">
        <v>144</v>
      </c>
      <c r="B119" s="46" t="s">
        <v>284</v>
      </c>
      <c r="C119" s="228"/>
      <c r="D119" s="20"/>
      <c r="E119" s="20"/>
    </row>
    <row r="120" spans="1:5" x14ac:dyDescent="0.25">
      <c r="A120" s="45" t="s">
        <v>303</v>
      </c>
      <c r="B120" s="45"/>
      <c r="C120" s="45"/>
      <c r="D120" s="45"/>
      <c r="E120" s="45"/>
    </row>
    <row r="121" spans="1:5" x14ac:dyDescent="0.25">
      <c r="A121" s="20" t="s">
        <v>304</v>
      </c>
      <c r="B121" s="46" t="s">
        <v>284</v>
      </c>
      <c r="C121" s="47" t="s">
        <v>282</v>
      </c>
      <c r="D121" s="20"/>
      <c r="E121" s="20"/>
    </row>
    <row r="122" spans="1:5" x14ac:dyDescent="0.25">
      <c r="A122" s="20" t="s">
        <v>305</v>
      </c>
      <c r="B122" s="46" t="s">
        <v>284</v>
      </c>
      <c r="C122" s="47" t="s">
        <v>282</v>
      </c>
      <c r="D122" s="20"/>
      <c r="E122" s="20"/>
    </row>
    <row r="123" spans="1:5" x14ac:dyDescent="0.25">
      <c r="A123" s="20" t="s">
        <v>306</v>
      </c>
      <c r="B123" s="46" t="s">
        <v>284</v>
      </c>
      <c r="C123" s="47" t="s">
        <v>282</v>
      </c>
      <c r="D123" s="20"/>
      <c r="E123" s="20"/>
    </row>
    <row r="124" spans="1:5" x14ac:dyDescent="0.25">
      <c r="A124" s="20"/>
      <c r="B124" s="46"/>
      <c r="C124" s="48"/>
      <c r="D124" s="20"/>
      <c r="E124" s="20"/>
    </row>
    <row r="125" spans="1:5" x14ac:dyDescent="0.25">
      <c r="A125" s="49" t="s">
        <v>307</v>
      </c>
      <c r="B125" s="38"/>
      <c r="C125" s="38"/>
      <c r="D125" s="38"/>
      <c r="E125" s="38"/>
    </row>
    <row r="126" spans="1:5" x14ac:dyDescent="0.25">
      <c r="A126" s="20"/>
      <c r="B126" s="46"/>
      <c r="C126" s="48"/>
      <c r="D126" s="20"/>
      <c r="E126" s="20"/>
    </row>
    <row r="127" spans="1:5" x14ac:dyDescent="0.25">
      <c r="A127" s="26" t="s">
        <v>308</v>
      </c>
      <c r="B127" s="20"/>
      <c r="C127" s="21" t="s">
        <v>309</v>
      </c>
      <c r="D127" s="22" t="s">
        <v>227</v>
      </c>
      <c r="E127" s="20"/>
    </row>
    <row r="128" spans="1:5" x14ac:dyDescent="0.25">
      <c r="A128" s="20" t="s">
        <v>310</v>
      </c>
      <c r="B128" s="46" t="s">
        <v>284</v>
      </c>
      <c r="C128" s="210">
        <v>1261</v>
      </c>
      <c r="D128" s="214">
        <v>3611</v>
      </c>
      <c r="E128" s="20"/>
    </row>
    <row r="129" spans="1:5" x14ac:dyDescent="0.25">
      <c r="A129" s="20" t="s">
        <v>311</v>
      </c>
      <c r="B129" s="46" t="s">
        <v>284</v>
      </c>
      <c r="C129" s="210">
        <v>16</v>
      </c>
      <c r="D129" s="214">
        <v>127</v>
      </c>
      <c r="E129" s="20"/>
    </row>
    <row r="130" spans="1:5" x14ac:dyDescent="0.25">
      <c r="A130" s="20" t="s">
        <v>312</v>
      </c>
      <c r="B130" s="46" t="s">
        <v>284</v>
      </c>
      <c r="C130" s="210"/>
      <c r="D130" s="214"/>
      <c r="E130" s="20"/>
    </row>
    <row r="131" spans="1:5" x14ac:dyDescent="0.25">
      <c r="A131" s="20" t="s">
        <v>313</v>
      </c>
      <c r="B131" s="46" t="s">
        <v>284</v>
      </c>
      <c r="C131" s="210">
        <v>87</v>
      </c>
      <c r="D131" s="214">
        <v>162</v>
      </c>
      <c r="E131" s="20"/>
    </row>
    <row r="132" spans="1:5" x14ac:dyDescent="0.25">
      <c r="A132" s="26" t="s">
        <v>314</v>
      </c>
      <c r="B132" s="20"/>
      <c r="C132" s="21" t="s">
        <v>179</v>
      </c>
      <c r="D132" s="20"/>
      <c r="E132" s="20"/>
    </row>
    <row r="133" spans="1:5" x14ac:dyDescent="0.25">
      <c r="A133" s="20" t="s">
        <v>315</v>
      </c>
      <c r="B133" s="46" t="s">
        <v>284</v>
      </c>
      <c r="C133" s="210">
        <v>6</v>
      </c>
      <c r="D133" s="20"/>
      <c r="E133" s="20"/>
    </row>
    <row r="134" spans="1:5" x14ac:dyDescent="0.25">
      <c r="A134" s="20" t="s">
        <v>316</v>
      </c>
      <c r="B134" s="46" t="s">
        <v>284</v>
      </c>
      <c r="C134" s="210"/>
      <c r="D134" s="20"/>
      <c r="E134" s="20"/>
    </row>
    <row r="135" spans="1:5" x14ac:dyDescent="0.25">
      <c r="A135" s="20" t="s">
        <v>317</v>
      </c>
      <c r="B135" s="46" t="s">
        <v>284</v>
      </c>
      <c r="C135" s="210">
        <v>19</v>
      </c>
      <c r="D135" s="20"/>
      <c r="E135" s="20"/>
    </row>
    <row r="136" spans="1:5" x14ac:dyDescent="0.25">
      <c r="A136" s="20" t="s">
        <v>318</v>
      </c>
      <c r="B136" s="46" t="s">
        <v>284</v>
      </c>
      <c r="C136" s="210"/>
      <c r="D136" s="20"/>
      <c r="E136" s="20"/>
    </row>
    <row r="137" spans="1:5" x14ac:dyDescent="0.25">
      <c r="A137" s="20" t="s">
        <v>319</v>
      </c>
      <c r="B137" s="46" t="s">
        <v>284</v>
      </c>
      <c r="C137" s="210"/>
      <c r="D137" s="20"/>
      <c r="E137" s="20"/>
    </row>
    <row r="138" spans="1:5" x14ac:dyDescent="0.25">
      <c r="A138" s="20" t="s">
        <v>320</v>
      </c>
      <c r="B138" s="46" t="s">
        <v>284</v>
      </c>
      <c r="C138" s="210"/>
      <c r="D138" s="20"/>
      <c r="E138" s="20"/>
    </row>
    <row r="139" spans="1:5" x14ac:dyDescent="0.25">
      <c r="A139" s="20" t="s">
        <v>108</v>
      </c>
      <c r="B139" s="46" t="s">
        <v>284</v>
      </c>
      <c r="C139" s="210"/>
      <c r="D139" s="20"/>
      <c r="E139" s="20"/>
    </row>
    <row r="140" spans="1:5" x14ac:dyDescent="0.25">
      <c r="A140" s="20" t="s">
        <v>321</v>
      </c>
      <c r="B140" s="46" t="s">
        <v>284</v>
      </c>
      <c r="C140" s="210"/>
      <c r="D140" s="20"/>
      <c r="E140" s="20"/>
    </row>
    <row r="141" spans="1:5" x14ac:dyDescent="0.25">
      <c r="A141" s="20" t="s">
        <v>322</v>
      </c>
      <c r="B141" s="46"/>
      <c r="C141" s="210"/>
      <c r="D141" s="20"/>
      <c r="E141" s="20"/>
    </row>
    <row r="142" spans="1:5" x14ac:dyDescent="0.25">
      <c r="A142" s="20" t="s">
        <v>312</v>
      </c>
      <c r="B142" s="46" t="s">
        <v>284</v>
      </c>
      <c r="C142" s="210"/>
      <c r="D142" s="20"/>
      <c r="E142" s="20"/>
    </row>
    <row r="143" spans="1:5" x14ac:dyDescent="0.25">
      <c r="A143" s="20" t="s">
        <v>323</v>
      </c>
      <c r="B143" s="46" t="s">
        <v>284</v>
      </c>
      <c r="C143" s="210"/>
      <c r="D143" s="20"/>
      <c r="E143" s="20"/>
    </row>
    <row r="144" spans="1:5" x14ac:dyDescent="0.25">
      <c r="A144" s="20" t="s">
        <v>324</v>
      </c>
      <c r="B144" s="20"/>
      <c r="C144" s="27"/>
      <c r="D144" s="20"/>
      <c r="E144" s="32">
        <f>SUM(C133:C143)</f>
        <v>25</v>
      </c>
    </row>
    <row r="145" spans="1:6" x14ac:dyDescent="0.25">
      <c r="A145" s="20" t="s">
        <v>325</v>
      </c>
      <c r="B145" s="46" t="s">
        <v>284</v>
      </c>
      <c r="C145" s="47"/>
      <c r="D145" s="20"/>
      <c r="E145" s="20"/>
    </row>
    <row r="146" spans="1:6" x14ac:dyDescent="0.25">
      <c r="A146" s="20" t="s">
        <v>326</v>
      </c>
      <c r="B146" s="46" t="s">
        <v>284</v>
      </c>
      <c r="C146" s="47">
        <v>4</v>
      </c>
      <c r="D146" s="20"/>
      <c r="E146" s="20"/>
    </row>
    <row r="147" spans="1:6" x14ac:dyDescent="0.25">
      <c r="A147" s="20"/>
      <c r="B147" s="20"/>
      <c r="C147" s="27"/>
      <c r="D147" s="20"/>
      <c r="E147" s="20"/>
    </row>
    <row r="148" spans="1:6" x14ac:dyDescent="0.25">
      <c r="A148" s="20" t="s">
        <v>327</v>
      </c>
      <c r="B148" s="46" t="s">
        <v>284</v>
      </c>
      <c r="C148" s="47"/>
      <c r="D148" s="20"/>
      <c r="E148" s="20"/>
    </row>
    <row r="149" spans="1:6" x14ac:dyDescent="0.25">
      <c r="A149" s="20"/>
      <c r="B149" s="20"/>
      <c r="C149" s="27"/>
      <c r="D149" s="20"/>
      <c r="E149" s="20"/>
    </row>
    <row r="150" spans="1:6" x14ac:dyDescent="0.25">
      <c r="A150" s="20"/>
      <c r="B150" s="20"/>
      <c r="C150" s="27"/>
      <c r="D150" s="20"/>
      <c r="E150" s="20"/>
    </row>
    <row r="151" spans="1:6" x14ac:dyDescent="0.25">
      <c r="A151" s="20"/>
      <c r="B151" s="20"/>
      <c r="C151" s="27"/>
      <c r="D151" s="20"/>
      <c r="E151" s="20"/>
    </row>
    <row r="152" spans="1:6" x14ac:dyDescent="0.25">
      <c r="A152" s="20"/>
      <c r="B152" s="20"/>
      <c r="C152" s="27"/>
      <c r="D152" s="20"/>
      <c r="E152" s="20"/>
    </row>
    <row r="153" spans="1:6" x14ac:dyDescent="0.25">
      <c r="A153" s="38" t="s">
        <v>328</v>
      </c>
      <c r="B153" s="49"/>
      <c r="C153" s="49"/>
      <c r="D153" s="49"/>
      <c r="E153" s="49"/>
    </row>
    <row r="154" spans="1:6" x14ac:dyDescent="0.25">
      <c r="A154" s="51" t="s">
        <v>329</v>
      </c>
      <c r="B154" s="52" t="s">
        <v>330</v>
      </c>
      <c r="C154" s="53" t="s">
        <v>331</v>
      </c>
      <c r="D154" s="52" t="s">
        <v>144</v>
      </c>
      <c r="E154" s="52" t="s">
        <v>215</v>
      </c>
    </row>
    <row r="155" spans="1:6" x14ac:dyDescent="0.25">
      <c r="A155" s="20" t="s">
        <v>309</v>
      </c>
      <c r="B155" s="50">
        <v>723</v>
      </c>
      <c r="C155" s="50">
        <v>12</v>
      </c>
      <c r="D155" s="50">
        <v>526</v>
      </c>
      <c r="E155" s="32">
        <f>SUM(B155:D155)</f>
        <v>1261</v>
      </c>
    </row>
    <row r="156" spans="1:6" x14ac:dyDescent="0.25">
      <c r="A156" s="20" t="s">
        <v>227</v>
      </c>
      <c r="B156" s="50">
        <v>2444</v>
      </c>
      <c r="C156" s="50">
        <v>16</v>
      </c>
      <c r="D156" s="50">
        <v>1151</v>
      </c>
      <c r="E156" s="32">
        <f>SUM(B156:D156)</f>
        <v>3611</v>
      </c>
    </row>
    <row r="157" spans="1:6" x14ac:dyDescent="0.25">
      <c r="A157" s="20" t="s">
        <v>332</v>
      </c>
      <c r="B157" s="50"/>
      <c r="C157" s="50"/>
      <c r="D157" s="50"/>
      <c r="E157" s="32">
        <f>SUM(B157:D157)</f>
        <v>0</v>
      </c>
    </row>
    <row r="158" spans="1:6" x14ac:dyDescent="0.25">
      <c r="A158" s="20" t="s">
        <v>272</v>
      </c>
      <c r="B158" s="50">
        <v>25351609</v>
      </c>
      <c r="C158" s="50">
        <v>6367904</v>
      </c>
      <c r="D158" s="50">
        <v>8078721</v>
      </c>
      <c r="E158" s="32">
        <f>SUM(B158:D158)</f>
        <v>39798234</v>
      </c>
      <c r="F158" s="18"/>
    </row>
    <row r="159" spans="1:6" x14ac:dyDescent="0.25">
      <c r="A159" s="20" t="s">
        <v>273</v>
      </c>
      <c r="B159" s="50">
        <v>157489454</v>
      </c>
      <c r="C159" s="50">
        <v>35081137</v>
      </c>
      <c r="D159" s="50">
        <v>65626757</v>
      </c>
      <c r="E159" s="32">
        <f>SUM(B159:D159)</f>
        <v>258197348</v>
      </c>
      <c r="F159" s="18"/>
    </row>
    <row r="160" spans="1:6" x14ac:dyDescent="0.25">
      <c r="A160" s="51" t="s">
        <v>333</v>
      </c>
      <c r="B160" s="52" t="s">
        <v>330</v>
      </c>
      <c r="C160" s="53" t="s">
        <v>331</v>
      </c>
      <c r="D160" s="52" t="s">
        <v>144</v>
      </c>
      <c r="E160" s="52" t="s">
        <v>215</v>
      </c>
    </row>
    <row r="161" spans="1:5" x14ac:dyDescent="0.25">
      <c r="A161" s="20" t="s">
        <v>309</v>
      </c>
      <c r="B161" s="50">
        <v>13</v>
      </c>
      <c r="C161" s="50">
        <v>2</v>
      </c>
      <c r="D161" s="50">
        <v>1</v>
      </c>
      <c r="E161" s="32">
        <f>SUM(B161:D161)</f>
        <v>16</v>
      </c>
    </row>
    <row r="162" spans="1:5" x14ac:dyDescent="0.25">
      <c r="A162" s="20" t="s">
        <v>227</v>
      </c>
      <c r="B162" s="50">
        <v>95</v>
      </c>
      <c r="C162" s="50">
        <v>19</v>
      </c>
      <c r="D162" s="50">
        <v>13</v>
      </c>
      <c r="E162" s="32">
        <f>SUM(B162:D162)</f>
        <v>127</v>
      </c>
    </row>
    <row r="163" spans="1:5" x14ac:dyDescent="0.25">
      <c r="A163" s="20" t="s">
        <v>332</v>
      </c>
      <c r="B163" s="50"/>
      <c r="C163" s="50"/>
      <c r="D163" s="50"/>
      <c r="E163" s="32">
        <f>SUM(B163:D163)</f>
        <v>0</v>
      </c>
    </row>
    <row r="164" spans="1:5" x14ac:dyDescent="0.25">
      <c r="A164" s="20" t="s">
        <v>272</v>
      </c>
      <c r="B164" s="50"/>
      <c r="C164" s="50"/>
      <c r="D164" s="50"/>
      <c r="E164" s="32">
        <f>SUM(B164:D164)</f>
        <v>0</v>
      </c>
    </row>
    <row r="165" spans="1:5" x14ac:dyDescent="0.25">
      <c r="A165" s="20" t="s">
        <v>273</v>
      </c>
      <c r="B165" s="50"/>
      <c r="C165" s="50"/>
      <c r="D165" s="50"/>
      <c r="E165" s="32">
        <f>SUM(B165:D165)</f>
        <v>0</v>
      </c>
    </row>
    <row r="166" spans="1:5" x14ac:dyDescent="0.25">
      <c r="A166" s="51" t="s">
        <v>334</v>
      </c>
      <c r="B166" s="52" t="s">
        <v>330</v>
      </c>
      <c r="C166" s="53" t="s">
        <v>331</v>
      </c>
      <c r="D166" s="52" t="s">
        <v>144</v>
      </c>
      <c r="E166" s="52" t="s">
        <v>215</v>
      </c>
    </row>
    <row r="167" spans="1:5" x14ac:dyDescent="0.25">
      <c r="A167" s="20" t="s">
        <v>309</v>
      </c>
      <c r="B167" s="50"/>
      <c r="C167" s="50"/>
      <c r="D167" s="50"/>
      <c r="E167" s="32">
        <f>SUM(B167:D167)</f>
        <v>0</v>
      </c>
    </row>
    <row r="168" spans="1:5" x14ac:dyDescent="0.25">
      <c r="A168" s="20" t="s">
        <v>227</v>
      </c>
      <c r="B168" s="50"/>
      <c r="C168" s="50"/>
      <c r="D168" s="50"/>
      <c r="E168" s="32">
        <f>SUM(B168:D168)</f>
        <v>0</v>
      </c>
    </row>
    <row r="169" spans="1:5" x14ac:dyDescent="0.25">
      <c r="A169" s="20" t="s">
        <v>332</v>
      </c>
      <c r="B169" s="50"/>
      <c r="C169" s="50"/>
      <c r="D169" s="50"/>
      <c r="E169" s="32">
        <f>SUM(B169:D169)</f>
        <v>0</v>
      </c>
    </row>
    <row r="170" spans="1:5" x14ac:dyDescent="0.25">
      <c r="A170" s="20" t="s">
        <v>272</v>
      </c>
      <c r="B170" s="50"/>
      <c r="C170" s="50"/>
      <c r="D170" s="50"/>
      <c r="E170" s="32">
        <f>SUM(B170:D170)</f>
        <v>0</v>
      </c>
    </row>
    <row r="171" spans="1:5" x14ac:dyDescent="0.25">
      <c r="A171" s="20" t="s">
        <v>273</v>
      </c>
      <c r="B171" s="50"/>
      <c r="C171" s="50"/>
      <c r="D171" s="50"/>
      <c r="E171" s="32">
        <f>SUM(B171:D171)</f>
        <v>0</v>
      </c>
    </row>
    <row r="172" spans="1:5" x14ac:dyDescent="0.25">
      <c r="A172" s="25"/>
      <c r="B172" s="25"/>
      <c r="C172" s="54"/>
      <c r="D172" s="55"/>
      <c r="E172" s="20"/>
    </row>
    <row r="173" spans="1:5" x14ac:dyDescent="0.25">
      <c r="A173" s="51" t="s">
        <v>335</v>
      </c>
      <c r="B173" s="52" t="s">
        <v>336</v>
      </c>
      <c r="C173" s="53" t="s">
        <v>337</v>
      </c>
      <c r="D173" s="20"/>
      <c r="E173" s="20"/>
    </row>
    <row r="174" spans="1:5" x14ac:dyDescent="0.25">
      <c r="A174" s="25" t="s">
        <v>338</v>
      </c>
      <c r="B174" s="50">
        <v>35918599</v>
      </c>
      <c r="C174" s="50">
        <v>12993167</v>
      </c>
      <c r="D174" s="20"/>
      <c r="E174" s="20"/>
    </row>
    <row r="175" spans="1:5" x14ac:dyDescent="0.25">
      <c r="A175" s="25"/>
      <c r="B175" s="55"/>
      <c r="C175" s="54"/>
      <c r="D175" s="20"/>
      <c r="E175" s="20"/>
    </row>
    <row r="176" spans="1:5" x14ac:dyDescent="0.25">
      <c r="A176" s="25"/>
      <c r="B176" s="25"/>
      <c r="C176" s="54"/>
      <c r="D176" s="55"/>
      <c r="E176" s="20"/>
    </row>
    <row r="177" spans="1:5" x14ac:dyDescent="0.25">
      <c r="A177" s="25"/>
      <c r="B177" s="25"/>
      <c r="C177" s="54"/>
      <c r="D177" s="55"/>
      <c r="E177" s="20"/>
    </row>
    <row r="178" spans="1:5" x14ac:dyDescent="0.25">
      <c r="A178" s="25"/>
      <c r="B178" s="25"/>
      <c r="C178" s="54"/>
      <c r="D178" s="55"/>
      <c r="E178" s="20"/>
    </row>
    <row r="179" spans="1:5" x14ac:dyDescent="0.25">
      <c r="A179" s="25"/>
      <c r="B179" s="25"/>
      <c r="C179" s="54"/>
      <c r="D179" s="55"/>
      <c r="E179" s="20"/>
    </row>
    <row r="180" spans="1:5" x14ac:dyDescent="0.25">
      <c r="A180" s="49" t="s">
        <v>339</v>
      </c>
      <c r="B180" s="38"/>
      <c r="C180" s="38"/>
      <c r="D180" s="38"/>
      <c r="E180" s="38"/>
    </row>
    <row r="181" spans="1:5" x14ac:dyDescent="0.25">
      <c r="A181" s="45" t="s">
        <v>340</v>
      </c>
      <c r="B181" s="45"/>
      <c r="C181" s="45"/>
      <c r="D181" s="45"/>
      <c r="E181" s="45"/>
    </row>
    <row r="182" spans="1:5" x14ac:dyDescent="0.25">
      <c r="A182" s="20" t="s">
        <v>341</v>
      </c>
      <c r="B182" s="46" t="s">
        <v>284</v>
      </c>
      <c r="C182" s="210">
        <v>4687899</v>
      </c>
      <c r="D182" s="20"/>
      <c r="E182" s="20"/>
    </row>
    <row r="183" spans="1:5" x14ac:dyDescent="0.25">
      <c r="A183" s="20" t="s">
        <v>342</v>
      </c>
      <c r="B183" s="46" t="s">
        <v>284</v>
      </c>
      <c r="C183" s="210">
        <v>209174</v>
      </c>
      <c r="D183" s="20"/>
      <c r="E183" s="20"/>
    </row>
    <row r="184" spans="1:5" x14ac:dyDescent="0.25">
      <c r="A184" s="25" t="s">
        <v>343</v>
      </c>
      <c r="B184" s="46" t="s">
        <v>284</v>
      </c>
      <c r="C184" s="210">
        <v>572551</v>
      </c>
      <c r="D184" s="20"/>
      <c r="E184" s="20"/>
    </row>
    <row r="185" spans="1:5" x14ac:dyDescent="0.25">
      <c r="A185" s="20" t="s">
        <v>344</v>
      </c>
      <c r="B185" s="46" t="s">
        <v>284</v>
      </c>
      <c r="C185" s="210">
        <v>7441852</v>
      </c>
      <c r="D185" s="20"/>
      <c r="E185" s="20"/>
    </row>
    <row r="186" spans="1:5" x14ac:dyDescent="0.25">
      <c r="A186" s="20" t="s">
        <v>345</v>
      </c>
      <c r="B186" s="46" t="s">
        <v>284</v>
      </c>
      <c r="C186" s="210"/>
      <c r="D186" s="20"/>
      <c r="E186" s="20"/>
    </row>
    <row r="187" spans="1:5" x14ac:dyDescent="0.25">
      <c r="A187" s="20" t="s">
        <v>346</v>
      </c>
      <c r="B187" s="46" t="s">
        <v>284</v>
      </c>
      <c r="C187" s="210">
        <v>2940698</v>
      </c>
      <c r="D187" s="20"/>
      <c r="E187" s="20"/>
    </row>
    <row r="188" spans="1:5" x14ac:dyDescent="0.25">
      <c r="A188" s="20" t="s">
        <v>347</v>
      </c>
      <c r="B188" s="46" t="s">
        <v>284</v>
      </c>
      <c r="C188" s="210">
        <v>65132</v>
      </c>
      <c r="D188" s="20"/>
      <c r="E188" s="20"/>
    </row>
    <row r="189" spans="1:5" x14ac:dyDescent="0.25">
      <c r="A189" s="20" t="s">
        <v>347</v>
      </c>
      <c r="B189" s="46" t="s">
        <v>284</v>
      </c>
      <c r="C189" s="47"/>
      <c r="D189" s="20"/>
      <c r="E189" s="20"/>
    </row>
    <row r="190" spans="1:5" x14ac:dyDescent="0.25">
      <c r="A190" s="20" t="s">
        <v>215</v>
      </c>
      <c r="B190" s="20"/>
      <c r="C190" s="27"/>
      <c r="D190" s="32">
        <f>SUM(C182:C189)</f>
        <v>15917306</v>
      </c>
      <c r="E190" s="20"/>
    </row>
    <row r="191" spans="1:5" x14ac:dyDescent="0.25">
      <c r="A191" s="45" t="s">
        <v>348</v>
      </c>
      <c r="B191" s="45"/>
      <c r="C191" s="45"/>
      <c r="D191" s="45"/>
      <c r="E191" s="45"/>
    </row>
    <row r="192" spans="1:5" x14ac:dyDescent="0.25">
      <c r="A192" s="20" t="s">
        <v>349</v>
      </c>
      <c r="B192" s="46" t="s">
        <v>284</v>
      </c>
      <c r="C192" s="210">
        <v>661333</v>
      </c>
      <c r="D192" s="20"/>
      <c r="E192" s="20"/>
    </row>
    <row r="193" spans="1:5" x14ac:dyDescent="0.25">
      <c r="A193" s="20" t="s">
        <v>350</v>
      </c>
      <c r="B193" s="46" t="s">
        <v>284</v>
      </c>
      <c r="C193" s="210">
        <v>1020159</v>
      </c>
      <c r="D193" s="20"/>
      <c r="E193" s="20"/>
    </row>
    <row r="194" spans="1:5" x14ac:dyDescent="0.25">
      <c r="A194" s="20" t="s">
        <v>215</v>
      </c>
      <c r="B194" s="20"/>
      <c r="C194" s="27"/>
      <c r="D194" s="32">
        <f>SUM(C192:C193)</f>
        <v>1681492</v>
      </c>
      <c r="E194" s="20"/>
    </row>
    <row r="195" spans="1:5" x14ac:dyDescent="0.25">
      <c r="A195" s="45" t="s">
        <v>351</v>
      </c>
      <c r="B195" s="45"/>
      <c r="C195" s="45"/>
      <c r="D195" s="45"/>
      <c r="E195" s="45"/>
    </row>
    <row r="196" spans="1:5" x14ac:dyDescent="0.25">
      <c r="A196" s="20" t="s">
        <v>352</v>
      </c>
      <c r="B196" s="46" t="s">
        <v>284</v>
      </c>
      <c r="C196" s="47">
        <v>986267</v>
      </c>
      <c r="D196" s="20"/>
      <c r="E196" s="20"/>
    </row>
    <row r="197" spans="1:5" x14ac:dyDescent="0.25">
      <c r="A197" s="20" t="s">
        <v>353</v>
      </c>
      <c r="B197" s="46" t="s">
        <v>284</v>
      </c>
      <c r="C197" s="47">
        <v>168482</v>
      </c>
      <c r="D197" s="20"/>
      <c r="E197" s="20"/>
    </row>
    <row r="198" spans="1:5" x14ac:dyDescent="0.25">
      <c r="A198" s="20" t="s">
        <v>215</v>
      </c>
      <c r="B198" s="20"/>
      <c r="C198" s="27"/>
      <c r="D198" s="32">
        <f>SUM(C196:C197)</f>
        <v>1154749</v>
      </c>
      <c r="E198" s="20"/>
    </row>
    <row r="199" spans="1:5" x14ac:dyDescent="0.25">
      <c r="A199" s="45" t="s">
        <v>354</v>
      </c>
      <c r="B199" s="45"/>
      <c r="C199" s="45"/>
      <c r="D199" s="45"/>
      <c r="E199" s="45"/>
    </row>
    <row r="200" spans="1:5" x14ac:dyDescent="0.25">
      <c r="A200" s="20" t="s">
        <v>355</v>
      </c>
      <c r="B200" s="46" t="s">
        <v>284</v>
      </c>
      <c r="C200" s="47">
        <v>923436</v>
      </c>
      <c r="D200" s="20"/>
      <c r="E200" s="20"/>
    </row>
    <row r="201" spans="1:5" x14ac:dyDescent="0.25">
      <c r="A201" s="20" t="s">
        <v>356</v>
      </c>
      <c r="B201" s="46" t="s">
        <v>284</v>
      </c>
      <c r="C201" s="47"/>
      <c r="D201" s="20"/>
      <c r="E201" s="20"/>
    </row>
    <row r="202" spans="1:5" x14ac:dyDescent="0.25">
      <c r="A202" s="20" t="s">
        <v>144</v>
      </c>
      <c r="B202" s="46" t="s">
        <v>284</v>
      </c>
      <c r="C202" s="47"/>
      <c r="D202" s="20"/>
      <c r="E202" s="20"/>
    </row>
    <row r="203" spans="1:5" x14ac:dyDescent="0.25">
      <c r="A203" s="20" t="s">
        <v>215</v>
      </c>
      <c r="B203" s="20"/>
      <c r="C203" s="27"/>
      <c r="D203" s="32">
        <f>SUM(C200:C202)</f>
        <v>923436</v>
      </c>
      <c r="E203" s="20"/>
    </row>
    <row r="204" spans="1:5" x14ac:dyDescent="0.25">
      <c r="A204" s="45" t="s">
        <v>357</v>
      </c>
      <c r="B204" s="45"/>
      <c r="C204" s="45"/>
      <c r="D204" s="45"/>
      <c r="E204" s="45"/>
    </row>
    <row r="205" spans="1:5" x14ac:dyDescent="0.25">
      <c r="A205" s="20" t="s">
        <v>358</v>
      </c>
      <c r="B205" s="46" t="s">
        <v>284</v>
      </c>
      <c r="C205" s="47">
        <v>226838</v>
      </c>
      <c r="D205" s="20"/>
      <c r="E205" s="20"/>
    </row>
    <row r="206" spans="1:5" x14ac:dyDescent="0.25">
      <c r="A206" s="20" t="s">
        <v>359</v>
      </c>
      <c r="B206" s="46" t="s">
        <v>284</v>
      </c>
      <c r="C206" s="47">
        <v>743524</v>
      </c>
      <c r="D206" s="20"/>
      <c r="E206" s="20"/>
    </row>
    <row r="207" spans="1:5" x14ac:dyDescent="0.25">
      <c r="A207" s="20" t="s">
        <v>215</v>
      </c>
      <c r="B207" s="20"/>
      <c r="C207" s="27"/>
      <c r="D207" s="32">
        <f>SUM(C205:C206)</f>
        <v>970362</v>
      </c>
      <c r="E207" s="20"/>
    </row>
    <row r="208" spans="1:5" x14ac:dyDescent="0.25">
      <c r="A208" s="20"/>
      <c r="B208" s="20"/>
      <c r="C208" s="27"/>
      <c r="D208" s="20"/>
      <c r="E208" s="20"/>
    </row>
    <row r="209" spans="1:5" x14ac:dyDescent="0.25">
      <c r="A209" s="38" t="s">
        <v>360</v>
      </c>
      <c r="B209" s="38"/>
      <c r="C209" s="38"/>
      <c r="D209" s="38"/>
      <c r="E209" s="38"/>
    </row>
    <row r="210" spans="1:5" x14ac:dyDescent="0.25">
      <c r="A210" s="49" t="s">
        <v>361</v>
      </c>
      <c r="B210" s="38"/>
      <c r="C210" s="38"/>
      <c r="D210" s="38"/>
      <c r="E210" s="38"/>
    </row>
    <row r="211" spans="1:5" x14ac:dyDescent="0.25">
      <c r="A211" s="26"/>
      <c r="B211" s="22" t="s">
        <v>362</v>
      </c>
      <c r="C211" s="21" t="s">
        <v>363</v>
      </c>
      <c r="D211" s="22" t="s">
        <v>364</v>
      </c>
      <c r="E211" s="22" t="s">
        <v>365</v>
      </c>
    </row>
    <row r="212" spans="1:5" x14ac:dyDescent="0.25">
      <c r="A212" s="20" t="s">
        <v>366</v>
      </c>
      <c r="B212" s="214">
        <v>1715331</v>
      </c>
      <c r="C212" s="210">
        <v>6840</v>
      </c>
      <c r="D212" s="214"/>
      <c r="E212" s="32">
        <f t="shared" ref="E212:E220" si="16">SUM(B212:C212)-D212</f>
        <v>1722171</v>
      </c>
    </row>
    <row r="213" spans="1:5" x14ac:dyDescent="0.25">
      <c r="A213" s="20" t="s">
        <v>367</v>
      </c>
      <c r="B213" s="214">
        <v>4028158</v>
      </c>
      <c r="C213" s="210"/>
      <c r="D213" s="214"/>
      <c r="E213" s="32">
        <f t="shared" si="16"/>
        <v>4028158</v>
      </c>
    </row>
    <row r="214" spans="1:5" x14ac:dyDescent="0.25">
      <c r="A214" s="20" t="s">
        <v>368</v>
      </c>
      <c r="B214" s="214">
        <v>49251245</v>
      </c>
      <c r="C214" s="210"/>
      <c r="D214" s="214"/>
      <c r="E214" s="32">
        <f t="shared" si="16"/>
        <v>49251245</v>
      </c>
    </row>
    <row r="215" spans="1:5" x14ac:dyDescent="0.25">
      <c r="A215" s="20" t="s">
        <v>369</v>
      </c>
      <c r="B215" s="214"/>
      <c r="C215" s="210"/>
      <c r="D215" s="214"/>
      <c r="E215" s="32">
        <f t="shared" si="16"/>
        <v>0</v>
      </c>
    </row>
    <row r="216" spans="1:5" x14ac:dyDescent="0.25">
      <c r="A216" s="20" t="s">
        <v>370</v>
      </c>
      <c r="B216" s="214">
        <v>22403842</v>
      </c>
      <c r="C216" s="210">
        <v>9389</v>
      </c>
      <c r="D216" s="214"/>
      <c r="E216" s="32">
        <f t="shared" si="16"/>
        <v>22413231</v>
      </c>
    </row>
    <row r="217" spans="1:5" x14ac:dyDescent="0.25">
      <c r="A217" s="20" t="s">
        <v>371</v>
      </c>
      <c r="B217" s="214">
        <v>10632459</v>
      </c>
      <c r="C217" s="210">
        <v>103644</v>
      </c>
      <c r="D217" s="214"/>
      <c r="E217" s="32">
        <f t="shared" si="16"/>
        <v>10736103</v>
      </c>
    </row>
    <row r="218" spans="1:5" x14ac:dyDescent="0.25">
      <c r="A218" s="20" t="s">
        <v>372</v>
      </c>
      <c r="B218" s="214"/>
      <c r="C218" s="210"/>
      <c r="D218" s="214"/>
      <c r="E218" s="32">
        <f t="shared" si="16"/>
        <v>0</v>
      </c>
    </row>
    <row r="219" spans="1:5" x14ac:dyDescent="0.25">
      <c r="A219" s="20" t="s">
        <v>373</v>
      </c>
      <c r="B219" s="214">
        <v>1361180</v>
      </c>
      <c r="C219" s="210"/>
      <c r="D219" s="214"/>
      <c r="E219" s="32">
        <f t="shared" si="16"/>
        <v>1361180</v>
      </c>
    </row>
    <row r="220" spans="1:5" x14ac:dyDescent="0.25">
      <c r="A220" s="20" t="s">
        <v>374</v>
      </c>
      <c r="B220" s="214">
        <v>995244</v>
      </c>
      <c r="C220" s="210">
        <v>399732</v>
      </c>
      <c r="D220" s="214"/>
      <c r="E220" s="32">
        <f t="shared" si="16"/>
        <v>1394976</v>
      </c>
    </row>
    <row r="221" spans="1:5" x14ac:dyDescent="0.25">
      <c r="A221" s="20" t="s">
        <v>215</v>
      </c>
      <c r="B221" s="32">
        <f>SUM(B212:B220)</f>
        <v>90387459</v>
      </c>
      <c r="C221" s="259">
        <f>SUM(C212:C220)</f>
        <v>519605</v>
      </c>
      <c r="D221" s="32">
        <f>SUM(D212:D220)</f>
        <v>0</v>
      </c>
      <c r="E221" s="32">
        <f>SUM(E212:E220)</f>
        <v>90907064</v>
      </c>
    </row>
    <row r="222" spans="1:5" x14ac:dyDescent="0.25">
      <c r="A222" s="20"/>
      <c r="B222" s="20"/>
      <c r="C222" s="27"/>
      <c r="D222" s="20"/>
      <c r="E222" s="20"/>
    </row>
    <row r="223" spans="1:5" x14ac:dyDescent="0.25">
      <c r="A223" s="49" t="s">
        <v>375</v>
      </c>
      <c r="B223" s="49"/>
      <c r="C223" s="49"/>
      <c r="D223" s="49"/>
      <c r="E223" s="49"/>
    </row>
    <row r="224" spans="1:5" x14ac:dyDescent="0.25">
      <c r="A224" s="26"/>
      <c r="B224" s="22" t="s">
        <v>362</v>
      </c>
      <c r="C224" s="21" t="s">
        <v>363</v>
      </c>
      <c r="D224" s="22" t="s">
        <v>364</v>
      </c>
      <c r="E224" s="22" t="s">
        <v>365</v>
      </c>
    </row>
    <row r="225" spans="1:5" x14ac:dyDescent="0.25">
      <c r="A225" s="20" t="s">
        <v>366</v>
      </c>
      <c r="B225" s="55"/>
      <c r="C225" s="54"/>
      <c r="D225" s="55"/>
      <c r="E225" s="20"/>
    </row>
    <row r="226" spans="1:5" x14ac:dyDescent="0.25">
      <c r="A226" s="20" t="s">
        <v>367</v>
      </c>
      <c r="B226" s="214">
        <v>1766043</v>
      </c>
      <c r="C226" s="210">
        <v>247941</v>
      </c>
      <c r="D226" s="214"/>
      <c r="E226" s="32">
        <f t="shared" ref="E226:E233" si="17">SUM(B226:C226)-D226</f>
        <v>2013984</v>
      </c>
    </row>
    <row r="227" spans="1:5" x14ac:dyDescent="0.25">
      <c r="A227" s="20" t="s">
        <v>368</v>
      </c>
      <c r="B227" s="214">
        <v>21865252</v>
      </c>
      <c r="C227" s="210">
        <v>1567906</v>
      </c>
      <c r="D227" s="214"/>
      <c r="E227" s="32">
        <f t="shared" si="17"/>
        <v>23433158</v>
      </c>
    </row>
    <row r="228" spans="1:5" x14ac:dyDescent="0.25">
      <c r="A228" s="20" t="s">
        <v>369</v>
      </c>
      <c r="B228" s="214"/>
      <c r="C228" s="210"/>
      <c r="D228" s="214"/>
      <c r="E228" s="32">
        <f t="shared" si="17"/>
        <v>0</v>
      </c>
    </row>
    <row r="229" spans="1:5" x14ac:dyDescent="0.25">
      <c r="A229" s="20" t="s">
        <v>370</v>
      </c>
      <c r="B229" s="214">
        <v>10236001</v>
      </c>
      <c r="C229" s="210">
        <v>1485767</v>
      </c>
      <c r="D229" s="214"/>
      <c r="E229" s="32">
        <f t="shared" si="17"/>
        <v>11721768</v>
      </c>
    </row>
    <row r="230" spans="1:5" x14ac:dyDescent="0.25">
      <c r="A230" s="20" t="s">
        <v>371</v>
      </c>
      <c r="B230" s="214">
        <v>15024126</v>
      </c>
      <c r="C230" s="210">
        <v>964538</v>
      </c>
      <c r="D230" s="214"/>
      <c r="E230" s="32">
        <f t="shared" si="17"/>
        <v>15988664</v>
      </c>
    </row>
    <row r="231" spans="1:5" x14ac:dyDescent="0.25">
      <c r="A231" s="20" t="s">
        <v>372</v>
      </c>
      <c r="B231" s="214"/>
      <c r="C231" s="210"/>
      <c r="D231" s="214"/>
      <c r="E231" s="32">
        <f t="shared" si="17"/>
        <v>0</v>
      </c>
    </row>
    <row r="232" spans="1:5" x14ac:dyDescent="0.25">
      <c r="A232" s="20" t="s">
        <v>373</v>
      </c>
      <c r="B232" s="214">
        <v>897717</v>
      </c>
      <c r="C232" s="210">
        <v>110307</v>
      </c>
      <c r="D232" s="214"/>
      <c r="E232" s="32">
        <f t="shared" si="17"/>
        <v>1008024</v>
      </c>
    </row>
    <row r="233" spans="1:5" x14ac:dyDescent="0.25">
      <c r="A233" s="20" t="s">
        <v>374</v>
      </c>
      <c r="B233" s="214"/>
      <c r="C233" s="210"/>
      <c r="D233" s="214"/>
      <c r="E233" s="32">
        <f t="shared" si="17"/>
        <v>0</v>
      </c>
    </row>
    <row r="234" spans="1:5" x14ac:dyDescent="0.25">
      <c r="A234" s="20" t="s">
        <v>215</v>
      </c>
      <c r="B234" s="32">
        <f>SUM(B225:B233)</f>
        <v>49789139</v>
      </c>
      <c r="C234" s="259">
        <f>SUM(C225:C233)</f>
        <v>4376459</v>
      </c>
      <c r="D234" s="32">
        <f>SUM(D225:D233)</f>
        <v>0</v>
      </c>
      <c r="E234" s="32">
        <f>SUM(E225:E233)</f>
        <v>54165598</v>
      </c>
    </row>
    <row r="235" spans="1:5" x14ac:dyDescent="0.25">
      <c r="A235" s="20"/>
      <c r="B235" s="20"/>
      <c r="C235" s="27"/>
      <c r="D235" s="20"/>
      <c r="E235" s="20"/>
    </row>
    <row r="236" spans="1:5" x14ac:dyDescent="0.25">
      <c r="A236" s="38" t="s">
        <v>376</v>
      </c>
      <c r="B236" s="38"/>
      <c r="C236" s="38"/>
      <c r="D236" s="38"/>
      <c r="E236" s="38"/>
    </row>
    <row r="237" spans="1:5" x14ac:dyDescent="0.25">
      <c r="A237" s="38"/>
      <c r="B237" s="402" t="s">
        <v>377</v>
      </c>
      <c r="C237" s="402"/>
      <c r="D237" s="38"/>
      <c r="E237" s="38"/>
    </row>
    <row r="238" spans="1:5" x14ac:dyDescent="0.25">
      <c r="A238" s="56" t="s">
        <v>377</v>
      </c>
      <c r="B238" s="38"/>
      <c r="C238" s="210">
        <v>5525532</v>
      </c>
      <c r="D238" s="40">
        <f>C238</f>
        <v>5525532</v>
      </c>
      <c r="E238" s="38"/>
    </row>
    <row r="239" spans="1:5" x14ac:dyDescent="0.25">
      <c r="A239" s="45" t="s">
        <v>378</v>
      </c>
      <c r="B239" s="45"/>
      <c r="C239" s="45"/>
      <c r="D239" s="45"/>
      <c r="E239" s="45"/>
    </row>
    <row r="240" spans="1:5" x14ac:dyDescent="0.25">
      <c r="A240" s="20" t="s">
        <v>379</v>
      </c>
      <c r="B240" s="46" t="s">
        <v>284</v>
      </c>
      <c r="C240" s="210">
        <v>100993077</v>
      </c>
      <c r="D240" s="20"/>
      <c r="E240" s="20"/>
    </row>
    <row r="241" spans="1:5" x14ac:dyDescent="0.25">
      <c r="A241" s="20" t="s">
        <v>380</v>
      </c>
      <c r="B241" s="46" t="s">
        <v>284</v>
      </c>
      <c r="C241" s="210">
        <v>24245019</v>
      </c>
      <c r="D241" s="20"/>
      <c r="E241" s="20"/>
    </row>
    <row r="242" spans="1:5" x14ac:dyDescent="0.25">
      <c r="A242" s="20" t="s">
        <v>381</v>
      </c>
      <c r="B242" s="46" t="s">
        <v>284</v>
      </c>
      <c r="C242" s="210"/>
      <c r="D242" s="20"/>
      <c r="E242" s="20"/>
    </row>
    <row r="243" spans="1:5" x14ac:dyDescent="0.25">
      <c r="A243" s="20" t="s">
        <v>382</v>
      </c>
      <c r="B243" s="46" t="s">
        <v>284</v>
      </c>
      <c r="C243" s="210"/>
      <c r="D243" s="20"/>
      <c r="E243" s="20"/>
    </row>
    <row r="244" spans="1:5" x14ac:dyDescent="0.25">
      <c r="A244" s="20" t="s">
        <v>383</v>
      </c>
      <c r="B244" s="46" t="s">
        <v>284</v>
      </c>
      <c r="C244" s="210"/>
      <c r="D244" s="20"/>
      <c r="E244" s="20"/>
    </row>
    <row r="245" spans="1:5" x14ac:dyDescent="0.25">
      <c r="A245" s="20" t="s">
        <v>384</v>
      </c>
      <c r="B245" s="46" t="s">
        <v>284</v>
      </c>
      <c r="C245" s="210">
        <v>26198456</v>
      </c>
      <c r="D245" s="20"/>
      <c r="E245" s="20"/>
    </row>
    <row r="246" spans="1:5" x14ac:dyDescent="0.25">
      <c r="A246" s="20" t="s">
        <v>385</v>
      </c>
      <c r="B246" s="20"/>
      <c r="C246" s="27"/>
      <c r="D246" s="32">
        <f>SUM(C240:C245)</f>
        <v>151436552</v>
      </c>
      <c r="E246" s="20"/>
    </row>
    <row r="247" spans="1:5" x14ac:dyDescent="0.25">
      <c r="A247" s="45" t="s">
        <v>386</v>
      </c>
      <c r="B247" s="45"/>
      <c r="C247" s="45"/>
      <c r="D247" s="45"/>
      <c r="E247" s="45"/>
    </row>
    <row r="248" spans="1:5" x14ac:dyDescent="0.25">
      <c r="A248" s="26" t="s">
        <v>387</v>
      </c>
      <c r="B248" s="46" t="s">
        <v>284</v>
      </c>
      <c r="C248" s="210">
        <v>1259</v>
      </c>
      <c r="D248" s="20"/>
      <c r="E248" s="20"/>
    </row>
    <row r="249" spans="1:5" x14ac:dyDescent="0.25">
      <c r="A249" s="26"/>
      <c r="B249" s="46"/>
      <c r="C249" s="27"/>
      <c r="D249" s="20"/>
      <c r="E249" s="20"/>
    </row>
    <row r="250" spans="1:5" x14ac:dyDescent="0.25">
      <c r="A250" s="26" t="s">
        <v>388</v>
      </c>
      <c r="B250" s="46" t="s">
        <v>284</v>
      </c>
      <c r="C250" s="210">
        <v>-10000</v>
      </c>
      <c r="D250" s="20"/>
      <c r="E250" s="20"/>
    </row>
    <row r="251" spans="1:5" x14ac:dyDescent="0.25">
      <c r="A251" s="26" t="s">
        <v>389</v>
      </c>
      <c r="B251" s="46" t="s">
        <v>284</v>
      </c>
      <c r="C251" s="210">
        <v>3882263</v>
      </c>
      <c r="D251" s="20"/>
      <c r="E251" s="20"/>
    </row>
    <row r="252" spans="1:5" x14ac:dyDescent="0.25">
      <c r="A252" s="20"/>
      <c r="B252" s="20"/>
      <c r="C252" s="27"/>
      <c r="D252" s="20"/>
      <c r="E252" s="20"/>
    </row>
    <row r="253" spans="1:5" x14ac:dyDescent="0.25">
      <c r="A253" s="26" t="s">
        <v>390</v>
      </c>
      <c r="B253" s="20"/>
      <c r="C253" s="27"/>
      <c r="D253" s="32">
        <f>SUM(C250:C252)</f>
        <v>3872263</v>
      </c>
      <c r="E253" s="20"/>
    </row>
    <row r="254" spans="1:5" x14ac:dyDescent="0.25">
      <c r="A254" s="45" t="s">
        <v>391</v>
      </c>
      <c r="B254" s="45"/>
      <c r="C254" s="45"/>
      <c r="D254" s="45"/>
      <c r="E254" s="45"/>
    </row>
    <row r="255" spans="1:5" x14ac:dyDescent="0.25">
      <c r="A255" s="20" t="s">
        <v>392</v>
      </c>
      <c r="B255" s="46" t="s">
        <v>284</v>
      </c>
      <c r="C255" s="47"/>
      <c r="D255" s="20"/>
      <c r="E255" s="20"/>
    </row>
    <row r="256" spans="1:5" x14ac:dyDescent="0.25">
      <c r="A256" s="20" t="s">
        <v>391</v>
      </c>
      <c r="B256" s="46" t="s">
        <v>284</v>
      </c>
      <c r="C256" s="47"/>
      <c r="D256" s="20"/>
      <c r="E256" s="20"/>
    </row>
    <row r="257" spans="1:5" x14ac:dyDescent="0.25">
      <c r="A257" s="20" t="s">
        <v>393</v>
      </c>
      <c r="B257" s="20"/>
      <c r="C257" s="27"/>
      <c r="D257" s="32">
        <f>SUM(C255:C256)</f>
        <v>0</v>
      </c>
      <c r="E257" s="20"/>
    </row>
    <row r="258" spans="1:5" x14ac:dyDescent="0.25">
      <c r="A258" s="20"/>
      <c r="B258" s="20"/>
      <c r="C258" s="27"/>
      <c r="D258" s="20"/>
      <c r="E258" s="20"/>
    </row>
    <row r="259" spans="1:5" x14ac:dyDescent="0.25">
      <c r="A259" s="20" t="s">
        <v>394</v>
      </c>
      <c r="B259" s="20"/>
      <c r="C259" s="27"/>
      <c r="D259" s="32">
        <f>D238+D246+D253+D257</f>
        <v>160834347</v>
      </c>
      <c r="E259" s="20"/>
    </row>
    <row r="260" spans="1:5" x14ac:dyDescent="0.25">
      <c r="A260" s="20"/>
      <c r="B260" s="20"/>
      <c r="C260" s="27"/>
      <c r="D260" s="20"/>
      <c r="E260" s="20"/>
    </row>
    <row r="261" spans="1:5" x14ac:dyDescent="0.25">
      <c r="A261" s="20"/>
      <c r="B261" s="20"/>
      <c r="C261" s="27"/>
      <c r="D261" s="20"/>
      <c r="E261" s="20"/>
    </row>
    <row r="262" spans="1:5" x14ac:dyDescent="0.25">
      <c r="A262" s="20"/>
      <c r="B262" s="20"/>
      <c r="C262" s="27"/>
      <c r="D262" s="20"/>
      <c r="E262" s="20"/>
    </row>
    <row r="263" spans="1:5" x14ac:dyDescent="0.25">
      <c r="A263" s="20"/>
      <c r="B263" s="20"/>
      <c r="C263" s="27"/>
      <c r="D263" s="20"/>
      <c r="E263" s="20"/>
    </row>
    <row r="264" spans="1:5" x14ac:dyDescent="0.25">
      <c r="A264" s="20"/>
      <c r="B264" s="20"/>
      <c r="C264" s="27"/>
      <c r="D264" s="20"/>
      <c r="E264" s="20"/>
    </row>
    <row r="265" spans="1:5" x14ac:dyDescent="0.25">
      <c r="A265" s="38" t="s">
        <v>395</v>
      </c>
      <c r="B265" s="38"/>
      <c r="C265" s="38"/>
      <c r="D265" s="38"/>
      <c r="E265" s="38"/>
    </row>
    <row r="266" spans="1:5" x14ac:dyDescent="0.25">
      <c r="A266" s="45" t="s">
        <v>396</v>
      </c>
      <c r="B266" s="45"/>
      <c r="C266" s="45"/>
      <c r="D266" s="45"/>
      <c r="E266" s="45"/>
    </row>
    <row r="267" spans="1:5" x14ac:dyDescent="0.25">
      <c r="A267" s="20" t="s">
        <v>397</v>
      </c>
      <c r="B267" s="46" t="s">
        <v>284</v>
      </c>
      <c r="C267" s="210">
        <v>64455434</v>
      </c>
      <c r="D267" s="20"/>
      <c r="E267" s="20"/>
    </row>
    <row r="268" spans="1:5" x14ac:dyDescent="0.25">
      <c r="A268" s="20" t="s">
        <v>398</v>
      </c>
      <c r="B268" s="46" t="s">
        <v>284</v>
      </c>
      <c r="C268" s="210"/>
      <c r="D268" s="20"/>
      <c r="E268" s="20"/>
    </row>
    <row r="269" spans="1:5" x14ac:dyDescent="0.25">
      <c r="A269" s="20" t="s">
        <v>399</v>
      </c>
      <c r="B269" s="46" t="s">
        <v>284</v>
      </c>
      <c r="C269" s="210">
        <v>36791422</v>
      </c>
      <c r="D269" s="20"/>
      <c r="E269" s="20"/>
    </row>
    <row r="270" spans="1:5" x14ac:dyDescent="0.25">
      <c r="A270" s="20" t="s">
        <v>400</v>
      </c>
      <c r="B270" s="46" t="s">
        <v>284</v>
      </c>
      <c r="C270" s="210">
        <v>19844000</v>
      </c>
      <c r="D270" s="20"/>
      <c r="E270" s="20"/>
    </row>
    <row r="271" spans="1:5" x14ac:dyDescent="0.25">
      <c r="A271" s="20" t="s">
        <v>401</v>
      </c>
      <c r="B271" s="46" t="s">
        <v>284</v>
      </c>
      <c r="C271" s="210"/>
      <c r="D271" s="20"/>
      <c r="E271" s="20"/>
    </row>
    <row r="272" spans="1:5" x14ac:dyDescent="0.25">
      <c r="A272" s="20" t="s">
        <v>402</v>
      </c>
      <c r="B272" s="46" t="s">
        <v>284</v>
      </c>
      <c r="C272" s="210">
        <v>1988668</v>
      </c>
      <c r="D272" s="20"/>
      <c r="E272" s="20"/>
    </row>
    <row r="273" spans="1:5" x14ac:dyDescent="0.25">
      <c r="A273" s="20" t="s">
        <v>403</v>
      </c>
      <c r="B273" s="46" t="s">
        <v>284</v>
      </c>
      <c r="C273" s="210"/>
      <c r="D273" s="20"/>
      <c r="E273" s="20"/>
    </row>
    <row r="274" spans="1:5" x14ac:dyDescent="0.25">
      <c r="A274" s="20" t="s">
        <v>404</v>
      </c>
      <c r="B274" s="46" t="s">
        <v>284</v>
      </c>
      <c r="C274" s="210">
        <v>5195882</v>
      </c>
      <c r="D274" s="20"/>
      <c r="E274" s="20"/>
    </row>
    <row r="275" spans="1:5" x14ac:dyDescent="0.25">
      <c r="A275" s="20" t="s">
        <v>405</v>
      </c>
      <c r="B275" s="46" t="s">
        <v>284</v>
      </c>
      <c r="C275" s="210">
        <v>1513047</v>
      </c>
      <c r="D275" s="20"/>
      <c r="E275" s="20"/>
    </row>
    <row r="276" spans="1:5" x14ac:dyDescent="0.25">
      <c r="A276" s="20" t="s">
        <v>406</v>
      </c>
      <c r="B276" s="46" t="s">
        <v>284</v>
      </c>
      <c r="C276" s="210"/>
      <c r="D276" s="20"/>
      <c r="E276" s="20"/>
    </row>
    <row r="277" spans="1:5" x14ac:dyDescent="0.25">
      <c r="A277" s="20" t="s">
        <v>407</v>
      </c>
      <c r="B277" s="20"/>
      <c r="C277" s="27"/>
      <c r="D277" s="32">
        <f>SUM(C267:C269)-C270+SUM(C271:C276)</f>
        <v>90100453</v>
      </c>
      <c r="E277" s="20"/>
    </row>
    <row r="278" spans="1:5" x14ac:dyDescent="0.25">
      <c r="A278" s="45" t="s">
        <v>408</v>
      </c>
      <c r="B278" s="45"/>
      <c r="C278" s="45"/>
      <c r="D278" s="45"/>
      <c r="E278" s="45"/>
    </row>
    <row r="279" spans="1:5" x14ac:dyDescent="0.25">
      <c r="A279" s="20" t="s">
        <v>397</v>
      </c>
      <c r="B279" s="46" t="s">
        <v>284</v>
      </c>
      <c r="C279" s="47"/>
      <c r="D279" s="20"/>
      <c r="E279" s="20"/>
    </row>
    <row r="280" spans="1:5" x14ac:dyDescent="0.25">
      <c r="A280" s="20" t="s">
        <v>398</v>
      </c>
      <c r="B280" s="46" t="s">
        <v>284</v>
      </c>
      <c r="C280" s="47"/>
      <c r="D280" s="20"/>
      <c r="E280" s="20"/>
    </row>
    <row r="281" spans="1:5" x14ac:dyDescent="0.25">
      <c r="A281" s="20" t="s">
        <v>409</v>
      </c>
      <c r="B281" s="46" t="s">
        <v>284</v>
      </c>
      <c r="C281" s="47"/>
      <c r="D281" s="20"/>
      <c r="E281" s="20"/>
    </row>
    <row r="282" spans="1:5" x14ac:dyDescent="0.25">
      <c r="A282" s="20" t="s">
        <v>410</v>
      </c>
      <c r="B282" s="20"/>
      <c r="C282" s="27"/>
      <c r="D282" s="32">
        <f>SUM(C279:C281)</f>
        <v>0</v>
      </c>
      <c r="E282" s="20"/>
    </row>
    <row r="283" spans="1:5" x14ac:dyDescent="0.25">
      <c r="A283" s="45" t="s">
        <v>411</v>
      </c>
      <c r="B283" s="45"/>
      <c r="C283" s="45"/>
      <c r="D283" s="45"/>
      <c r="E283" s="45"/>
    </row>
    <row r="284" spans="1:5" x14ac:dyDescent="0.25">
      <c r="A284" s="20" t="s">
        <v>366</v>
      </c>
      <c r="B284" s="46" t="s">
        <v>284</v>
      </c>
      <c r="C284" s="210">
        <v>1722171</v>
      </c>
      <c r="D284" s="20"/>
      <c r="E284" s="20"/>
    </row>
    <row r="285" spans="1:5" x14ac:dyDescent="0.25">
      <c r="A285" s="20" t="s">
        <v>367</v>
      </c>
      <c r="B285" s="46" t="s">
        <v>284</v>
      </c>
      <c r="C285" s="210">
        <v>4028158</v>
      </c>
      <c r="D285" s="20"/>
      <c r="E285" s="20"/>
    </row>
    <row r="286" spans="1:5" x14ac:dyDescent="0.25">
      <c r="A286" s="20" t="s">
        <v>368</v>
      </c>
      <c r="B286" s="46" t="s">
        <v>284</v>
      </c>
      <c r="C286" s="210">
        <v>49251245</v>
      </c>
      <c r="D286" s="20"/>
      <c r="E286" s="20"/>
    </row>
    <row r="287" spans="1:5" x14ac:dyDescent="0.25">
      <c r="A287" s="20" t="s">
        <v>412</v>
      </c>
      <c r="B287" s="46" t="s">
        <v>284</v>
      </c>
      <c r="C287" s="210">
        <v>0</v>
      </c>
      <c r="D287" s="20"/>
      <c r="E287" s="20"/>
    </row>
    <row r="288" spans="1:5" x14ac:dyDescent="0.25">
      <c r="A288" s="20" t="s">
        <v>413</v>
      </c>
      <c r="B288" s="46" t="s">
        <v>284</v>
      </c>
      <c r="C288" s="210">
        <v>22413231</v>
      </c>
      <c r="D288" s="20"/>
      <c r="E288" s="20"/>
    </row>
    <row r="289" spans="1:5" x14ac:dyDescent="0.25">
      <c r="A289" s="20" t="s">
        <v>414</v>
      </c>
      <c r="B289" s="46" t="s">
        <v>284</v>
      </c>
      <c r="C289" s="210">
        <v>10736103</v>
      </c>
      <c r="D289" s="20"/>
      <c r="E289" s="20"/>
    </row>
    <row r="290" spans="1:5" x14ac:dyDescent="0.25">
      <c r="A290" s="20" t="s">
        <v>373</v>
      </c>
      <c r="B290" s="46" t="s">
        <v>284</v>
      </c>
      <c r="C290" s="210">
        <v>1361180</v>
      </c>
      <c r="D290" s="20"/>
      <c r="E290" s="20"/>
    </row>
    <row r="291" spans="1:5" x14ac:dyDescent="0.25">
      <c r="A291" s="20" t="s">
        <v>374</v>
      </c>
      <c r="B291" s="46" t="s">
        <v>284</v>
      </c>
      <c r="C291" s="210">
        <v>1394976</v>
      </c>
      <c r="D291" s="20"/>
      <c r="E291" s="20"/>
    </row>
    <row r="292" spans="1:5" x14ac:dyDescent="0.25">
      <c r="A292" s="20" t="s">
        <v>415</v>
      </c>
      <c r="B292" s="20"/>
      <c r="C292" s="27"/>
      <c r="D292" s="32">
        <f>SUM(C284:C291)</f>
        <v>90907064</v>
      </c>
      <c r="E292" s="20"/>
    </row>
    <row r="293" spans="1:5" x14ac:dyDescent="0.25">
      <c r="A293" s="20" t="s">
        <v>416</v>
      </c>
      <c r="B293" s="46" t="s">
        <v>284</v>
      </c>
      <c r="C293" s="47">
        <v>54165598</v>
      </c>
      <c r="D293" s="20"/>
      <c r="E293" s="20"/>
    </row>
    <row r="294" spans="1:5" x14ac:dyDescent="0.25">
      <c r="A294" s="20" t="s">
        <v>417</v>
      </c>
      <c r="B294" s="20"/>
      <c r="C294" s="27"/>
      <c r="D294" s="32">
        <f>D292-C293</f>
        <v>36741466</v>
      </c>
      <c r="E294" s="20"/>
    </row>
    <row r="295" spans="1:5" x14ac:dyDescent="0.25">
      <c r="A295" s="45" t="s">
        <v>418</v>
      </c>
      <c r="B295" s="45"/>
      <c r="C295" s="45"/>
      <c r="D295" s="45"/>
      <c r="E295" s="45"/>
    </row>
    <row r="296" spans="1:5" x14ac:dyDescent="0.25">
      <c r="A296" s="20" t="s">
        <v>419</v>
      </c>
      <c r="B296" s="46" t="s">
        <v>284</v>
      </c>
      <c r="C296" s="210"/>
      <c r="D296" s="20"/>
      <c r="E296" s="20"/>
    </row>
    <row r="297" spans="1:5" x14ac:dyDescent="0.25">
      <c r="A297" s="20" t="s">
        <v>420</v>
      </c>
      <c r="B297" s="46" t="s">
        <v>284</v>
      </c>
      <c r="C297" s="210"/>
      <c r="D297" s="20"/>
      <c r="E297" s="20"/>
    </row>
    <row r="298" spans="1:5" x14ac:dyDescent="0.25">
      <c r="A298" s="20" t="s">
        <v>421</v>
      </c>
      <c r="B298" s="46" t="s">
        <v>284</v>
      </c>
      <c r="C298" s="210"/>
      <c r="D298" s="20"/>
      <c r="E298" s="20"/>
    </row>
    <row r="299" spans="1:5" x14ac:dyDescent="0.25">
      <c r="A299" s="20" t="s">
        <v>409</v>
      </c>
      <c r="B299" s="46" t="s">
        <v>284</v>
      </c>
      <c r="C299" s="210"/>
      <c r="D299" s="20"/>
      <c r="E299" s="20"/>
    </row>
    <row r="300" spans="1:5" x14ac:dyDescent="0.25">
      <c r="A300" s="20" t="s">
        <v>422</v>
      </c>
      <c r="B300" s="20"/>
      <c r="C300" s="27"/>
      <c r="D300" s="32">
        <f>C296-C297+C298+C299</f>
        <v>0</v>
      </c>
      <c r="E300" s="20"/>
    </row>
    <row r="301" spans="1:5" x14ac:dyDescent="0.25">
      <c r="A301" s="20"/>
      <c r="B301" s="20"/>
      <c r="C301" s="27"/>
      <c r="D301" s="20"/>
      <c r="E301" s="20"/>
    </row>
    <row r="302" spans="1:5" x14ac:dyDescent="0.25">
      <c r="A302" s="45" t="s">
        <v>423</v>
      </c>
      <c r="B302" s="45"/>
      <c r="C302" s="45"/>
      <c r="D302" s="45"/>
      <c r="E302" s="45"/>
    </row>
    <row r="303" spans="1:5" x14ac:dyDescent="0.25">
      <c r="A303" s="20" t="s">
        <v>424</v>
      </c>
      <c r="B303" s="46" t="s">
        <v>284</v>
      </c>
      <c r="C303" s="210"/>
      <c r="D303" s="20"/>
      <c r="E303" s="20"/>
    </row>
    <row r="304" spans="1:5" x14ac:dyDescent="0.25">
      <c r="A304" s="20" t="s">
        <v>425</v>
      </c>
      <c r="B304" s="46" t="s">
        <v>284</v>
      </c>
      <c r="C304" s="210"/>
      <c r="D304" s="20"/>
      <c r="E304" s="20"/>
    </row>
    <row r="305" spans="1:5" x14ac:dyDescent="0.25">
      <c r="A305" s="20" t="s">
        <v>426</v>
      </c>
      <c r="B305" s="46" t="s">
        <v>284</v>
      </c>
      <c r="C305" s="210"/>
      <c r="D305" s="20"/>
      <c r="E305" s="20"/>
    </row>
    <row r="306" spans="1:5" x14ac:dyDescent="0.25">
      <c r="A306" s="20" t="s">
        <v>427</v>
      </c>
      <c r="B306" s="46" t="s">
        <v>284</v>
      </c>
      <c r="C306" s="210"/>
      <c r="D306" s="20"/>
      <c r="E306" s="20"/>
    </row>
    <row r="307" spans="1:5" x14ac:dyDescent="0.25">
      <c r="A307" s="20" t="s">
        <v>428</v>
      </c>
      <c r="B307" s="20"/>
      <c r="C307" s="27"/>
      <c r="D307" s="32">
        <f>SUM(C303:C306)</f>
        <v>0</v>
      </c>
      <c r="E307" s="20"/>
    </row>
    <row r="308" spans="1:5" x14ac:dyDescent="0.25">
      <c r="A308" s="20"/>
      <c r="B308" s="20"/>
      <c r="C308" s="27"/>
      <c r="D308" s="20"/>
      <c r="E308" s="20"/>
    </row>
    <row r="309" spans="1:5" x14ac:dyDescent="0.25">
      <c r="A309" s="20" t="s">
        <v>429</v>
      </c>
      <c r="B309" s="20"/>
      <c r="C309" s="27"/>
      <c r="D309" s="32">
        <f>D277+D282+D294+D300+D307</f>
        <v>126841919</v>
      </c>
      <c r="E309" s="20"/>
    </row>
    <row r="310" spans="1:5" x14ac:dyDescent="0.25">
      <c r="A310" s="20"/>
      <c r="B310" s="20"/>
      <c r="C310" s="27"/>
      <c r="D310" s="20"/>
      <c r="E310" s="20"/>
    </row>
    <row r="311" spans="1:5" x14ac:dyDescent="0.25">
      <c r="A311" s="20"/>
      <c r="B311" s="20"/>
      <c r="C311" s="27"/>
      <c r="D311" s="20"/>
      <c r="E311" s="20"/>
    </row>
    <row r="312" spans="1:5" x14ac:dyDescent="0.25">
      <c r="A312" s="20"/>
      <c r="B312" s="20"/>
      <c r="C312" s="27"/>
      <c r="D312" s="20"/>
      <c r="E312" s="20"/>
    </row>
    <row r="313" spans="1:5" x14ac:dyDescent="0.25">
      <c r="A313" s="38" t="s">
        <v>430</v>
      </c>
      <c r="B313" s="38"/>
      <c r="C313" s="38"/>
      <c r="D313" s="38"/>
      <c r="E313" s="38"/>
    </row>
    <row r="314" spans="1:5" x14ac:dyDescent="0.25">
      <c r="A314" s="45" t="s">
        <v>431</v>
      </c>
      <c r="B314" s="45"/>
      <c r="C314" s="45"/>
      <c r="D314" s="45"/>
      <c r="E314" s="45"/>
    </row>
    <row r="315" spans="1:5" x14ac:dyDescent="0.25">
      <c r="A315" s="20" t="s">
        <v>432</v>
      </c>
      <c r="B315" s="46" t="s">
        <v>284</v>
      </c>
      <c r="C315" s="210"/>
      <c r="D315" s="20"/>
      <c r="E315" s="20"/>
    </row>
    <row r="316" spans="1:5" x14ac:dyDescent="0.25">
      <c r="A316" s="20" t="s">
        <v>433</v>
      </c>
      <c r="B316" s="46" t="s">
        <v>284</v>
      </c>
      <c r="C316" s="210">
        <v>3264310</v>
      </c>
      <c r="D316" s="20"/>
      <c r="E316" s="20"/>
    </row>
    <row r="317" spans="1:5" x14ac:dyDescent="0.25">
      <c r="A317" s="20" t="s">
        <v>434</v>
      </c>
      <c r="B317" s="46" t="s">
        <v>284</v>
      </c>
      <c r="C317" s="210">
        <v>9522030</v>
      </c>
      <c r="D317" s="20"/>
      <c r="E317" s="20"/>
    </row>
    <row r="318" spans="1:5" x14ac:dyDescent="0.25">
      <c r="A318" s="20" t="s">
        <v>435</v>
      </c>
      <c r="B318" s="46" t="s">
        <v>284</v>
      </c>
      <c r="C318" s="210">
        <v>276085</v>
      </c>
      <c r="D318" s="20"/>
      <c r="E318" s="20"/>
    </row>
    <row r="319" spans="1:5" x14ac:dyDescent="0.25">
      <c r="A319" s="20" t="s">
        <v>436</v>
      </c>
      <c r="B319" s="46" t="s">
        <v>284</v>
      </c>
      <c r="C319" s="210">
        <v>4600412</v>
      </c>
      <c r="D319" s="20"/>
      <c r="E319" s="20"/>
    </row>
    <row r="320" spans="1:5" x14ac:dyDescent="0.25">
      <c r="A320" s="20" t="s">
        <v>437</v>
      </c>
      <c r="B320" s="46" t="s">
        <v>284</v>
      </c>
      <c r="C320" s="210"/>
      <c r="D320" s="20"/>
      <c r="E320" s="20"/>
    </row>
    <row r="321" spans="1:5" x14ac:dyDescent="0.25">
      <c r="A321" s="20" t="s">
        <v>438</v>
      </c>
      <c r="B321" s="46" t="s">
        <v>284</v>
      </c>
      <c r="C321" s="210"/>
      <c r="D321" s="20"/>
      <c r="E321" s="20"/>
    </row>
    <row r="322" spans="1:5" x14ac:dyDescent="0.25">
      <c r="A322" s="20" t="s">
        <v>439</v>
      </c>
      <c r="B322" s="46" t="s">
        <v>284</v>
      </c>
      <c r="C322" s="210"/>
      <c r="D322" s="20"/>
      <c r="E322" s="20"/>
    </row>
    <row r="323" spans="1:5" x14ac:dyDescent="0.25">
      <c r="A323" s="20" t="s">
        <v>440</v>
      </c>
      <c r="B323" s="46" t="s">
        <v>284</v>
      </c>
      <c r="C323" s="210">
        <v>8966970</v>
      </c>
      <c r="D323" s="20"/>
      <c r="E323" s="20"/>
    </row>
    <row r="324" spans="1:5" x14ac:dyDescent="0.25">
      <c r="A324" s="20" t="s">
        <v>441</v>
      </c>
      <c r="B324" s="46" t="s">
        <v>284</v>
      </c>
      <c r="C324" s="210">
        <v>1540013</v>
      </c>
      <c r="D324" s="20"/>
      <c r="E324" s="20"/>
    </row>
    <row r="325" spans="1:5" x14ac:dyDescent="0.25">
      <c r="A325" s="20" t="s">
        <v>442</v>
      </c>
      <c r="B325" s="20"/>
      <c r="C325" s="27"/>
      <c r="D325" s="32">
        <f>SUM(C315:C324)</f>
        <v>28169820</v>
      </c>
      <c r="E325" s="20"/>
    </row>
    <row r="326" spans="1:5" x14ac:dyDescent="0.25">
      <c r="A326" s="45" t="s">
        <v>443</v>
      </c>
      <c r="B326" s="45"/>
      <c r="C326" s="45"/>
      <c r="D326" s="45"/>
      <c r="E326" s="45"/>
    </row>
    <row r="327" spans="1:5" x14ac:dyDescent="0.25">
      <c r="A327" s="20" t="s">
        <v>444</v>
      </c>
      <c r="B327" s="46" t="s">
        <v>284</v>
      </c>
      <c r="C327" s="210"/>
      <c r="D327" s="20"/>
      <c r="E327" s="20"/>
    </row>
    <row r="328" spans="1:5" x14ac:dyDescent="0.25">
      <c r="A328" s="20" t="s">
        <v>445</v>
      </c>
      <c r="B328" s="46" t="s">
        <v>284</v>
      </c>
      <c r="C328" s="210">
        <v>2645331</v>
      </c>
      <c r="D328" s="20"/>
      <c r="E328" s="20"/>
    </row>
    <row r="329" spans="1:5" x14ac:dyDescent="0.25">
      <c r="A329" s="20" t="s">
        <v>446</v>
      </c>
      <c r="B329" s="46" t="s">
        <v>284</v>
      </c>
      <c r="C329" s="210"/>
      <c r="D329" s="20"/>
      <c r="E329" s="20"/>
    </row>
    <row r="330" spans="1:5" x14ac:dyDescent="0.25">
      <c r="A330" s="20" t="s">
        <v>447</v>
      </c>
      <c r="B330" s="20"/>
      <c r="C330" s="27"/>
      <c r="D330" s="32">
        <f>SUM(C327:C329)</f>
        <v>2645331</v>
      </c>
      <c r="E330" s="20"/>
    </row>
    <row r="331" spans="1:5" x14ac:dyDescent="0.25">
      <c r="A331" s="45" t="s">
        <v>448</v>
      </c>
      <c r="B331" s="45"/>
      <c r="C331" s="45"/>
      <c r="D331" s="45"/>
      <c r="E331" s="45"/>
    </row>
    <row r="332" spans="1:5" x14ac:dyDescent="0.25">
      <c r="A332" s="20" t="s">
        <v>449</v>
      </c>
      <c r="B332" s="46" t="s">
        <v>284</v>
      </c>
      <c r="C332" s="210"/>
      <c r="D332" s="20"/>
      <c r="E332" s="20"/>
    </row>
    <row r="333" spans="1:5" x14ac:dyDescent="0.25">
      <c r="A333" s="20" t="s">
        <v>450</v>
      </c>
      <c r="B333" s="46" t="s">
        <v>284</v>
      </c>
      <c r="C333" s="210"/>
      <c r="D333" s="20"/>
      <c r="E333" s="20"/>
    </row>
    <row r="334" spans="1:5" x14ac:dyDescent="0.25">
      <c r="A334" s="20" t="s">
        <v>451</v>
      </c>
      <c r="B334" s="46" t="s">
        <v>284</v>
      </c>
      <c r="C334" s="210"/>
      <c r="D334" s="20"/>
      <c r="E334" s="20"/>
    </row>
    <row r="335" spans="1:5" x14ac:dyDescent="0.25">
      <c r="A335" s="26" t="s">
        <v>452</v>
      </c>
      <c r="B335" s="46" t="s">
        <v>284</v>
      </c>
      <c r="C335" s="210">
        <v>185580</v>
      </c>
      <c r="D335" s="20"/>
      <c r="E335" s="20"/>
    </row>
    <row r="336" spans="1:5" x14ac:dyDescent="0.25">
      <c r="A336" s="20" t="s">
        <v>453</v>
      </c>
      <c r="B336" s="46" t="s">
        <v>284</v>
      </c>
      <c r="C336" s="210">
        <v>26616677</v>
      </c>
      <c r="D336" s="20"/>
      <c r="E336" s="20"/>
    </row>
    <row r="337" spans="1:5" x14ac:dyDescent="0.25">
      <c r="A337" s="26" t="s">
        <v>454</v>
      </c>
      <c r="B337" s="46" t="s">
        <v>284</v>
      </c>
      <c r="C337" s="210"/>
      <c r="D337" s="20"/>
      <c r="E337" s="20"/>
    </row>
    <row r="338" spans="1:5" x14ac:dyDescent="0.25">
      <c r="A338" s="26" t="s">
        <v>455</v>
      </c>
      <c r="B338" s="46" t="s">
        <v>284</v>
      </c>
      <c r="C338" s="265"/>
      <c r="D338" s="20"/>
      <c r="E338" s="20"/>
    </row>
    <row r="339" spans="1:5" x14ac:dyDescent="0.25">
      <c r="A339" s="20" t="s">
        <v>456</v>
      </c>
      <c r="B339" s="46" t="s">
        <v>284</v>
      </c>
      <c r="C339" s="210"/>
      <c r="D339" s="20"/>
      <c r="E339" s="20"/>
    </row>
    <row r="340" spans="1:5" x14ac:dyDescent="0.25">
      <c r="A340" s="20" t="s">
        <v>215</v>
      </c>
      <c r="B340" s="20"/>
      <c r="C340" s="27"/>
      <c r="D340" s="32">
        <f>SUM(C332:C339)</f>
        <v>26802257</v>
      </c>
      <c r="E340" s="20"/>
    </row>
    <row r="341" spans="1:5" x14ac:dyDescent="0.25">
      <c r="A341" s="20" t="s">
        <v>457</v>
      </c>
      <c r="B341" s="20"/>
      <c r="C341" s="27"/>
      <c r="D341" s="32">
        <f>C324</f>
        <v>1540013</v>
      </c>
      <c r="E341" s="20"/>
    </row>
    <row r="342" spans="1:5" x14ac:dyDescent="0.25">
      <c r="A342" s="20" t="s">
        <v>458</v>
      </c>
      <c r="B342" s="20"/>
      <c r="C342" s="27"/>
      <c r="D342" s="32">
        <f>D340-D341</f>
        <v>25262244</v>
      </c>
      <c r="E342" s="20"/>
    </row>
    <row r="343" spans="1:5" x14ac:dyDescent="0.25">
      <c r="A343" s="20"/>
      <c r="B343" s="20"/>
      <c r="C343" s="27"/>
      <c r="D343" s="20"/>
      <c r="E343" s="20"/>
    </row>
    <row r="344" spans="1:5" x14ac:dyDescent="0.25">
      <c r="A344" s="20" t="s">
        <v>459</v>
      </c>
      <c r="B344" s="46" t="s">
        <v>284</v>
      </c>
      <c r="C344" s="215">
        <v>70764524</v>
      </c>
      <c r="D344" s="20"/>
      <c r="E344" s="20"/>
    </row>
    <row r="345" spans="1:5" x14ac:dyDescent="0.25">
      <c r="A345" s="20"/>
      <c r="B345" s="46"/>
      <c r="C345" s="57"/>
      <c r="D345" s="20"/>
      <c r="E345" s="20"/>
    </row>
    <row r="346" spans="1:5" x14ac:dyDescent="0.25">
      <c r="A346" s="20" t="s">
        <v>460</v>
      </c>
      <c r="B346" s="46" t="s">
        <v>284</v>
      </c>
      <c r="C346" s="228"/>
      <c r="D346" s="20"/>
      <c r="E346" s="20"/>
    </row>
    <row r="347" spans="1:5" x14ac:dyDescent="0.25">
      <c r="A347" s="20" t="s">
        <v>461</v>
      </c>
      <c r="B347" s="46" t="s">
        <v>284</v>
      </c>
      <c r="C347" s="228"/>
      <c r="D347" s="20"/>
      <c r="E347" s="20"/>
    </row>
    <row r="348" spans="1:5" x14ac:dyDescent="0.25">
      <c r="A348" s="20" t="s">
        <v>462</v>
      </c>
      <c r="B348" s="46" t="s">
        <v>284</v>
      </c>
      <c r="C348" s="228"/>
      <c r="D348" s="20"/>
      <c r="E348" s="20"/>
    </row>
    <row r="349" spans="1:5" x14ac:dyDescent="0.25">
      <c r="A349" s="20" t="s">
        <v>463</v>
      </c>
      <c r="B349" s="46" t="s">
        <v>284</v>
      </c>
      <c r="C349" s="228"/>
      <c r="D349" s="20"/>
      <c r="E349" s="20"/>
    </row>
    <row r="350" spans="1:5" x14ac:dyDescent="0.25">
      <c r="A350" s="20" t="s">
        <v>464</v>
      </c>
      <c r="B350" s="46" t="s">
        <v>284</v>
      </c>
      <c r="C350" s="228"/>
      <c r="D350" s="20"/>
      <c r="E350" s="20"/>
    </row>
    <row r="351" spans="1:5" x14ac:dyDescent="0.25">
      <c r="A351" s="20" t="s">
        <v>465</v>
      </c>
      <c r="B351" s="20"/>
      <c r="C351" s="27"/>
      <c r="D351" s="32">
        <f>D325+D330+D342+C344+C348+C349</f>
        <v>126841919</v>
      </c>
      <c r="E351" s="20"/>
    </row>
    <row r="352" spans="1:5" x14ac:dyDescent="0.25">
      <c r="A352" s="20"/>
      <c r="B352" s="20"/>
      <c r="C352" s="27"/>
      <c r="D352" s="20"/>
      <c r="E352" s="20"/>
    </row>
    <row r="353" spans="1:5" x14ac:dyDescent="0.25">
      <c r="A353" s="20" t="s">
        <v>466</v>
      </c>
      <c r="B353" s="20"/>
      <c r="C353" s="27"/>
      <c r="D353" s="32">
        <f>D309</f>
        <v>126841919</v>
      </c>
      <c r="E353" s="20"/>
    </row>
    <row r="354" spans="1:5" x14ac:dyDescent="0.25">
      <c r="A354" s="20"/>
      <c r="B354" s="20"/>
      <c r="C354" s="27"/>
      <c r="D354" s="20"/>
      <c r="E354" s="20"/>
    </row>
    <row r="355" spans="1:5" x14ac:dyDescent="0.25">
      <c r="A355" s="20"/>
      <c r="B355" s="20"/>
      <c r="C355" s="27"/>
      <c r="D355" s="20"/>
      <c r="E355" s="20"/>
    </row>
    <row r="356" spans="1:5" x14ac:dyDescent="0.25">
      <c r="A356" s="20"/>
      <c r="B356" s="20"/>
      <c r="C356" s="27"/>
      <c r="D356" s="20"/>
      <c r="E356" s="20"/>
    </row>
    <row r="357" spans="1:5" x14ac:dyDescent="0.25">
      <c r="A357" s="38" t="s">
        <v>467</v>
      </c>
      <c r="B357" s="38"/>
      <c r="C357" s="38"/>
      <c r="D357" s="38"/>
      <c r="E357" s="38"/>
    </row>
    <row r="358" spans="1:5" x14ac:dyDescent="0.25">
      <c r="A358" s="45" t="s">
        <v>468</v>
      </c>
      <c r="B358" s="45"/>
      <c r="C358" s="45"/>
      <c r="D358" s="45"/>
      <c r="E358" s="45"/>
    </row>
    <row r="359" spans="1:5" x14ac:dyDescent="0.25">
      <c r="A359" s="20" t="s">
        <v>469</v>
      </c>
      <c r="B359" s="46" t="s">
        <v>284</v>
      </c>
      <c r="C359" s="229">
        <v>39798234</v>
      </c>
      <c r="D359" s="20"/>
      <c r="E359" s="20"/>
    </row>
    <row r="360" spans="1:5" x14ac:dyDescent="0.25">
      <c r="A360" s="20" t="s">
        <v>470</v>
      </c>
      <c r="B360" s="46" t="s">
        <v>284</v>
      </c>
      <c r="C360" s="229">
        <v>258197348</v>
      </c>
      <c r="D360" s="20"/>
      <c r="E360" s="20"/>
    </row>
    <row r="361" spans="1:5" x14ac:dyDescent="0.25">
      <c r="A361" s="20" t="s">
        <v>471</v>
      </c>
      <c r="B361" s="20"/>
      <c r="C361" s="27"/>
      <c r="D361" s="32">
        <f>SUM(C359:C360)</f>
        <v>297995582</v>
      </c>
      <c r="E361" s="20"/>
    </row>
    <row r="362" spans="1:5" x14ac:dyDescent="0.25">
      <c r="A362" s="45" t="s">
        <v>472</v>
      </c>
      <c r="B362" s="45"/>
      <c r="C362" s="45"/>
      <c r="D362" s="45"/>
      <c r="E362" s="45"/>
    </row>
    <row r="363" spans="1:5" x14ac:dyDescent="0.25">
      <c r="A363" s="20" t="s">
        <v>377</v>
      </c>
      <c r="B363" s="45"/>
      <c r="C363" s="210">
        <v>5525532</v>
      </c>
      <c r="D363" s="20"/>
      <c r="E363" s="45"/>
    </row>
    <row r="364" spans="1:5" x14ac:dyDescent="0.25">
      <c r="A364" s="20" t="s">
        <v>473</v>
      </c>
      <c r="B364" s="46" t="s">
        <v>284</v>
      </c>
      <c r="C364" s="210">
        <v>151436552</v>
      </c>
      <c r="D364" s="20"/>
      <c r="E364" s="20"/>
    </row>
    <row r="365" spans="1:5" x14ac:dyDescent="0.25">
      <c r="A365" s="20" t="s">
        <v>474</v>
      </c>
      <c r="B365" s="46" t="s">
        <v>284</v>
      </c>
      <c r="C365" s="210">
        <v>3872263</v>
      </c>
      <c r="D365" s="20"/>
      <c r="E365" s="20"/>
    </row>
    <row r="366" spans="1:5" x14ac:dyDescent="0.25">
      <c r="A366" s="20" t="s">
        <v>475</v>
      </c>
      <c r="B366" s="46" t="s">
        <v>284</v>
      </c>
      <c r="C366" s="210"/>
      <c r="D366" s="20"/>
      <c r="E366" s="20"/>
    </row>
    <row r="367" spans="1:5" x14ac:dyDescent="0.25">
      <c r="A367" s="20" t="s">
        <v>394</v>
      </c>
      <c r="B367" s="20"/>
      <c r="C367" s="27"/>
      <c r="D367" s="32">
        <f>SUM(C363:C366)</f>
        <v>160834347</v>
      </c>
      <c r="E367" s="20"/>
    </row>
    <row r="368" spans="1:5" x14ac:dyDescent="0.25">
      <c r="A368" s="20" t="s">
        <v>476</v>
      </c>
      <c r="B368" s="20"/>
      <c r="C368" s="27"/>
      <c r="D368" s="32">
        <f>D361-D367</f>
        <v>137161235</v>
      </c>
      <c r="E368" s="20"/>
    </row>
    <row r="369" spans="1:6" x14ac:dyDescent="0.25">
      <c r="A369" s="58" t="s">
        <v>477</v>
      </c>
      <c r="B369" s="45"/>
      <c r="C369" s="45"/>
      <c r="D369" s="45"/>
      <c r="E369" s="45"/>
    </row>
    <row r="370" spans="1:6" x14ac:dyDescent="0.25">
      <c r="A370" s="32" t="s">
        <v>478</v>
      </c>
      <c r="B370" s="20"/>
      <c r="C370" s="20"/>
      <c r="D370" s="20"/>
      <c r="E370" s="20"/>
    </row>
    <row r="371" spans="1:6" x14ac:dyDescent="0.25">
      <c r="A371" s="59" t="s">
        <v>479</v>
      </c>
      <c r="B371" s="40" t="s">
        <v>284</v>
      </c>
      <c r="C371" s="266"/>
      <c r="D371" s="32"/>
      <c r="E371" s="32"/>
    </row>
    <row r="372" spans="1:6" x14ac:dyDescent="0.25">
      <c r="A372" s="59" t="s">
        <v>480</v>
      </c>
      <c r="B372" s="40" t="s">
        <v>284</v>
      </c>
      <c r="C372" s="266"/>
      <c r="D372" s="32"/>
      <c r="E372" s="32"/>
    </row>
    <row r="373" spans="1:6" x14ac:dyDescent="0.25">
      <c r="A373" s="59" t="s">
        <v>481</v>
      </c>
      <c r="B373" s="40" t="s">
        <v>284</v>
      </c>
      <c r="C373" s="266"/>
      <c r="D373" s="32"/>
      <c r="E373" s="32"/>
    </row>
    <row r="374" spans="1:6" x14ac:dyDescent="0.25">
      <c r="A374" s="59" t="s">
        <v>482</v>
      </c>
      <c r="B374" s="40" t="s">
        <v>284</v>
      </c>
      <c r="C374" s="266"/>
      <c r="D374" s="32"/>
      <c r="E374" s="32"/>
    </row>
    <row r="375" spans="1:6" x14ac:dyDescent="0.25">
      <c r="A375" s="59" t="s">
        <v>483</v>
      </c>
      <c r="B375" s="40" t="s">
        <v>284</v>
      </c>
      <c r="C375" s="266"/>
      <c r="D375" s="32"/>
      <c r="E375" s="32"/>
    </row>
    <row r="376" spans="1:6" x14ac:dyDescent="0.25">
      <c r="A376" s="59" t="s">
        <v>484</v>
      </c>
      <c r="B376" s="40" t="s">
        <v>284</v>
      </c>
      <c r="C376" s="266"/>
      <c r="D376" s="32"/>
      <c r="E376" s="32"/>
    </row>
    <row r="377" spans="1:6" x14ac:dyDescent="0.25">
      <c r="A377" s="59" t="s">
        <v>485</v>
      </c>
      <c r="B377" s="40" t="s">
        <v>284</v>
      </c>
      <c r="C377" s="266"/>
      <c r="D377" s="32"/>
      <c r="E377" s="32"/>
    </row>
    <row r="378" spans="1:6" x14ac:dyDescent="0.25">
      <c r="A378" s="59" t="s">
        <v>486</v>
      </c>
      <c r="B378" s="40" t="s">
        <v>284</v>
      </c>
      <c r="C378" s="266"/>
      <c r="D378" s="32"/>
      <c r="E378" s="32"/>
    </row>
    <row r="379" spans="1:6" x14ac:dyDescent="0.25">
      <c r="A379" s="59" t="s">
        <v>487</v>
      </c>
      <c r="B379" s="40" t="s">
        <v>284</v>
      </c>
      <c r="C379" s="266"/>
      <c r="D379" s="32"/>
      <c r="E379" s="32"/>
    </row>
    <row r="380" spans="1:6" x14ac:dyDescent="0.25">
      <c r="A380" s="59" t="s">
        <v>488</v>
      </c>
      <c r="B380" s="40" t="s">
        <v>284</v>
      </c>
      <c r="C380" s="266"/>
      <c r="D380" s="32"/>
      <c r="E380" s="32"/>
    </row>
    <row r="381" spans="1:6" x14ac:dyDescent="0.25">
      <c r="A381" s="59" t="s">
        <v>489</v>
      </c>
      <c r="B381" s="40" t="s">
        <v>284</v>
      </c>
      <c r="C381" s="230">
        <v>9226620</v>
      </c>
      <c r="D381" s="32"/>
      <c r="E381" s="231" t="str">
        <f>IF(OR(C381&gt;999999,C381/(D361+D384)&gt;0.01),"Additional Classification Necessary - See Responses-2 Tab","")</f>
        <v>Additional Classification Necessary - See Responses-2 Tab</v>
      </c>
      <c r="F381" s="60"/>
    </row>
    <row r="382" spans="1:6" x14ac:dyDescent="0.25">
      <c r="A382" s="61" t="s">
        <v>490</v>
      </c>
      <c r="B382" s="46"/>
      <c r="C382" s="46"/>
      <c r="D382" s="32">
        <f>SUM(C371:C381)</f>
        <v>9226620</v>
      </c>
      <c r="E382" s="32"/>
      <c r="F382" s="60"/>
    </row>
    <row r="383" spans="1:6" x14ac:dyDescent="0.25">
      <c r="A383" s="56" t="s">
        <v>491</v>
      </c>
      <c r="B383" s="46" t="s">
        <v>284</v>
      </c>
      <c r="C383" s="47">
        <v>503708</v>
      </c>
      <c r="D383" s="32"/>
      <c r="E383" s="20"/>
    </row>
    <row r="384" spans="1:6" x14ac:dyDescent="0.25">
      <c r="A384" s="20" t="s">
        <v>492</v>
      </c>
      <c r="B384" s="20"/>
      <c r="C384" s="27"/>
      <c r="D384" s="32">
        <f>D382+C383</f>
        <v>9730328</v>
      </c>
      <c r="E384" s="20"/>
    </row>
    <row r="385" spans="1:5" x14ac:dyDescent="0.25">
      <c r="A385" s="20" t="s">
        <v>493</v>
      </c>
      <c r="B385" s="20"/>
      <c r="C385" s="27"/>
      <c r="D385" s="32">
        <f>D368+D384</f>
        <v>146891563</v>
      </c>
      <c r="E385" s="20"/>
    </row>
    <row r="386" spans="1:5" x14ac:dyDescent="0.25">
      <c r="A386" s="20"/>
      <c r="B386" s="20"/>
      <c r="C386" s="27"/>
      <c r="D386" s="20"/>
      <c r="E386" s="20"/>
    </row>
    <row r="387" spans="1:5" x14ac:dyDescent="0.25">
      <c r="A387" s="20"/>
      <c r="B387" s="20"/>
      <c r="C387" s="27"/>
      <c r="D387" s="20"/>
      <c r="E387" s="20"/>
    </row>
    <row r="388" spans="1:5" x14ac:dyDescent="0.25">
      <c r="A388" s="20"/>
      <c r="B388" s="20"/>
      <c r="C388" s="27"/>
      <c r="D388" s="20"/>
      <c r="E388" s="20"/>
    </row>
    <row r="389" spans="1:5" x14ac:dyDescent="0.25">
      <c r="A389" s="45" t="s">
        <v>494</v>
      </c>
      <c r="B389" s="45"/>
      <c r="C389" s="45"/>
      <c r="D389" s="45"/>
      <c r="E389" s="45"/>
    </row>
    <row r="390" spans="1:5" x14ac:dyDescent="0.25">
      <c r="A390" s="20" t="s">
        <v>495</v>
      </c>
      <c r="B390" s="46" t="s">
        <v>284</v>
      </c>
      <c r="C390" s="210">
        <v>70571034</v>
      </c>
      <c r="D390" s="20"/>
      <c r="E390" s="20"/>
    </row>
    <row r="391" spans="1:5" x14ac:dyDescent="0.25">
      <c r="A391" s="20" t="s">
        <v>9</v>
      </c>
      <c r="B391" s="46" t="s">
        <v>284</v>
      </c>
      <c r="C391" s="210">
        <v>15917306</v>
      </c>
      <c r="D391" s="20"/>
      <c r="E391" s="20"/>
    </row>
    <row r="392" spans="1:5" x14ac:dyDescent="0.25">
      <c r="A392" s="20" t="s">
        <v>249</v>
      </c>
      <c r="B392" s="46" t="s">
        <v>284</v>
      </c>
      <c r="C392" s="210">
        <v>3069586</v>
      </c>
      <c r="D392" s="20"/>
      <c r="E392" s="20"/>
    </row>
    <row r="393" spans="1:5" x14ac:dyDescent="0.25">
      <c r="A393" s="20" t="s">
        <v>496</v>
      </c>
      <c r="B393" s="46" t="s">
        <v>284</v>
      </c>
      <c r="C393" s="210">
        <v>28439638</v>
      </c>
      <c r="D393" s="20"/>
      <c r="E393" s="20"/>
    </row>
    <row r="394" spans="1:5" x14ac:dyDescent="0.25">
      <c r="A394" s="20" t="s">
        <v>497</v>
      </c>
      <c r="B394" s="46" t="s">
        <v>284</v>
      </c>
      <c r="C394" s="210">
        <v>1192355</v>
      </c>
      <c r="D394" s="20"/>
      <c r="E394" s="20"/>
    </row>
    <row r="395" spans="1:5" x14ac:dyDescent="0.25">
      <c r="A395" s="20" t="s">
        <v>498</v>
      </c>
      <c r="B395" s="46" t="s">
        <v>284</v>
      </c>
      <c r="C395" s="210">
        <v>8621439</v>
      </c>
      <c r="D395" s="20"/>
      <c r="E395" s="20"/>
    </row>
    <row r="396" spans="1:5" x14ac:dyDescent="0.25">
      <c r="A396" s="20" t="s">
        <v>11</v>
      </c>
      <c r="B396" s="46" t="s">
        <v>284</v>
      </c>
      <c r="C396" s="210">
        <v>4376458</v>
      </c>
      <c r="D396" s="20"/>
      <c r="E396" s="20"/>
    </row>
    <row r="397" spans="1:5" x14ac:dyDescent="0.25">
      <c r="A397" s="20" t="s">
        <v>499</v>
      </c>
      <c r="B397" s="46" t="s">
        <v>284</v>
      </c>
      <c r="C397" s="210">
        <v>1681492</v>
      </c>
      <c r="D397" s="20"/>
      <c r="E397" s="20"/>
    </row>
    <row r="398" spans="1:5" x14ac:dyDescent="0.25">
      <c r="A398" s="20" t="s">
        <v>500</v>
      </c>
      <c r="B398" s="46" t="s">
        <v>284</v>
      </c>
      <c r="C398" s="210">
        <v>1154749</v>
      </c>
      <c r="D398" s="20"/>
      <c r="E398" s="20"/>
    </row>
    <row r="399" spans="1:5" x14ac:dyDescent="0.25">
      <c r="A399" s="20" t="s">
        <v>501</v>
      </c>
      <c r="B399" s="46" t="s">
        <v>284</v>
      </c>
      <c r="C399" s="210">
        <v>923436</v>
      </c>
      <c r="D399" s="20"/>
      <c r="E399" s="20"/>
    </row>
    <row r="400" spans="1:5" x14ac:dyDescent="0.25">
      <c r="A400" s="20" t="s">
        <v>502</v>
      </c>
      <c r="B400" s="46" t="s">
        <v>284</v>
      </c>
      <c r="C400" s="210">
        <v>970362</v>
      </c>
      <c r="D400" s="20"/>
      <c r="E400" s="20"/>
    </row>
    <row r="401" spans="1:9" x14ac:dyDescent="0.25">
      <c r="A401" s="32" t="s">
        <v>503</v>
      </c>
      <c r="B401" s="20"/>
      <c r="C401" s="20"/>
      <c r="D401" s="20"/>
      <c r="E401" s="20"/>
    </row>
    <row r="402" spans="1:9" x14ac:dyDescent="0.25">
      <c r="A402" s="33" t="s">
        <v>255</v>
      </c>
      <c r="B402" s="40" t="s">
        <v>284</v>
      </c>
      <c r="C402" s="266"/>
      <c r="D402" s="32"/>
      <c r="E402" s="32"/>
    </row>
    <row r="403" spans="1:9" x14ac:dyDescent="0.25">
      <c r="A403" s="33" t="s">
        <v>256</v>
      </c>
      <c r="B403" s="40" t="s">
        <v>284</v>
      </c>
      <c r="C403" s="266"/>
      <c r="D403" s="32"/>
      <c r="E403" s="32"/>
    </row>
    <row r="404" spans="1:9" x14ac:dyDescent="0.25">
      <c r="A404" s="33" t="s">
        <v>504</v>
      </c>
      <c r="B404" s="40" t="s">
        <v>284</v>
      </c>
      <c r="C404" s="266"/>
      <c r="D404" s="32"/>
      <c r="E404" s="32"/>
    </row>
    <row r="405" spans="1:9" x14ac:dyDescent="0.25">
      <c r="A405" s="33" t="s">
        <v>258</v>
      </c>
      <c r="B405" s="40" t="s">
        <v>284</v>
      </c>
      <c r="C405" s="266"/>
      <c r="D405" s="32"/>
      <c r="E405" s="32"/>
    </row>
    <row r="406" spans="1:9" x14ac:dyDescent="0.25">
      <c r="A406" s="33" t="s">
        <v>259</v>
      </c>
      <c r="B406" s="40" t="s">
        <v>284</v>
      </c>
      <c r="C406" s="266"/>
      <c r="D406" s="32"/>
      <c r="E406" s="32"/>
    </row>
    <row r="407" spans="1:9" x14ac:dyDescent="0.25">
      <c r="A407" s="33" t="s">
        <v>260</v>
      </c>
      <c r="B407" s="40" t="s">
        <v>284</v>
      </c>
      <c r="C407" s="266"/>
      <c r="D407" s="32"/>
      <c r="E407" s="32"/>
    </row>
    <row r="408" spans="1:9" x14ac:dyDescent="0.25">
      <c r="A408" s="33" t="s">
        <v>261</v>
      </c>
      <c r="B408" s="40" t="s">
        <v>284</v>
      </c>
      <c r="C408" s="266"/>
      <c r="D408" s="32"/>
      <c r="E408" s="32"/>
    </row>
    <row r="409" spans="1:9" x14ac:dyDescent="0.25">
      <c r="A409" s="33" t="s">
        <v>262</v>
      </c>
      <c r="B409" s="40" t="s">
        <v>284</v>
      </c>
      <c r="C409" s="266"/>
      <c r="D409" s="32"/>
      <c r="E409" s="32"/>
    </row>
    <row r="410" spans="1:9" x14ac:dyDescent="0.25">
      <c r="A410" s="33" t="s">
        <v>263</v>
      </c>
      <c r="B410" s="40" t="s">
        <v>284</v>
      </c>
      <c r="C410" s="266"/>
      <c r="D410" s="32"/>
      <c r="E410" s="32"/>
    </row>
    <row r="411" spans="1:9" x14ac:dyDescent="0.25">
      <c r="A411" s="33" t="s">
        <v>264</v>
      </c>
      <c r="B411" s="40" t="s">
        <v>284</v>
      </c>
      <c r="C411" s="266"/>
      <c r="D411" s="32"/>
      <c r="E411" s="32"/>
    </row>
    <row r="412" spans="1:9" x14ac:dyDescent="0.25">
      <c r="A412" s="33" t="s">
        <v>265</v>
      </c>
      <c r="B412" s="40" t="s">
        <v>284</v>
      </c>
      <c r="C412" s="266"/>
      <c r="D412" s="32"/>
      <c r="E412" s="32"/>
    </row>
    <row r="413" spans="1:9" x14ac:dyDescent="0.25">
      <c r="A413" s="33" t="s">
        <v>266</v>
      </c>
      <c r="B413" s="40" t="s">
        <v>284</v>
      </c>
      <c r="C413" s="266"/>
      <c r="D413" s="32"/>
      <c r="E413" s="32"/>
    </row>
    <row r="414" spans="1:9" x14ac:dyDescent="0.25">
      <c r="A414" s="33" t="s">
        <v>267</v>
      </c>
      <c r="B414" s="40" t="s">
        <v>284</v>
      </c>
      <c r="C414" s="266"/>
      <c r="D414" s="32"/>
      <c r="E414" s="32"/>
    </row>
    <row r="415" spans="1:9" x14ac:dyDescent="0.25">
      <c r="A415" s="33" t="s">
        <v>268</v>
      </c>
      <c r="B415" s="40" t="s">
        <v>284</v>
      </c>
      <c r="C415" s="230">
        <v>2369520</v>
      </c>
      <c r="D415" s="32"/>
      <c r="E415" s="231" t="str">
        <f>IF(OR(C415&gt;999999,C415/(D417)&gt;0.01),"Additional Classification Necessary - See Responses-2 Tab","")</f>
        <v>Additional Classification Necessary - See Responses-2 Tab</v>
      </c>
      <c r="F415" s="60"/>
      <c r="G415" s="60"/>
      <c r="H415" s="60"/>
      <c r="I415" s="60"/>
    </row>
    <row r="416" spans="1:9" x14ac:dyDescent="0.25">
      <c r="A416" s="62" t="s">
        <v>505</v>
      </c>
      <c r="B416" s="46"/>
      <c r="C416" s="46"/>
      <c r="D416" s="32">
        <f>SUM(C402:C415)</f>
        <v>2369520</v>
      </c>
      <c r="E416" s="32"/>
      <c r="F416" s="60"/>
      <c r="G416" s="60"/>
      <c r="H416" s="60"/>
      <c r="I416" s="60"/>
    </row>
    <row r="417" spans="1:13" x14ac:dyDescent="0.25">
      <c r="A417" s="32" t="s">
        <v>506</v>
      </c>
      <c r="B417" s="20"/>
      <c r="C417" s="27"/>
      <c r="D417" s="32">
        <f>SUM(C390:C400,D416)</f>
        <v>139287375</v>
      </c>
      <c r="E417" s="32"/>
    </row>
    <row r="418" spans="1:13" x14ac:dyDescent="0.25">
      <c r="A418" s="32" t="s">
        <v>507</v>
      </c>
      <c r="B418" s="20"/>
      <c r="C418" s="27"/>
      <c r="D418" s="32">
        <f>D385-D417</f>
        <v>7604188</v>
      </c>
      <c r="E418" s="32"/>
    </row>
    <row r="419" spans="1:13" x14ac:dyDescent="0.25">
      <c r="A419" s="32" t="s">
        <v>508</v>
      </c>
      <c r="B419" s="20"/>
      <c r="C419" s="230"/>
      <c r="D419" s="32"/>
      <c r="E419" s="32"/>
    </row>
    <row r="420" spans="1:13" x14ac:dyDescent="0.25">
      <c r="A420" s="59" t="s">
        <v>509</v>
      </c>
      <c r="B420" s="46" t="s">
        <v>284</v>
      </c>
      <c r="C420" s="266"/>
      <c r="D420" s="32"/>
      <c r="E420" s="32"/>
    </row>
    <row r="421" spans="1:13" x14ac:dyDescent="0.25">
      <c r="A421" s="61" t="s">
        <v>510</v>
      </c>
      <c r="B421" s="20"/>
      <c r="C421" s="20"/>
      <c r="D421" s="32">
        <f>SUM(C419:C420)</f>
        <v>0</v>
      </c>
      <c r="E421" s="32"/>
    </row>
    <row r="422" spans="1:13" x14ac:dyDescent="0.25">
      <c r="A422" s="32" t="s">
        <v>511</v>
      </c>
      <c r="B422" s="20"/>
      <c r="C422" s="27"/>
      <c r="D422" s="32">
        <f>D418+D421</f>
        <v>7604188</v>
      </c>
      <c r="E422" s="32"/>
      <c r="F422" s="63"/>
    </row>
    <row r="423" spans="1:13" x14ac:dyDescent="0.25">
      <c r="A423" s="32" t="s">
        <v>512</v>
      </c>
      <c r="B423" s="46" t="s">
        <v>284</v>
      </c>
      <c r="C423" s="47"/>
      <c r="D423" s="32"/>
      <c r="E423" s="20"/>
    </row>
    <row r="424" spans="1:13" x14ac:dyDescent="0.25">
      <c r="A424" s="20" t="s">
        <v>513</v>
      </c>
      <c r="B424" s="46" t="s">
        <v>284</v>
      </c>
      <c r="C424" s="47"/>
      <c r="D424" s="32"/>
      <c r="E424" s="20"/>
    </row>
    <row r="425" spans="1:13" x14ac:dyDescent="0.25">
      <c r="A425" s="20" t="s">
        <v>514</v>
      </c>
      <c r="B425" s="20"/>
      <c r="C425" s="27"/>
      <c r="D425" s="32">
        <f>D422+C423-C424</f>
        <v>7604188</v>
      </c>
      <c r="E425" s="20"/>
    </row>
    <row r="428" spans="1:13" x14ac:dyDescent="0.25">
      <c r="M428" s="64"/>
    </row>
    <row r="429" spans="1:13" x14ac:dyDescent="0.25">
      <c r="M429" s="64"/>
    </row>
    <row r="430" spans="1:13" x14ac:dyDescent="0.25">
      <c r="M430" s="64"/>
    </row>
    <row r="434" spans="2:7" x14ac:dyDescent="0.25">
      <c r="B434" s="65"/>
      <c r="C434" s="65"/>
      <c r="D434" s="65"/>
      <c r="E434" s="65"/>
      <c r="F434" s="65"/>
      <c r="G434" s="65"/>
    </row>
    <row r="575" spans="2:83" x14ac:dyDescent="0.25">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row>
    <row r="579" spans="2:83" x14ac:dyDescent="0.25">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row>
    <row r="583" spans="2:83" x14ac:dyDescent="0.25">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row>
    <row r="613" spans="1:14" s="225" customFormat="1" ht="12.6" customHeight="1" x14ac:dyDescent="0.2">
      <c r="A613" s="244"/>
      <c r="C613" s="242" t="s">
        <v>515</v>
      </c>
      <c r="D613" s="249">
        <f>CE91-(BE91+CD91)</f>
        <v>128915</v>
      </c>
      <c r="E613" s="251">
        <f>SUM(C625:D648)+SUM(C669:D714)</f>
        <v>121913517.13150525</v>
      </c>
      <c r="F613" s="251">
        <f>CE65-(AX65+BD65+BE65+BG65+BJ65+BN65+BP65+BQ65+CB65+CC65+CD65)</f>
        <v>28264182</v>
      </c>
      <c r="G613" s="249">
        <f>CE92-(AX92+AY92+BD92+BE92+BG92+BJ92+BN92+BP92+BQ92+CB92+CC92+CD92)</f>
        <v>15220</v>
      </c>
      <c r="H613" s="254">
        <f>CE61-(AX61+AY61+AZ61+BD61+BE61+BG61+BJ61+BN61+BO61+BP61+BQ61+BR61+CB61+CC61+CD61)</f>
        <v>572.53000000000009</v>
      </c>
      <c r="I613" s="249">
        <f>CE93-(AX93+AY93+AZ93+BD93+BE93+BF93+BG93+BJ93+BN93+BO93+BP93+BQ93+BR93+CB93+CC93+CD93)</f>
        <v>35590</v>
      </c>
      <c r="J613" s="249">
        <f>CE94-(AX94+AY94+AZ94+BA94+BD94+BE94+BF94+BG94+BJ94+BN94+BO94+BP94+BQ94+BR94+CB94+CC94+CD94)</f>
        <v>281505</v>
      </c>
      <c r="K613" s="249">
        <f>CE90-(AW90+AX90+AY90+AZ90+BA90+BB90+BC90+BD90+BE90+BF90+BG90+BH90+BI90+BJ90+BK90+BL90+BM90+BN90+BO90+BP90+BQ90+BR90+BS90+BT90+BU90+BV90+BW90+BX90+CB90+CC90+CD90)</f>
        <v>297995582</v>
      </c>
      <c r="L613" s="255">
        <f>CE95-(AW95+AX95+AY95+AZ95+BA95+BB95+BC95+BD95+BE95+BF95+BG95+BH95+BI95+BJ95+BK95+BL95+BM95+BN95+BO95+BP95+BQ95+BR95+BS95+BT95+BU95+BV95+BW95+BX95+BY95+BZ95+CA95+CB95+CC95+CD95)</f>
        <v>157.85000000000002</v>
      </c>
    </row>
    <row r="614" spans="1:14" s="225" customFormat="1" ht="12.6" customHeight="1" x14ac:dyDescent="0.2">
      <c r="A614" s="244"/>
      <c r="C614" s="242" t="s">
        <v>516</v>
      </c>
      <c r="D614" s="250" t="s">
        <v>517</v>
      </c>
      <c r="E614" s="252" t="s">
        <v>518</v>
      </c>
      <c r="F614" s="253" t="s">
        <v>519</v>
      </c>
      <c r="G614" s="250" t="s">
        <v>520</v>
      </c>
      <c r="H614" s="253" t="s">
        <v>521</v>
      </c>
      <c r="I614" s="250" t="s">
        <v>522</v>
      </c>
      <c r="J614" s="250" t="s">
        <v>523</v>
      </c>
      <c r="K614" s="242" t="s">
        <v>524</v>
      </c>
      <c r="L614" s="243" t="s">
        <v>525</v>
      </c>
    </row>
    <row r="615" spans="1:14" s="225" customFormat="1" ht="12.6" customHeight="1" x14ac:dyDescent="0.2">
      <c r="A615" s="244">
        <v>8430</v>
      </c>
      <c r="B615" s="243" t="s">
        <v>152</v>
      </c>
      <c r="C615" s="249">
        <f>BE86</f>
        <v>3053129</v>
      </c>
      <c r="D615" s="249"/>
      <c r="E615" s="251"/>
      <c r="F615" s="251"/>
      <c r="G615" s="249"/>
      <c r="H615" s="251"/>
      <c r="I615" s="249"/>
      <c r="J615" s="249"/>
      <c r="N615" s="245" t="s">
        <v>526</v>
      </c>
    </row>
    <row r="616" spans="1:14" s="225" customFormat="1" ht="12.6" customHeight="1" x14ac:dyDescent="0.2">
      <c r="A616" s="244"/>
      <c r="B616" s="243" t="s">
        <v>527</v>
      </c>
      <c r="C616" s="249">
        <f>CD70-CD85</f>
        <v>-6178073</v>
      </c>
      <c r="D616" s="249">
        <f>SUM(C615:C616)</f>
        <v>-3124944</v>
      </c>
      <c r="E616" s="251"/>
      <c r="F616" s="251"/>
      <c r="G616" s="249"/>
      <c r="H616" s="251"/>
      <c r="I616" s="249"/>
      <c r="J616" s="249"/>
      <c r="N616" s="245" t="s">
        <v>528</v>
      </c>
    </row>
    <row r="617" spans="1:14" s="225" customFormat="1" ht="12.6" customHeight="1" x14ac:dyDescent="0.2">
      <c r="A617" s="244">
        <v>8310</v>
      </c>
      <c r="B617" s="248" t="s">
        <v>529</v>
      </c>
      <c r="C617" s="249">
        <f>AX86</f>
        <v>0</v>
      </c>
      <c r="D617" s="249">
        <f>(D616/D613)*AX91</f>
        <v>0</v>
      </c>
      <c r="E617" s="251"/>
      <c r="F617" s="251"/>
      <c r="G617" s="249"/>
      <c r="H617" s="251"/>
      <c r="I617" s="249"/>
      <c r="J617" s="249"/>
      <c r="N617" s="245" t="s">
        <v>530</v>
      </c>
    </row>
    <row r="618" spans="1:14" s="225" customFormat="1" ht="12.6" customHeight="1" x14ac:dyDescent="0.2">
      <c r="A618" s="244">
        <v>8510</v>
      </c>
      <c r="B618" s="248" t="s">
        <v>157</v>
      </c>
      <c r="C618" s="249">
        <f>BJ86</f>
        <v>0</v>
      </c>
      <c r="D618" s="249">
        <f>(D616/D613)*BJ91</f>
        <v>0</v>
      </c>
      <c r="E618" s="251"/>
      <c r="F618" s="251"/>
      <c r="G618" s="249"/>
      <c r="H618" s="251"/>
      <c r="I618" s="249"/>
      <c r="J618" s="249"/>
      <c r="N618" s="245" t="s">
        <v>531</v>
      </c>
    </row>
    <row r="619" spans="1:14" s="225" customFormat="1" ht="12.6" customHeight="1" x14ac:dyDescent="0.2">
      <c r="A619" s="244">
        <v>8470</v>
      </c>
      <c r="B619" s="248" t="s">
        <v>532</v>
      </c>
      <c r="C619" s="249">
        <f>BG86</f>
        <v>252219</v>
      </c>
      <c r="D619" s="249">
        <f>(D616/D613)*BG91</f>
        <v>0</v>
      </c>
      <c r="E619" s="251"/>
      <c r="F619" s="251"/>
      <c r="G619" s="249"/>
      <c r="H619" s="251"/>
      <c r="I619" s="249"/>
      <c r="J619" s="249"/>
      <c r="N619" s="245" t="s">
        <v>533</v>
      </c>
    </row>
    <row r="620" spans="1:14" s="225" customFormat="1" ht="12.6" customHeight="1" x14ac:dyDescent="0.2">
      <c r="A620" s="244">
        <v>8610</v>
      </c>
      <c r="B620" s="248" t="s">
        <v>534</v>
      </c>
      <c r="C620" s="249">
        <f>BN86</f>
        <v>0</v>
      </c>
      <c r="D620" s="249">
        <f>(D616/D613)*BN91</f>
        <v>0</v>
      </c>
      <c r="E620" s="251"/>
      <c r="F620" s="251"/>
      <c r="G620" s="249"/>
      <c r="H620" s="251"/>
      <c r="I620" s="249"/>
      <c r="J620" s="249"/>
      <c r="N620" s="245" t="s">
        <v>535</v>
      </c>
    </row>
    <row r="621" spans="1:14" s="225" customFormat="1" ht="12.6" customHeight="1" x14ac:dyDescent="0.2">
      <c r="A621" s="244">
        <v>8790</v>
      </c>
      <c r="B621" s="248" t="s">
        <v>536</v>
      </c>
      <c r="C621" s="249">
        <f>CC86</f>
        <v>8250678</v>
      </c>
      <c r="D621" s="249">
        <f>(D616/D613)*CC91</f>
        <v>-355533.13150525541</v>
      </c>
      <c r="E621" s="251"/>
      <c r="F621" s="251"/>
      <c r="G621" s="249"/>
      <c r="H621" s="251"/>
      <c r="I621" s="249"/>
      <c r="J621" s="249"/>
      <c r="N621" s="245" t="s">
        <v>537</v>
      </c>
    </row>
    <row r="622" spans="1:14" s="225" customFormat="1" ht="12.6" customHeight="1" x14ac:dyDescent="0.2">
      <c r="A622" s="244">
        <v>8630</v>
      </c>
      <c r="B622" s="248" t="s">
        <v>538</v>
      </c>
      <c r="C622" s="249">
        <f>BP86</f>
        <v>0</v>
      </c>
      <c r="D622" s="249">
        <f>(D616/D613)*BP91</f>
        <v>0</v>
      </c>
      <c r="E622" s="251"/>
      <c r="F622" s="251"/>
      <c r="G622" s="249"/>
      <c r="H622" s="251"/>
      <c r="I622" s="249"/>
      <c r="J622" s="249"/>
      <c r="N622" s="245" t="s">
        <v>539</v>
      </c>
    </row>
    <row r="623" spans="1:14" s="225" customFormat="1" ht="12.6" customHeight="1" x14ac:dyDescent="0.2">
      <c r="A623" s="244">
        <v>8770</v>
      </c>
      <c r="B623" s="243" t="s">
        <v>540</v>
      </c>
      <c r="C623" s="249">
        <f>CB86</f>
        <v>0</v>
      </c>
      <c r="D623" s="249">
        <f>(D616/D613)*CB91</f>
        <v>0</v>
      </c>
      <c r="E623" s="251"/>
      <c r="F623" s="251"/>
      <c r="G623" s="249"/>
      <c r="H623" s="251"/>
      <c r="I623" s="249"/>
      <c r="J623" s="249"/>
      <c r="N623" s="245" t="s">
        <v>541</v>
      </c>
    </row>
    <row r="624" spans="1:14" s="225" customFormat="1" ht="12.6" customHeight="1" x14ac:dyDescent="0.2">
      <c r="A624" s="244">
        <v>8640</v>
      </c>
      <c r="B624" s="248" t="s">
        <v>542</v>
      </c>
      <c r="C624" s="249">
        <f>BQ86</f>
        <v>0</v>
      </c>
      <c r="D624" s="249">
        <f>(D616/D613)*BQ91</f>
        <v>0</v>
      </c>
      <c r="E624" s="251">
        <f>SUM(C617:D624)</f>
        <v>8147363.8684947444</v>
      </c>
      <c r="F624" s="251"/>
      <c r="G624" s="249"/>
      <c r="H624" s="251"/>
      <c r="I624" s="249"/>
      <c r="J624" s="249"/>
      <c r="N624" s="245" t="s">
        <v>543</v>
      </c>
    </row>
    <row r="625" spans="1:14" s="225" customFormat="1" ht="12.6" customHeight="1" x14ac:dyDescent="0.2">
      <c r="A625" s="244">
        <v>8420</v>
      </c>
      <c r="B625" s="248" t="s">
        <v>151</v>
      </c>
      <c r="C625" s="249">
        <f>BD86</f>
        <v>427029</v>
      </c>
      <c r="D625" s="249">
        <f>(D616/D613)*BD91</f>
        <v>0</v>
      </c>
      <c r="E625" s="251">
        <f>(E624/E613)*SUM(C625:D625)</f>
        <v>28537.940068175976</v>
      </c>
      <c r="F625" s="251">
        <f>SUM(C625:E625)</f>
        <v>455566.94006817596</v>
      </c>
      <c r="G625" s="249"/>
      <c r="H625" s="251"/>
      <c r="I625" s="249"/>
      <c r="J625" s="249"/>
      <c r="N625" s="245" t="s">
        <v>544</v>
      </c>
    </row>
    <row r="626" spans="1:14" s="225" customFormat="1" ht="12.6" customHeight="1" x14ac:dyDescent="0.2">
      <c r="A626" s="244">
        <v>8320</v>
      </c>
      <c r="B626" s="248" t="s">
        <v>147</v>
      </c>
      <c r="C626" s="249">
        <f>AY86</f>
        <v>1545624</v>
      </c>
      <c r="D626" s="249">
        <f>(D616/D613)*AY91</f>
        <v>-94246.459077686857</v>
      </c>
      <c r="E626" s="251">
        <f>(E624/E613)*SUM(C626:D626)</f>
        <v>96994.174351478709</v>
      </c>
      <c r="F626" s="251">
        <f>(F625/F613)*AY65</f>
        <v>6249.1763721954694</v>
      </c>
      <c r="G626" s="249">
        <f>SUM(C626:F626)</f>
        <v>1554620.8916459873</v>
      </c>
      <c r="H626" s="251"/>
      <c r="I626" s="249"/>
      <c r="J626" s="249"/>
      <c r="N626" s="245" t="s">
        <v>545</v>
      </c>
    </row>
    <row r="627" spans="1:14" s="225" customFormat="1" ht="12.6" customHeight="1" x14ac:dyDescent="0.2">
      <c r="A627" s="244">
        <v>8650</v>
      </c>
      <c r="B627" s="248" t="s">
        <v>164</v>
      </c>
      <c r="C627" s="249">
        <f>BR86</f>
        <v>1602780</v>
      </c>
      <c r="D627" s="249">
        <f>(D616/D613)*BR91</f>
        <v>-38760.3107163635</v>
      </c>
      <c r="E627" s="251">
        <f>(E624/E613)*SUM(C627:D627)</f>
        <v>104521.94150332559</v>
      </c>
      <c r="F627" s="251">
        <f>(F625/F613)*BR65</f>
        <v>325.63542402173033</v>
      </c>
      <c r="G627" s="249">
        <f>(G626/G613)*BR92</f>
        <v>0</v>
      </c>
      <c r="H627" s="251"/>
      <c r="I627" s="249"/>
      <c r="J627" s="249"/>
      <c r="N627" s="245" t="s">
        <v>546</v>
      </c>
    </row>
    <row r="628" spans="1:14" s="225" customFormat="1" ht="12.6" customHeight="1" x14ac:dyDescent="0.2">
      <c r="A628" s="244">
        <v>8620</v>
      </c>
      <c r="B628" s="243" t="s">
        <v>547</v>
      </c>
      <c r="C628" s="249">
        <f>BO86</f>
        <v>71150</v>
      </c>
      <c r="D628" s="249">
        <f>(D616/D613)*BO91</f>
        <v>-5890.4036923554286</v>
      </c>
      <c r="E628" s="251">
        <f>(E624/E613)*SUM(C628:D628)</f>
        <v>4361.2364694222615</v>
      </c>
      <c r="F628" s="251">
        <f>(F625/F613)*BO65</f>
        <v>481.51426309088612</v>
      </c>
      <c r="G628" s="249">
        <f>(G626/G613)*BO92</f>
        <v>0</v>
      </c>
      <c r="H628" s="251"/>
      <c r="I628" s="249"/>
      <c r="J628" s="249"/>
      <c r="N628" s="245" t="s">
        <v>548</v>
      </c>
    </row>
    <row r="629" spans="1:14" s="225" customFormat="1" ht="12.6" customHeight="1" x14ac:dyDescent="0.2">
      <c r="A629" s="244">
        <v>8330</v>
      </c>
      <c r="B629" s="248" t="s">
        <v>148</v>
      </c>
      <c r="C629" s="249">
        <f>AZ86</f>
        <v>0</v>
      </c>
      <c r="D629" s="249">
        <f>(D616/D613)*AZ91</f>
        <v>0</v>
      </c>
      <c r="E629" s="251">
        <f>(E624/E613)*SUM(C629:D629)</f>
        <v>0</v>
      </c>
      <c r="F629" s="251">
        <f>(F625/F613)*AZ65</f>
        <v>0</v>
      </c>
      <c r="G629" s="249">
        <f>(G626/G613)*AZ92</f>
        <v>0</v>
      </c>
      <c r="H629" s="251">
        <f>SUM(C627:G629)</f>
        <v>1738969.6132511413</v>
      </c>
      <c r="I629" s="249"/>
      <c r="J629" s="249"/>
      <c r="N629" s="245" t="s">
        <v>549</v>
      </c>
    </row>
    <row r="630" spans="1:14" s="225" customFormat="1" ht="12.6" customHeight="1" x14ac:dyDescent="0.2">
      <c r="A630" s="244">
        <v>8460</v>
      </c>
      <c r="B630" s="248" t="s">
        <v>153</v>
      </c>
      <c r="C630" s="249">
        <f>BF86</f>
        <v>1597177</v>
      </c>
      <c r="D630" s="249">
        <f>(D616/D613)*BF91</f>
        <v>-75605.634224101159</v>
      </c>
      <c r="E630" s="251">
        <f>(E624/E613)*SUM(C630:D630)</f>
        <v>101685.1606002526</v>
      </c>
      <c r="F630" s="251">
        <f>(F625/F613)*BF65</f>
        <v>3154.1811494449553</v>
      </c>
      <c r="G630" s="249">
        <f>(G626/G613)*BF92</f>
        <v>0</v>
      </c>
      <c r="H630" s="251">
        <f>(H629/H613)*BF61</f>
        <v>69190.658637732515</v>
      </c>
      <c r="I630" s="249">
        <f>SUM(C630:H630)</f>
        <v>1695601.366163329</v>
      </c>
      <c r="J630" s="249"/>
      <c r="N630" s="245" t="s">
        <v>550</v>
      </c>
    </row>
    <row r="631" spans="1:14" s="225" customFormat="1" ht="12.6" customHeight="1" x14ac:dyDescent="0.2">
      <c r="A631" s="244">
        <v>8350</v>
      </c>
      <c r="B631" s="248" t="s">
        <v>551</v>
      </c>
      <c r="C631" s="249">
        <f>BA86</f>
        <v>386095</v>
      </c>
      <c r="D631" s="249">
        <f>(D616/D613)*BA91</f>
        <v>0</v>
      </c>
      <c r="E631" s="251">
        <f>(E624/E613)*SUM(C631:D631)</f>
        <v>25802.35995827544</v>
      </c>
      <c r="F631" s="251">
        <f>(F625/F613)*BA65</f>
        <v>719.19282383059988</v>
      </c>
      <c r="G631" s="249">
        <f>(G626/G613)*BA92</f>
        <v>0</v>
      </c>
      <c r="H631" s="251">
        <f>(H629/H613)*BA61</f>
        <v>0</v>
      </c>
      <c r="I631" s="249">
        <f>(I630/I613)*BA93</f>
        <v>0</v>
      </c>
      <c r="J631" s="249">
        <f>SUM(C631:I631)</f>
        <v>412616.55278210604</v>
      </c>
      <c r="N631" s="245" t="s">
        <v>552</v>
      </c>
    </row>
    <row r="632" spans="1:14" s="225" customFormat="1" ht="12.6" customHeight="1" x14ac:dyDescent="0.2">
      <c r="A632" s="244">
        <v>8200</v>
      </c>
      <c r="B632" s="248" t="s">
        <v>553</v>
      </c>
      <c r="C632" s="249">
        <f>AW86</f>
        <v>0</v>
      </c>
      <c r="D632" s="249">
        <f>(D616/D613)*AW91</f>
        <v>0</v>
      </c>
      <c r="E632" s="251">
        <f>(E624/E613)*SUM(C632:D632)</f>
        <v>0</v>
      </c>
      <c r="F632" s="251">
        <f>(F625/F613)*AW65</f>
        <v>0</v>
      </c>
      <c r="G632" s="249">
        <f>(G626/G613)*AW92</f>
        <v>0</v>
      </c>
      <c r="H632" s="251">
        <f>(H629/H613)*AW61</f>
        <v>0</v>
      </c>
      <c r="I632" s="249">
        <f>(I630/I613)*AW93</f>
        <v>0</v>
      </c>
      <c r="J632" s="249">
        <f>(J631/J613)*AW94</f>
        <v>0</v>
      </c>
      <c r="N632" s="245" t="s">
        <v>554</v>
      </c>
    </row>
    <row r="633" spans="1:14" s="225" customFormat="1" ht="12.6" customHeight="1" x14ac:dyDescent="0.2">
      <c r="A633" s="244">
        <v>8360</v>
      </c>
      <c r="B633" s="248" t="s">
        <v>555</v>
      </c>
      <c r="C633" s="249">
        <f>BB86</f>
        <v>0</v>
      </c>
      <c r="D633" s="249">
        <f>(D616/D613)*BB91</f>
        <v>0</v>
      </c>
      <c r="E633" s="251">
        <f>(E624/E613)*SUM(C633:D633)</f>
        <v>0</v>
      </c>
      <c r="F633" s="251">
        <f>(F625/F613)*BB65</f>
        <v>0</v>
      </c>
      <c r="G633" s="249">
        <f>(G626/G613)*BB92</f>
        <v>0</v>
      </c>
      <c r="H633" s="251">
        <f>(H629/H613)*BB61</f>
        <v>0</v>
      </c>
      <c r="I633" s="249">
        <f>(I630/I613)*BB93</f>
        <v>0</v>
      </c>
      <c r="J633" s="249">
        <f>(J631/J613)*BB94</f>
        <v>0</v>
      </c>
      <c r="N633" s="245" t="s">
        <v>556</v>
      </c>
    </row>
    <row r="634" spans="1:14" s="225" customFormat="1" ht="12.6" customHeight="1" x14ac:dyDescent="0.2">
      <c r="A634" s="244">
        <v>8370</v>
      </c>
      <c r="B634" s="248" t="s">
        <v>557</v>
      </c>
      <c r="C634" s="249">
        <f>BC86</f>
        <v>0</v>
      </c>
      <c r="D634" s="249">
        <f>(D616/D613)*BC91</f>
        <v>0</v>
      </c>
      <c r="E634" s="251">
        <f>(E624/E613)*SUM(C634:D634)</f>
        <v>0</v>
      </c>
      <c r="F634" s="251">
        <f>(F625/F613)*BC65</f>
        <v>0</v>
      </c>
      <c r="G634" s="249">
        <f>(G626/G613)*BC92</f>
        <v>0</v>
      </c>
      <c r="H634" s="251">
        <f>(H629/H613)*BC61</f>
        <v>0</v>
      </c>
      <c r="I634" s="249">
        <f>(I630/I613)*BC93</f>
        <v>0</v>
      </c>
      <c r="J634" s="249">
        <f>(J631/J613)*BC94</f>
        <v>0</v>
      </c>
      <c r="N634" s="245" t="s">
        <v>558</v>
      </c>
    </row>
    <row r="635" spans="1:14" s="225" customFormat="1" ht="12.6" customHeight="1" x14ac:dyDescent="0.2">
      <c r="A635" s="244">
        <v>8490</v>
      </c>
      <c r="B635" s="248" t="s">
        <v>559</v>
      </c>
      <c r="C635" s="249">
        <f>BI86</f>
        <v>0</v>
      </c>
      <c r="D635" s="249">
        <f>(D616/D613)*BI91</f>
        <v>0</v>
      </c>
      <c r="E635" s="251">
        <f>(E624/E613)*SUM(C635:D635)</f>
        <v>0</v>
      </c>
      <c r="F635" s="251">
        <f>(F625/F613)*BI65</f>
        <v>0</v>
      </c>
      <c r="G635" s="249">
        <f>(G626/G613)*BI92</f>
        <v>0</v>
      </c>
      <c r="H635" s="251">
        <f>(H629/H613)*BI61</f>
        <v>0</v>
      </c>
      <c r="I635" s="249">
        <f>(I630/I613)*BI93</f>
        <v>0</v>
      </c>
      <c r="J635" s="249">
        <f>(J631/J613)*BI94</f>
        <v>0</v>
      </c>
      <c r="N635" s="245" t="s">
        <v>560</v>
      </c>
    </row>
    <row r="636" spans="1:14" s="225" customFormat="1" ht="12.6" customHeight="1" x14ac:dyDescent="0.2">
      <c r="A636" s="244">
        <v>8530</v>
      </c>
      <c r="B636" s="248" t="s">
        <v>561</v>
      </c>
      <c r="C636" s="249">
        <f>BK86</f>
        <v>2351073</v>
      </c>
      <c r="D636" s="249">
        <f>(D616/D613)*BK91</f>
        <v>-39851.126214947835</v>
      </c>
      <c r="E636" s="251">
        <f>(E624/E613)*SUM(C636:D636)</f>
        <v>154456.74958453685</v>
      </c>
      <c r="F636" s="251">
        <f>(F625/F613)*BK65</f>
        <v>501.11395994830451</v>
      </c>
      <c r="G636" s="249">
        <f>(G626/G613)*BK92</f>
        <v>0</v>
      </c>
      <c r="H636" s="251">
        <f>(H629/H613)*BK61</f>
        <v>82463.844688956873</v>
      </c>
      <c r="I636" s="249">
        <f>(I630/I613)*BK93</f>
        <v>26441.662214685239</v>
      </c>
      <c r="J636" s="249">
        <f>(J631/J613)*BK94</f>
        <v>0</v>
      </c>
      <c r="N636" s="245" t="s">
        <v>562</v>
      </c>
    </row>
    <row r="637" spans="1:14" s="225" customFormat="1" ht="12.6" customHeight="1" x14ac:dyDescent="0.2">
      <c r="A637" s="244">
        <v>8480</v>
      </c>
      <c r="B637" s="248" t="s">
        <v>563</v>
      </c>
      <c r="C637" s="249">
        <f>BH86</f>
        <v>4043198</v>
      </c>
      <c r="D637" s="249">
        <f>(D616/D613)*BH91</f>
        <v>-158313.68936120701</v>
      </c>
      <c r="E637" s="251">
        <f>(E624/E613)*SUM(C637:D637)</f>
        <v>259623.10669487788</v>
      </c>
      <c r="F637" s="251">
        <f>(F625/F613)*BH65</f>
        <v>4104.5891471404129</v>
      </c>
      <c r="G637" s="249">
        <f>(G626/G613)*BH92</f>
        <v>0</v>
      </c>
      <c r="H637" s="251">
        <f>(H629/H613)*BH61</f>
        <v>46258.723926807113</v>
      </c>
      <c r="I637" s="249">
        <f>(I630/I613)*BH93</f>
        <v>105099.6519740462</v>
      </c>
      <c r="J637" s="249">
        <f>(J631/J613)*BH94</f>
        <v>3576.4351922286946</v>
      </c>
      <c r="N637" s="245" t="s">
        <v>564</v>
      </c>
    </row>
    <row r="638" spans="1:14" s="225" customFormat="1" ht="12.6" customHeight="1" x14ac:dyDescent="0.2">
      <c r="A638" s="244">
        <v>8560</v>
      </c>
      <c r="B638" s="248" t="s">
        <v>159</v>
      </c>
      <c r="C638" s="249">
        <f>BL86</f>
        <v>968563</v>
      </c>
      <c r="D638" s="249">
        <f>(D616/D613)*BL91</f>
        <v>-48020.122282123884</v>
      </c>
      <c r="E638" s="251">
        <f>(E624/E613)*SUM(C638:D638)</f>
        <v>61519.00099173357</v>
      </c>
      <c r="F638" s="251">
        <f>(F625/F613)*BL65</f>
        <v>268.64156868634262</v>
      </c>
      <c r="G638" s="249">
        <f>(G626/G613)*BL92</f>
        <v>0</v>
      </c>
      <c r="H638" s="251">
        <f>(H629/H613)*BL61</f>
        <v>43768.103203236409</v>
      </c>
      <c r="I638" s="249">
        <f>(I630/I613)*BL93</f>
        <v>31872.922561485451</v>
      </c>
      <c r="J638" s="249">
        <f>(J631/J613)*BL94</f>
        <v>0</v>
      </c>
      <c r="N638" s="245" t="s">
        <v>565</v>
      </c>
    </row>
    <row r="639" spans="1:14" s="225" customFormat="1" ht="12.6" customHeight="1" x14ac:dyDescent="0.2">
      <c r="A639" s="244">
        <v>8590</v>
      </c>
      <c r="B639" s="248" t="s">
        <v>566</v>
      </c>
      <c r="C639" s="249">
        <f>BM86</f>
        <v>0</v>
      </c>
      <c r="D639" s="249">
        <f>(D616/D613)*BM91</f>
        <v>0</v>
      </c>
      <c r="E639" s="251">
        <f>(E624/E613)*SUM(C639:D639)</f>
        <v>0</v>
      </c>
      <c r="F639" s="251">
        <f>(F625/F613)*BM65</f>
        <v>0</v>
      </c>
      <c r="G639" s="249">
        <f>(G626/G613)*BM92</f>
        <v>0</v>
      </c>
      <c r="H639" s="251">
        <f>(H629/H613)*BM61</f>
        <v>0</v>
      </c>
      <c r="I639" s="249">
        <f>(I630/I613)*BM93</f>
        <v>0</v>
      </c>
      <c r="J639" s="249">
        <f>(J631/J613)*BM94</f>
        <v>0</v>
      </c>
      <c r="N639" s="245" t="s">
        <v>567</v>
      </c>
    </row>
    <row r="640" spans="1:14" s="225" customFormat="1" ht="12.6" customHeight="1" x14ac:dyDescent="0.2">
      <c r="A640" s="244">
        <v>8660</v>
      </c>
      <c r="B640" s="248" t="s">
        <v>568</v>
      </c>
      <c r="C640" s="249">
        <f>BS86</f>
        <v>0</v>
      </c>
      <c r="D640" s="249">
        <f>(D616/D613)*BS91</f>
        <v>0</v>
      </c>
      <c r="E640" s="251">
        <f>(E624/E613)*SUM(C640:D640)</f>
        <v>0</v>
      </c>
      <c r="F640" s="251">
        <f>(F625/F613)*BS65</f>
        <v>0</v>
      </c>
      <c r="G640" s="249">
        <f>(G626/G613)*BS92</f>
        <v>0</v>
      </c>
      <c r="H640" s="251">
        <f>(H629/H613)*BS61</f>
        <v>0</v>
      </c>
      <c r="I640" s="249">
        <f>(I630/I613)*BS93</f>
        <v>0</v>
      </c>
      <c r="J640" s="249">
        <f>(J631/J613)*BS94</f>
        <v>0</v>
      </c>
      <c r="N640" s="245" t="s">
        <v>569</v>
      </c>
    </row>
    <row r="641" spans="1:14" s="225" customFormat="1" ht="12.6" customHeight="1" x14ac:dyDescent="0.2">
      <c r="A641" s="244">
        <v>8670</v>
      </c>
      <c r="B641" s="248" t="s">
        <v>570</v>
      </c>
      <c r="C641" s="249">
        <f>BT86</f>
        <v>0</v>
      </c>
      <c r="D641" s="249">
        <f>(D616/D613)*BT91</f>
        <v>0</v>
      </c>
      <c r="E641" s="251">
        <f>(E624/E613)*SUM(C641:D641)</f>
        <v>0</v>
      </c>
      <c r="F641" s="251">
        <f>(F625/F613)*BT65</f>
        <v>0</v>
      </c>
      <c r="G641" s="249">
        <f>(G626/G613)*BT92</f>
        <v>0</v>
      </c>
      <c r="H641" s="251">
        <f>(H629/H613)*BT61</f>
        <v>0</v>
      </c>
      <c r="I641" s="249">
        <f>(I630/I613)*BT93</f>
        <v>0</v>
      </c>
      <c r="J641" s="249">
        <f>(J631/J613)*BT94</f>
        <v>0</v>
      </c>
      <c r="N641" s="245" t="s">
        <v>571</v>
      </c>
    </row>
    <row r="642" spans="1:14" s="225" customFormat="1" ht="12.6" customHeight="1" x14ac:dyDescent="0.2">
      <c r="A642" s="244">
        <v>8680</v>
      </c>
      <c r="B642" s="248" t="s">
        <v>572</v>
      </c>
      <c r="C642" s="249">
        <f>BU86</f>
        <v>0</v>
      </c>
      <c r="D642" s="249">
        <f>(D616/D613)*BU91</f>
        <v>0</v>
      </c>
      <c r="E642" s="251">
        <f>(E624/E613)*SUM(C642:D642)</f>
        <v>0</v>
      </c>
      <c r="F642" s="251">
        <f>(F625/F613)*BU65</f>
        <v>0</v>
      </c>
      <c r="G642" s="249">
        <f>(G626/G613)*BU92</f>
        <v>0</v>
      </c>
      <c r="H642" s="251">
        <f>(H629/H613)*BU61</f>
        <v>0</v>
      </c>
      <c r="I642" s="249">
        <f>(I630/I613)*BU93</f>
        <v>0</v>
      </c>
      <c r="J642" s="249">
        <f>(J631/J613)*BU94</f>
        <v>0</v>
      </c>
      <c r="N642" s="245" t="s">
        <v>573</v>
      </c>
    </row>
    <row r="643" spans="1:14" s="225" customFormat="1" ht="12.6" customHeight="1" x14ac:dyDescent="0.2">
      <c r="A643" s="244">
        <v>8690</v>
      </c>
      <c r="B643" s="248" t="s">
        <v>574</v>
      </c>
      <c r="C643" s="249">
        <f>BV86</f>
        <v>831122</v>
      </c>
      <c r="D643" s="249">
        <f>(D616/D613)*BV91</f>
        <v>0</v>
      </c>
      <c r="E643" s="251">
        <f>(E624/E613)*SUM(C643:D643)</f>
        <v>55543.089170390194</v>
      </c>
      <c r="F643" s="251">
        <f>(F625/F613)*BV65</f>
        <v>128.54241976801958</v>
      </c>
      <c r="G643" s="249">
        <f>(G626/G613)*BV92</f>
        <v>0</v>
      </c>
      <c r="H643" s="251">
        <f>(H629/H613)*BV61</f>
        <v>33835.993732411771</v>
      </c>
      <c r="I643" s="249">
        <f>(I630/I613)*BV93</f>
        <v>0</v>
      </c>
      <c r="J643" s="249">
        <f>(J631/J613)*BV94</f>
        <v>0</v>
      </c>
      <c r="N643" s="245" t="s">
        <v>575</v>
      </c>
    </row>
    <row r="644" spans="1:14" s="225" customFormat="1" ht="12.6" customHeight="1" x14ac:dyDescent="0.2">
      <c r="A644" s="244">
        <v>8700</v>
      </c>
      <c r="B644" s="248" t="s">
        <v>576</v>
      </c>
      <c r="C644" s="249">
        <f>BW86</f>
        <v>0</v>
      </c>
      <c r="D644" s="249">
        <f>(D616/D613)*BW91</f>
        <v>0</v>
      </c>
      <c r="E644" s="251">
        <f>(E624/E613)*SUM(C644:D644)</f>
        <v>0</v>
      </c>
      <c r="F644" s="251">
        <f>(F625/F613)*BW65</f>
        <v>0</v>
      </c>
      <c r="G644" s="249">
        <f>(G626/G613)*BW92</f>
        <v>0</v>
      </c>
      <c r="H644" s="251">
        <f>(H629/H613)*BW61</f>
        <v>0</v>
      </c>
      <c r="I644" s="249">
        <f>(I630/I613)*BW93</f>
        <v>0</v>
      </c>
      <c r="J644" s="249">
        <f>(J631/J613)*BW94</f>
        <v>0</v>
      </c>
      <c r="N644" s="245" t="s">
        <v>577</v>
      </c>
    </row>
    <row r="645" spans="1:14" s="225" customFormat="1" ht="12.6" customHeight="1" x14ac:dyDescent="0.2">
      <c r="A645" s="244">
        <v>8710</v>
      </c>
      <c r="B645" s="248" t="s">
        <v>578</v>
      </c>
      <c r="C645" s="249">
        <f>BX86</f>
        <v>0</v>
      </c>
      <c r="D645" s="249">
        <f>(D616/D613)*BX91</f>
        <v>0</v>
      </c>
      <c r="E645" s="251">
        <f>(E624/E613)*SUM(C645:D645)</f>
        <v>0</v>
      </c>
      <c r="F645" s="251">
        <f>(F625/F613)*BX65</f>
        <v>0</v>
      </c>
      <c r="G645" s="249">
        <f>(G626/G613)*BX92</f>
        <v>0</v>
      </c>
      <c r="H645" s="251">
        <f>(H629/H613)*BX61</f>
        <v>0</v>
      </c>
      <c r="I645" s="249">
        <f>(I630/I613)*BX93</f>
        <v>0</v>
      </c>
      <c r="J645" s="249">
        <f>(J631/J613)*BX94</f>
        <v>0</v>
      </c>
      <c r="K645" s="251">
        <f>SUM(C632:J645)</f>
        <v>8857233.2331726607</v>
      </c>
      <c r="L645" s="251"/>
      <c r="N645" s="245" t="s">
        <v>579</v>
      </c>
    </row>
    <row r="646" spans="1:14" s="225" customFormat="1" ht="12.6" customHeight="1" x14ac:dyDescent="0.2">
      <c r="A646" s="244">
        <v>8720</v>
      </c>
      <c r="B646" s="248" t="s">
        <v>580</v>
      </c>
      <c r="C646" s="249">
        <f>BY86</f>
        <v>2972307</v>
      </c>
      <c r="D646" s="249">
        <f>(D616/D613)*BY91</f>
        <v>-41960.036178877555</v>
      </c>
      <c r="E646" s="251">
        <f>(E624/E613)*SUM(C646:D646)</f>
        <v>195832.28781297905</v>
      </c>
      <c r="F646" s="251">
        <f>(F625/F613)*BY65</f>
        <v>3831.0637724114736</v>
      </c>
      <c r="G646" s="249">
        <f>(G626/G613)*BY92</f>
        <v>0</v>
      </c>
      <c r="H646" s="251">
        <f>(H629/H613)*BY61</f>
        <v>63693.068991802043</v>
      </c>
      <c r="I646" s="249">
        <f>(I630/I613)*BY93</f>
        <v>27823.298618695819</v>
      </c>
      <c r="J646" s="249">
        <f>(J631/J613)*BY94</f>
        <v>0</v>
      </c>
      <c r="K646" s="251">
        <v>0</v>
      </c>
      <c r="L646" s="251"/>
      <c r="N646" s="245" t="s">
        <v>581</v>
      </c>
    </row>
    <row r="647" spans="1:14" s="225" customFormat="1" ht="12.6" customHeight="1" x14ac:dyDescent="0.2">
      <c r="A647" s="244">
        <v>8730</v>
      </c>
      <c r="B647" s="248" t="s">
        <v>582</v>
      </c>
      <c r="C647" s="249">
        <f>BZ86</f>
        <v>0</v>
      </c>
      <c r="D647" s="249">
        <f>(D616/D613)*BZ91</f>
        <v>0</v>
      </c>
      <c r="E647" s="251">
        <f>(E624/E613)*SUM(C647:D647)</f>
        <v>0</v>
      </c>
      <c r="F647" s="251">
        <f>(F625/F613)*BZ65</f>
        <v>0</v>
      </c>
      <c r="G647" s="249">
        <f>(G626/G613)*BZ92</f>
        <v>0</v>
      </c>
      <c r="H647" s="251">
        <f>(H629/H613)*BZ61</f>
        <v>0</v>
      </c>
      <c r="I647" s="249">
        <f>(I630/I613)*BZ93</f>
        <v>0</v>
      </c>
      <c r="J647" s="249">
        <f>(J631/J613)*BZ94</f>
        <v>0</v>
      </c>
      <c r="K647" s="251">
        <v>0</v>
      </c>
      <c r="L647" s="251"/>
      <c r="N647" s="245" t="s">
        <v>583</v>
      </c>
    </row>
    <row r="648" spans="1:14" s="225" customFormat="1" ht="12.6" customHeight="1" x14ac:dyDescent="0.2">
      <c r="A648" s="244">
        <v>8740</v>
      </c>
      <c r="B648" s="248" t="s">
        <v>584</v>
      </c>
      <c r="C648" s="249">
        <f>CA86</f>
        <v>0</v>
      </c>
      <c r="D648" s="249">
        <f>(D616/D613)*CA91</f>
        <v>0</v>
      </c>
      <c r="E648" s="251">
        <f>(E624/E613)*SUM(C648:D648)</f>
        <v>0</v>
      </c>
      <c r="F648" s="251">
        <f>(F625/F613)*CA65</f>
        <v>0</v>
      </c>
      <c r="G648" s="249">
        <f>(G626/G613)*CA92</f>
        <v>0</v>
      </c>
      <c r="H648" s="251">
        <f>(H629/H613)*CA61</f>
        <v>0</v>
      </c>
      <c r="I648" s="249">
        <f>(I630/I613)*CA93</f>
        <v>0</v>
      </c>
      <c r="J648" s="249">
        <f>(J631/J613)*CA94</f>
        <v>0</v>
      </c>
      <c r="K648" s="251">
        <v>0</v>
      </c>
      <c r="L648" s="251">
        <f>SUM(C646:K648)</f>
        <v>3221526.6830170108</v>
      </c>
      <c r="N648" s="245" t="s">
        <v>585</v>
      </c>
    </row>
    <row r="649" spans="1:14" s="225" customFormat="1" ht="12.6" customHeight="1" x14ac:dyDescent="0.2">
      <c r="A649" s="244"/>
      <c r="B649" s="244"/>
      <c r="C649" s="225">
        <f>SUM(C615:C648)</f>
        <v>22174071</v>
      </c>
      <c r="L649" s="247"/>
    </row>
    <row r="667" spans="1:14" s="225" customFormat="1" ht="12.6" customHeight="1" x14ac:dyDescent="0.2">
      <c r="C667" s="242" t="s">
        <v>586</v>
      </c>
      <c r="M667" s="242" t="s">
        <v>587</v>
      </c>
    </row>
    <row r="668" spans="1:14" s="225" customFormat="1" ht="12.6" customHeight="1" x14ac:dyDescent="0.2">
      <c r="C668" s="242" t="s">
        <v>516</v>
      </c>
      <c r="D668" s="242" t="s">
        <v>517</v>
      </c>
      <c r="E668" s="243" t="s">
        <v>518</v>
      </c>
      <c r="F668" s="242" t="s">
        <v>519</v>
      </c>
      <c r="G668" s="242" t="s">
        <v>520</v>
      </c>
      <c r="H668" s="242" t="s">
        <v>521</v>
      </c>
      <c r="I668" s="242" t="s">
        <v>522</v>
      </c>
      <c r="J668" s="242" t="s">
        <v>523</v>
      </c>
      <c r="K668" s="242" t="s">
        <v>524</v>
      </c>
      <c r="L668" s="243" t="s">
        <v>525</v>
      </c>
      <c r="M668" s="242" t="s">
        <v>588</v>
      </c>
    </row>
    <row r="669" spans="1:14" s="225" customFormat="1" ht="12.6" customHeight="1" x14ac:dyDescent="0.2">
      <c r="A669" s="244">
        <v>6010</v>
      </c>
      <c r="B669" s="243" t="s">
        <v>315</v>
      </c>
      <c r="C669" s="249">
        <f>C86</f>
        <v>1445216</v>
      </c>
      <c r="D669" s="249">
        <f>(D616/D613)*C91</f>
        <v>-63146.097195826711</v>
      </c>
      <c r="E669" s="251">
        <f>(E624/E613)*SUM(C669:D669)</f>
        <v>92362.411115533818</v>
      </c>
      <c r="F669" s="251">
        <f>(F625/F613)*C65</f>
        <v>1335.9385479689699</v>
      </c>
      <c r="G669" s="249">
        <f>(G626/G613)*C92</f>
        <v>122571.94940704235</v>
      </c>
      <c r="H669" s="251">
        <f>(H629/H613)*C61</f>
        <v>26667.865796281447</v>
      </c>
      <c r="I669" s="249">
        <f>(I630/I613)*C93</f>
        <v>41925.518466527945</v>
      </c>
      <c r="J669" s="249">
        <f>(J631/J613)*C94</f>
        <v>15138.287977597523</v>
      </c>
      <c r="K669" s="249">
        <f>(K645/K613)*C90</f>
        <v>101374.76645503925</v>
      </c>
      <c r="L669" s="249">
        <f>(L648/L613)*C95</f>
        <v>179189.13067399018</v>
      </c>
      <c r="M669" s="225">
        <f t="shared" ref="M669:M714" si="18">ROUND(SUM(D669:L669),0)</f>
        <v>517420</v>
      </c>
      <c r="N669" s="243" t="s">
        <v>589</v>
      </c>
    </row>
    <row r="670" spans="1:14" s="225" customFormat="1" ht="12.6" customHeight="1" x14ac:dyDescent="0.2">
      <c r="A670" s="244">
        <v>6030</v>
      </c>
      <c r="B670" s="243" t="s">
        <v>316</v>
      </c>
      <c r="C670" s="249">
        <f>D86</f>
        <v>0</v>
      </c>
      <c r="D670" s="249">
        <f>(D616/D613)*D91</f>
        <v>0</v>
      </c>
      <c r="E670" s="251">
        <f>(E624/E613)*SUM(C670:D670)</f>
        <v>0</v>
      </c>
      <c r="F670" s="251">
        <f>(F625/F613)*D65</f>
        <v>0</v>
      </c>
      <c r="G670" s="249">
        <f>(G626/G613)*D92</f>
        <v>0</v>
      </c>
      <c r="H670" s="251">
        <f>(H629/H613)*D61</f>
        <v>0</v>
      </c>
      <c r="I670" s="249">
        <f>(I630/I613)*D93</f>
        <v>0</v>
      </c>
      <c r="J670" s="249">
        <f>(J631/J613)*D94</f>
        <v>0</v>
      </c>
      <c r="K670" s="249">
        <f>(K645/K613)*D90</f>
        <v>0</v>
      </c>
      <c r="L670" s="249">
        <f>(L648/L613)*D95</f>
        <v>0</v>
      </c>
      <c r="M670" s="225">
        <f t="shared" si="18"/>
        <v>0</v>
      </c>
      <c r="N670" s="243" t="s">
        <v>590</v>
      </c>
    </row>
    <row r="671" spans="1:14" s="225" customFormat="1" ht="12.6" customHeight="1" x14ac:dyDescent="0.2">
      <c r="A671" s="244">
        <v>6070</v>
      </c>
      <c r="B671" s="243" t="s">
        <v>591</v>
      </c>
      <c r="C671" s="249">
        <f>E86</f>
        <v>7690962.5491102384</v>
      </c>
      <c r="D671" s="249">
        <f>(D616/D613)*E91</f>
        <v>-227931.95851530079</v>
      </c>
      <c r="E671" s="251">
        <f>(E624/E613)*SUM(C671:D671)</f>
        <v>498747.20386990649</v>
      </c>
      <c r="F671" s="251">
        <f>(F625/F613)*E65</f>
        <v>5470.3022532967216</v>
      </c>
      <c r="G671" s="249">
        <f>(G626/G613)*E92</f>
        <v>1383428.735640818</v>
      </c>
      <c r="H671" s="251">
        <f>(H629/H613)*E61</f>
        <v>125698.02283822992</v>
      </c>
      <c r="I671" s="249">
        <f>(I630/I613)*E93</f>
        <v>151265.364921848</v>
      </c>
      <c r="J671" s="249">
        <f>(J631/J613)*E94</f>
        <v>65383.036535258463</v>
      </c>
      <c r="K671" s="249">
        <f>(K645/K613)*E90</f>
        <v>335822.25269580609</v>
      </c>
      <c r="L671" s="249">
        <f>(L648/L613)*E95</f>
        <v>844601.49949316448</v>
      </c>
      <c r="M671" s="225">
        <f t="shared" si="18"/>
        <v>3182484</v>
      </c>
      <c r="N671" s="243" t="s">
        <v>592</v>
      </c>
    </row>
    <row r="672" spans="1:14" s="225" customFormat="1" ht="12.6" customHeight="1" x14ac:dyDescent="0.2">
      <c r="A672" s="244">
        <v>6100</v>
      </c>
      <c r="B672" s="243" t="s">
        <v>593</v>
      </c>
      <c r="C672" s="249">
        <f>F86</f>
        <v>0</v>
      </c>
      <c r="D672" s="249">
        <f>(D616/D613)*F91</f>
        <v>0</v>
      </c>
      <c r="E672" s="251">
        <f>(E624/E613)*SUM(C672:D672)</f>
        <v>0</v>
      </c>
      <c r="F672" s="251">
        <f>(F625/F613)*F65</f>
        <v>0</v>
      </c>
      <c r="G672" s="249">
        <f>(G626/G613)*F92</f>
        <v>0</v>
      </c>
      <c r="H672" s="251">
        <f>(H629/H613)*F61</f>
        <v>0</v>
      </c>
      <c r="I672" s="249">
        <f>(I630/I613)*F93</f>
        <v>0</v>
      </c>
      <c r="J672" s="249">
        <f>(J631/J613)*F94</f>
        <v>0</v>
      </c>
      <c r="K672" s="249">
        <f>(K645/K613)*F90</f>
        <v>0</v>
      </c>
      <c r="L672" s="249">
        <f>(L648/L613)*F95</f>
        <v>0</v>
      </c>
      <c r="M672" s="225">
        <f t="shared" si="18"/>
        <v>0</v>
      </c>
      <c r="N672" s="243" t="s">
        <v>594</v>
      </c>
    </row>
    <row r="673" spans="1:14" s="225" customFormat="1" ht="12.6" customHeight="1" x14ac:dyDescent="0.2">
      <c r="A673" s="244">
        <v>6120</v>
      </c>
      <c r="B673" s="243" t="s">
        <v>595</v>
      </c>
      <c r="C673" s="249">
        <f>G86</f>
        <v>0</v>
      </c>
      <c r="D673" s="249">
        <f>(D616/D613)*G91</f>
        <v>0</v>
      </c>
      <c r="E673" s="251">
        <f>(E624/E613)*SUM(C673:D673)</f>
        <v>0</v>
      </c>
      <c r="F673" s="251">
        <f>(F625/F613)*G65</f>
        <v>0</v>
      </c>
      <c r="G673" s="249">
        <f>(G626/G613)*G92</f>
        <v>0</v>
      </c>
      <c r="H673" s="251">
        <f>(H629/H613)*G61</f>
        <v>0</v>
      </c>
      <c r="I673" s="249">
        <f>(I630/I613)*G93</f>
        <v>0</v>
      </c>
      <c r="J673" s="249">
        <f>(J631/J613)*G94</f>
        <v>0</v>
      </c>
      <c r="K673" s="249">
        <f>(K645/K613)*G90</f>
        <v>0</v>
      </c>
      <c r="L673" s="249">
        <f>(L648/L613)*G95</f>
        <v>0</v>
      </c>
      <c r="M673" s="225">
        <f t="shared" si="18"/>
        <v>0</v>
      </c>
      <c r="N673" s="243" t="s">
        <v>596</v>
      </c>
    </row>
    <row r="674" spans="1:14" s="225" customFormat="1" ht="12.6" customHeight="1" x14ac:dyDescent="0.2">
      <c r="A674" s="244">
        <v>6140</v>
      </c>
      <c r="B674" s="243" t="s">
        <v>597</v>
      </c>
      <c r="C674" s="249">
        <f>H86</f>
        <v>0</v>
      </c>
      <c r="D674" s="249">
        <f>(D616/D613)*H91</f>
        <v>0</v>
      </c>
      <c r="E674" s="251">
        <f>(E624/E613)*SUM(C674:D674)</f>
        <v>0</v>
      </c>
      <c r="F674" s="251">
        <f>(F625/F613)*H65</f>
        <v>0</v>
      </c>
      <c r="G674" s="249">
        <f>(G626/G613)*H92</f>
        <v>0</v>
      </c>
      <c r="H674" s="251">
        <f>(H629/H613)*H61</f>
        <v>0</v>
      </c>
      <c r="I674" s="249">
        <f>(I630/I613)*H93</f>
        <v>0</v>
      </c>
      <c r="J674" s="249">
        <f>(J631/J613)*H94</f>
        <v>0</v>
      </c>
      <c r="K674" s="249">
        <f>(K645/K613)*H90</f>
        <v>0</v>
      </c>
      <c r="L674" s="249">
        <f>(L648/L613)*H95</f>
        <v>0</v>
      </c>
      <c r="M674" s="225">
        <f t="shared" si="18"/>
        <v>0</v>
      </c>
      <c r="N674" s="243" t="s">
        <v>598</v>
      </c>
    </row>
    <row r="675" spans="1:14" s="225" customFormat="1" ht="12.6" customHeight="1" x14ac:dyDescent="0.2">
      <c r="A675" s="244">
        <v>6150</v>
      </c>
      <c r="B675" s="243" t="s">
        <v>599</v>
      </c>
      <c r="C675" s="249">
        <f>I86</f>
        <v>0</v>
      </c>
      <c r="D675" s="249">
        <f>(D616/D613)*I91</f>
        <v>0</v>
      </c>
      <c r="E675" s="251">
        <f>(E624/E613)*SUM(C675:D675)</f>
        <v>0</v>
      </c>
      <c r="F675" s="251">
        <f>(F625/F613)*I65</f>
        <v>0</v>
      </c>
      <c r="G675" s="249">
        <f>(G626/G613)*I92</f>
        <v>0</v>
      </c>
      <c r="H675" s="251">
        <f>(H629/H613)*I61</f>
        <v>0</v>
      </c>
      <c r="I675" s="249">
        <f>(I630/I613)*I93</f>
        <v>0</v>
      </c>
      <c r="J675" s="249">
        <f>(J631/J613)*I94</f>
        <v>0</v>
      </c>
      <c r="K675" s="249">
        <f>(K645/K613)*I90</f>
        <v>0</v>
      </c>
      <c r="L675" s="249">
        <f>(L648/L613)*I95</f>
        <v>0</v>
      </c>
      <c r="M675" s="225">
        <f t="shared" si="18"/>
        <v>0</v>
      </c>
      <c r="N675" s="243" t="s">
        <v>600</v>
      </c>
    </row>
    <row r="676" spans="1:14" s="225" customFormat="1" ht="12.6" customHeight="1" x14ac:dyDescent="0.2">
      <c r="A676" s="244">
        <v>6170</v>
      </c>
      <c r="B676" s="243" t="s">
        <v>110</v>
      </c>
      <c r="C676" s="249">
        <f>J86</f>
        <v>345044.37855327019</v>
      </c>
      <c r="D676" s="249">
        <f>(D616/D613)*J91</f>
        <v>-10229.425342279797</v>
      </c>
      <c r="E676" s="251">
        <f>(E624/E613)*SUM(C676:D676)</f>
        <v>22375.36342652229</v>
      </c>
      <c r="F676" s="251">
        <f>(F625/F613)*J65</f>
        <v>245.41372612408441</v>
      </c>
      <c r="G676" s="249">
        <f>(G626/G613)*J92</f>
        <v>0</v>
      </c>
      <c r="H676" s="251">
        <f>(H629/H613)*J61</f>
        <v>5639.180199333493</v>
      </c>
      <c r="I676" s="249">
        <f>(I630/I613)*J93</f>
        <v>6765.254116189737</v>
      </c>
      <c r="J676" s="249">
        <f>(J631/J613)*J94</f>
        <v>2933.2738628390666</v>
      </c>
      <c r="K676" s="249">
        <f>(K645/K613)*J90</f>
        <v>15065.966473752587</v>
      </c>
      <c r="L676" s="249">
        <f>(L648/L613)*J95</f>
        <v>37891.288539986883</v>
      </c>
      <c r="M676" s="225">
        <f t="shared" si="18"/>
        <v>80686</v>
      </c>
      <c r="N676" s="243" t="s">
        <v>601</v>
      </c>
    </row>
    <row r="677" spans="1:14" s="225" customFormat="1" ht="12.6" customHeight="1" x14ac:dyDescent="0.2">
      <c r="A677" s="244">
        <v>6200</v>
      </c>
      <c r="B677" s="243" t="s">
        <v>321</v>
      </c>
      <c r="C677" s="249">
        <f>K86</f>
        <v>0</v>
      </c>
      <c r="D677" s="249">
        <f>(D616/D613)*K91</f>
        <v>0</v>
      </c>
      <c r="E677" s="251">
        <f>(E624/E613)*SUM(C677:D677)</f>
        <v>0</v>
      </c>
      <c r="F677" s="251">
        <f>(F625/F613)*K65</f>
        <v>0</v>
      </c>
      <c r="G677" s="249">
        <f>(G626/G613)*K92</f>
        <v>0</v>
      </c>
      <c r="H677" s="251">
        <f>(H629/H613)*K61</f>
        <v>0</v>
      </c>
      <c r="I677" s="249">
        <f>(I630/I613)*K93</f>
        <v>0</v>
      </c>
      <c r="J677" s="249">
        <f>(J631/J613)*K94</f>
        <v>0</v>
      </c>
      <c r="K677" s="249">
        <f>(K645/K613)*K90</f>
        <v>0</v>
      </c>
      <c r="L677" s="249">
        <f>(L648/L613)*K95</f>
        <v>0</v>
      </c>
      <c r="M677" s="225">
        <f t="shared" si="18"/>
        <v>0</v>
      </c>
      <c r="N677" s="243" t="s">
        <v>602</v>
      </c>
    </row>
    <row r="678" spans="1:14" s="225" customFormat="1" ht="12.6" customHeight="1" x14ac:dyDescent="0.2">
      <c r="A678" s="244">
        <v>6210</v>
      </c>
      <c r="B678" s="243" t="s">
        <v>322</v>
      </c>
      <c r="C678" s="249">
        <f>L86</f>
        <v>270502.8523226254</v>
      </c>
      <c r="D678" s="249">
        <f>(D616/D613)*L91</f>
        <v>-8023.5540006981346</v>
      </c>
      <c r="E678" s="251">
        <f>(E624/E613)*SUM(C678:D678)</f>
        <v>17541.240722873721</v>
      </c>
      <c r="F678" s="251">
        <f>(F625/F613)*L65</f>
        <v>192.39224208493036</v>
      </c>
      <c r="G678" s="249">
        <f>(G626/G613)*L92</f>
        <v>48620.206598126802</v>
      </c>
      <c r="H678" s="251">
        <f>(H629/H613)*L61</f>
        <v>4420.8387982429231</v>
      </c>
      <c r="I678" s="249">
        <f>(I630/I613)*L93</f>
        <v>5335.9750775581024</v>
      </c>
      <c r="J678" s="249">
        <f>(J631/J613)*L94</f>
        <v>2299.5418554355647</v>
      </c>
      <c r="K678" s="249">
        <f>(K645/K613)*L90</f>
        <v>11810.973717077644</v>
      </c>
      <c r="L678" s="249">
        <f>(L648/L613)*L95</f>
        <v>29704.899040606997</v>
      </c>
      <c r="M678" s="225">
        <f t="shared" si="18"/>
        <v>111903</v>
      </c>
      <c r="N678" s="243" t="s">
        <v>603</v>
      </c>
    </row>
    <row r="679" spans="1:14" s="225" customFormat="1" ht="12.6" customHeight="1" x14ac:dyDescent="0.2">
      <c r="A679" s="244">
        <v>6330</v>
      </c>
      <c r="B679" s="243" t="s">
        <v>604</v>
      </c>
      <c r="C679" s="249">
        <f>M86</f>
        <v>1914611</v>
      </c>
      <c r="D679" s="249">
        <f>(D616/D613)*M91</f>
        <v>0</v>
      </c>
      <c r="E679" s="251">
        <f>(E624/E613)*SUM(C679:D679)</f>
        <v>127951.6238285233</v>
      </c>
      <c r="F679" s="251">
        <f>(F625/F613)*M65</f>
        <v>-79.220814189318645</v>
      </c>
      <c r="G679" s="249">
        <f>(G626/G613)*M92</f>
        <v>0</v>
      </c>
      <c r="H679" s="251">
        <f>(H629/H613)*M61</f>
        <v>27730.935617317729</v>
      </c>
      <c r="I679" s="249">
        <f>(I630/I613)*M93</f>
        <v>0</v>
      </c>
      <c r="J679" s="249">
        <f>(J631/J613)*M94</f>
        <v>0</v>
      </c>
      <c r="K679" s="249">
        <f>(K645/K613)*M90</f>
        <v>112926.64235579915</v>
      </c>
      <c r="L679" s="249">
        <f>(L648/L613)*M95</f>
        <v>0</v>
      </c>
      <c r="M679" s="225">
        <f t="shared" si="18"/>
        <v>268530</v>
      </c>
      <c r="N679" s="243" t="s">
        <v>605</v>
      </c>
    </row>
    <row r="680" spans="1:14" s="225" customFormat="1" ht="12.6" customHeight="1" x14ac:dyDescent="0.2">
      <c r="A680" s="244">
        <v>6400</v>
      </c>
      <c r="B680" s="243" t="s">
        <v>606</v>
      </c>
      <c r="C680" s="249">
        <f>N86</f>
        <v>0</v>
      </c>
      <c r="D680" s="249">
        <f>(D616/D613)*N91</f>
        <v>0</v>
      </c>
      <c r="E680" s="251">
        <f>(E624/E613)*SUM(C680:D680)</f>
        <v>0</v>
      </c>
      <c r="F680" s="251">
        <f>(F625/F613)*N65</f>
        <v>0</v>
      </c>
      <c r="G680" s="249">
        <f>(G626/G613)*N92</f>
        <v>0</v>
      </c>
      <c r="H680" s="251">
        <f>(H629/H613)*N61</f>
        <v>0</v>
      </c>
      <c r="I680" s="249">
        <f>(I630/I613)*N93</f>
        <v>0</v>
      </c>
      <c r="J680" s="249">
        <f>(J631/J613)*N94</f>
        <v>0</v>
      </c>
      <c r="K680" s="249">
        <f>(K645/K613)*N90</f>
        <v>0</v>
      </c>
      <c r="L680" s="249">
        <f>(L648/L613)*N95</f>
        <v>0</v>
      </c>
      <c r="M680" s="225">
        <f t="shared" si="18"/>
        <v>0</v>
      </c>
      <c r="N680" s="243" t="s">
        <v>607</v>
      </c>
    </row>
    <row r="681" spans="1:14" s="225" customFormat="1" ht="12.6" customHeight="1" x14ac:dyDescent="0.2">
      <c r="A681" s="244">
        <v>7010</v>
      </c>
      <c r="B681" s="243" t="s">
        <v>608</v>
      </c>
      <c r="C681" s="249">
        <f>O86</f>
        <v>185312.53663045989</v>
      </c>
      <c r="D681" s="249">
        <f>(D616/D613)*O91</f>
        <v>-5502.5581817476632</v>
      </c>
      <c r="E681" s="251">
        <f>(E624/E613)*SUM(C681:D681)</f>
        <v>12016.529061561072</v>
      </c>
      <c r="F681" s="251">
        <f>(F625/F613)*O65</f>
        <v>131.79626032589718</v>
      </c>
      <c r="G681" s="249">
        <f>(G626/G613)*O92</f>
        <v>0</v>
      </c>
      <c r="H681" s="251">
        <f>(H629/H613)*O61</f>
        <v>3028.4486255679872</v>
      </c>
      <c r="I681" s="249">
        <f>(I630/I613)*O93</f>
        <v>3668.4828658211954</v>
      </c>
      <c r="J681" s="249">
        <f>(J631/J613)*O94</f>
        <v>1575.2767041172767</v>
      </c>
      <c r="K681" s="249">
        <f>(K645/K613)*O90</f>
        <v>8090.9819951634263</v>
      </c>
      <c r="L681" s="249">
        <f>(L648/L613)*O95</f>
        <v>20349.025327029991</v>
      </c>
      <c r="M681" s="225">
        <f t="shared" si="18"/>
        <v>43358</v>
      </c>
      <c r="N681" s="243" t="s">
        <v>609</v>
      </c>
    </row>
    <row r="682" spans="1:14" s="225" customFormat="1" ht="12.6" customHeight="1" x14ac:dyDescent="0.2">
      <c r="A682" s="244">
        <v>7020</v>
      </c>
      <c r="B682" s="243" t="s">
        <v>610</v>
      </c>
      <c r="C682" s="249">
        <f>P86</f>
        <v>3310703</v>
      </c>
      <c r="D682" s="249">
        <f>(D616/D613)*P91</f>
        <v>-289720.59642400034</v>
      </c>
      <c r="E682" s="251">
        <f>(E624/E613)*SUM(C682:D682)</f>
        <v>201889.36765481054</v>
      </c>
      <c r="F682" s="251">
        <f>(F625/F613)*P65</f>
        <v>10146.937139340494</v>
      </c>
      <c r="G682" s="249">
        <f>(G626/G613)*P92</f>
        <v>0</v>
      </c>
      <c r="H682" s="251">
        <f>(H629/H613)*P61</f>
        <v>57527.264029791651</v>
      </c>
      <c r="I682" s="249">
        <f>(I630/I613)*P93</f>
        <v>192285.6733305759</v>
      </c>
      <c r="J682" s="249">
        <f>(J631/J613)*P94</f>
        <v>55440.60848805662</v>
      </c>
      <c r="K682" s="249">
        <f>(K645/K613)*P90</f>
        <v>973696.77237575059</v>
      </c>
      <c r="L682" s="249">
        <f>(L648/L613)*P95</f>
        <v>386542.38439241168</v>
      </c>
      <c r="M682" s="225">
        <f t="shared" si="18"/>
        <v>1587808</v>
      </c>
      <c r="N682" s="243" t="s">
        <v>611</v>
      </c>
    </row>
    <row r="683" spans="1:14" s="225" customFormat="1" ht="12.6" customHeight="1" x14ac:dyDescent="0.2">
      <c r="A683" s="244">
        <v>7030</v>
      </c>
      <c r="B683" s="243" t="s">
        <v>612</v>
      </c>
      <c r="C683" s="249">
        <f>Q86</f>
        <v>870664</v>
      </c>
      <c r="D683" s="249">
        <f>(D616/D613)*Q91</f>
        <v>-14277.562859248343</v>
      </c>
      <c r="E683" s="251">
        <f>(E624/E613)*SUM(C683:D683)</f>
        <v>57231.487365779656</v>
      </c>
      <c r="F683" s="251">
        <f>(F625/F613)*Q65</f>
        <v>512.36444383521086</v>
      </c>
      <c r="G683" s="249">
        <f>(G626/G613)*Q92</f>
        <v>0</v>
      </c>
      <c r="H683" s="251">
        <f>(H629/H613)*Q61</f>
        <v>8960.1599201629015</v>
      </c>
      <c r="I683" s="249">
        <f>(I630/I613)*Q93</f>
        <v>9480.8842895898415</v>
      </c>
      <c r="J683" s="249">
        <f>(J631/J613)*Q94</f>
        <v>12845.85164946405</v>
      </c>
      <c r="K683" s="249">
        <f>(K645/K613)*Q90</f>
        <v>164309.84884758847</v>
      </c>
      <c r="L683" s="249">
        <f>(L648/L613)*Q95</f>
        <v>60205.915203675526</v>
      </c>
      <c r="M683" s="225">
        <f t="shared" si="18"/>
        <v>299269</v>
      </c>
      <c r="N683" s="243" t="s">
        <v>613</v>
      </c>
    </row>
    <row r="684" spans="1:14" s="225" customFormat="1" ht="12.6" customHeight="1" x14ac:dyDescent="0.2">
      <c r="A684" s="244">
        <v>7040</v>
      </c>
      <c r="B684" s="243" t="s">
        <v>118</v>
      </c>
      <c r="C684" s="249">
        <f>R86</f>
        <v>1658612</v>
      </c>
      <c r="D684" s="249">
        <f>(D616/D613)*R91</f>
        <v>-3296.6868401660008</v>
      </c>
      <c r="E684" s="251">
        <f>(E624/E613)*SUM(C684:D684)</f>
        <v>110623.1408192167</v>
      </c>
      <c r="F684" s="251">
        <f>(F625/F613)*R65</f>
        <v>1272.7069601633348</v>
      </c>
      <c r="G684" s="249">
        <f>(G626/G613)*R92</f>
        <v>0</v>
      </c>
      <c r="H684" s="251">
        <f>(H629/H613)*R61</f>
        <v>67216.386112950844</v>
      </c>
      <c r="I684" s="249">
        <f>(I630/I613)*R93</f>
        <v>2191.5611925685062</v>
      </c>
      <c r="J684" s="249">
        <f>(J631/J613)*R94</f>
        <v>11346.387222558331</v>
      </c>
      <c r="K684" s="249">
        <f>(K645/K613)*R90</f>
        <v>344109.97993634205</v>
      </c>
      <c r="L684" s="249">
        <f>(L648/L613)*R95</f>
        <v>352459.71375168685</v>
      </c>
      <c r="M684" s="225">
        <f t="shared" si="18"/>
        <v>885923</v>
      </c>
      <c r="N684" s="243" t="s">
        <v>614</v>
      </c>
    </row>
    <row r="685" spans="1:14" s="225" customFormat="1" ht="12.6" customHeight="1" x14ac:dyDescent="0.2">
      <c r="A685" s="244">
        <v>7050</v>
      </c>
      <c r="B685" s="243" t="s">
        <v>615</v>
      </c>
      <c r="C685" s="249">
        <f>S86</f>
        <v>3600449</v>
      </c>
      <c r="D685" s="249">
        <f>(D616/D613)*S91</f>
        <v>-77108.53557770625</v>
      </c>
      <c r="E685" s="251">
        <f>(E624/E613)*SUM(C685:D685)</f>
        <v>235461.47688672837</v>
      </c>
      <c r="F685" s="251">
        <f>(F625/F613)*S65</f>
        <v>54206.588247836102</v>
      </c>
      <c r="G685" s="249">
        <f>(G626/G613)*S92</f>
        <v>0</v>
      </c>
      <c r="H685" s="251">
        <f>(H629/H613)*S61</f>
        <v>11481.154067191785</v>
      </c>
      <c r="I685" s="249">
        <f>(I630/I613)*S93</f>
        <v>51168.189583012514</v>
      </c>
      <c r="J685" s="249">
        <f>(J631/J613)*S94</f>
        <v>0</v>
      </c>
      <c r="K685" s="249">
        <f>(K645/K613)*S90</f>
        <v>14534.281323971099</v>
      </c>
      <c r="L685" s="249">
        <f>(L648/L613)*S95</f>
        <v>0</v>
      </c>
      <c r="M685" s="225">
        <f t="shared" si="18"/>
        <v>289743</v>
      </c>
      <c r="N685" s="243" t="s">
        <v>616</v>
      </c>
    </row>
    <row r="686" spans="1:14" s="225" customFormat="1" ht="12.6" customHeight="1" x14ac:dyDescent="0.2">
      <c r="A686" s="244">
        <v>7060</v>
      </c>
      <c r="B686" s="243" t="s">
        <v>617</v>
      </c>
      <c r="C686" s="249">
        <f>T86</f>
        <v>0</v>
      </c>
      <c r="D686" s="249">
        <f>(D616/D613)*T91</f>
        <v>0</v>
      </c>
      <c r="E686" s="251">
        <f>(E624/E613)*SUM(C686:D686)</f>
        <v>0</v>
      </c>
      <c r="F686" s="251">
        <f>(F625/F613)*T65</f>
        <v>0</v>
      </c>
      <c r="G686" s="249">
        <f>(G626/G613)*T92</f>
        <v>0</v>
      </c>
      <c r="H686" s="251">
        <f>(H629/H613)*T61</f>
        <v>0</v>
      </c>
      <c r="I686" s="249">
        <f>(I630/I613)*T93</f>
        <v>0</v>
      </c>
      <c r="J686" s="249">
        <f>(J631/J613)*T94</f>
        <v>0</v>
      </c>
      <c r="K686" s="249">
        <f>(K645/K613)*T90</f>
        <v>0</v>
      </c>
      <c r="L686" s="249">
        <f>(L648/L613)*T95</f>
        <v>0</v>
      </c>
      <c r="M686" s="225">
        <f t="shared" si="18"/>
        <v>0</v>
      </c>
      <c r="N686" s="243" t="s">
        <v>618</v>
      </c>
    </row>
    <row r="687" spans="1:14" s="225" customFormat="1" ht="12.6" customHeight="1" x14ac:dyDescent="0.2">
      <c r="A687" s="244">
        <v>7070</v>
      </c>
      <c r="B687" s="243" t="s">
        <v>121</v>
      </c>
      <c r="C687" s="249">
        <f>U86</f>
        <v>7587469</v>
      </c>
      <c r="D687" s="249">
        <f>(D616/D613)*U91</f>
        <v>-95046.390443315366</v>
      </c>
      <c r="E687" s="251">
        <f>(E624/E613)*SUM(C687:D687)</f>
        <v>500711.4444147243</v>
      </c>
      <c r="F687" s="251">
        <f>(F625/F613)*U65</f>
        <v>31594.662979643203</v>
      </c>
      <c r="G687" s="249">
        <f>(G626/G613)*U92</f>
        <v>0</v>
      </c>
      <c r="H687" s="251">
        <f>(H629/H613)*U61</f>
        <v>80914.800092589736</v>
      </c>
      <c r="I687" s="249">
        <f>(I630/I613)*U93</f>
        <v>63078.848238276136</v>
      </c>
      <c r="J687" s="249">
        <f>(J631/J613)*U94</f>
        <v>483.69820222765134</v>
      </c>
      <c r="K687" s="249">
        <f>(K645/K613)*U90</f>
        <v>672134.62918100832</v>
      </c>
      <c r="L687" s="249">
        <f>(L648/L613)*U95</f>
        <v>108778.82306291205</v>
      </c>
      <c r="M687" s="225">
        <f t="shared" si="18"/>
        <v>1362651</v>
      </c>
      <c r="N687" s="243" t="s">
        <v>619</v>
      </c>
    </row>
    <row r="688" spans="1:14" s="225" customFormat="1" ht="12.6" customHeight="1" x14ac:dyDescent="0.2">
      <c r="A688" s="244">
        <v>7110</v>
      </c>
      <c r="B688" s="243" t="s">
        <v>620</v>
      </c>
      <c r="C688" s="249">
        <f>V86</f>
        <v>0</v>
      </c>
      <c r="D688" s="249">
        <f>(D616/D613)*V91</f>
        <v>0</v>
      </c>
      <c r="E688" s="251">
        <f>(E624/E613)*SUM(C688:D688)</f>
        <v>0</v>
      </c>
      <c r="F688" s="251">
        <f>(F625/F613)*V65</f>
        <v>0</v>
      </c>
      <c r="G688" s="249">
        <f>(G626/G613)*V92</f>
        <v>0</v>
      </c>
      <c r="H688" s="251">
        <f>(H629/H613)*V61</f>
        <v>0</v>
      </c>
      <c r="I688" s="249">
        <f>(I630/I613)*V93</f>
        <v>0</v>
      </c>
      <c r="J688" s="249">
        <f>(J631/J613)*V94</f>
        <v>0</v>
      </c>
      <c r="K688" s="249">
        <f>(K645/K613)*V90</f>
        <v>0</v>
      </c>
      <c r="L688" s="249">
        <f>(L648/L613)*V95</f>
        <v>0</v>
      </c>
      <c r="M688" s="225">
        <f t="shared" si="18"/>
        <v>0</v>
      </c>
      <c r="N688" s="243" t="s">
        <v>621</v>
      </c>
    </row>
    <row r="689" spans="1:14" s="225" customFormat="1" ht="12.6" customHeight="1" x14ac:dyDescent="0.2">
      <c r="A689" s="244">
        <v>7120</v>
      </c>
      <c r="B689" s="243" t="s">
        <v>622</v>
      </c>
      <c r="C689" s="249">
        <f>W86</f>
        <v>279051</v>
      </c>
      <c r="D689" s="249">
        <f>(D616/D613)*W91</f>
        <v>-10544.549819648606</v>
      </c>
      <c r="E689" s="251">
        <f>(E624/E613)*SUM(C689:D689)</f>
        <v>17944.029522972785</v>
      </c>
      <c r="F689" s="251">
        <f>(F625/F613)*W65</f>
        <v>450.16441902207134</v>
      </c>
      <c r="G689" s="249">
        <f>(G626/G613)*W92</f>
        <v>0</v>
      </c>
      <c r="H689" s="251">
        <f>(H629/H613)*W61</f>
        <v>5011.6148705995884</v>
      </c>
      <c r="I689" s="249">
        <f>(I630/I613)*W93</f>
        <v>7003.4672892950093</v>
      </c>
      <c r="J689" s="249">
        <f>(J631/J613)*W94</f>
        <v>3236.3806985413762</v>
      </c>
      <c r="K689" s="249">
        <f>(K645/K613)*W90</f>
        <v>174470.73211920515</v>
      </c>
      <c r="L689" s="249">
        <f>(L648/L613)*W95</f>
        <v>0</v>
      </c>
      <c r="M689" s="225">
        <f t="shared" si="18"/>
        <v>197572</v>
      </c>
      <c r="N689" s="243" t="s">
        <v>623</v>
      </c>
    </row>
    <row r="690" spans="1:14" s="225" customFormat="1" ht="12.6" customHeight="1" x14ac:dyDescent="0.2">
      <c r="A690" s="244">
        <v>7130</v>
      </c>
      <c r="B690" s="243" t="s">
        <v>624</v>
      </c>
      <c r="C690" s="249">
        <f>X86</f>
        <v>777482</v>
      </c>
      <c r="D690" s="249">
        <f>(D616/D613)*X91</f>
        <v>-29403.537772951171</v>
      </c>
      <c r="E690" s="251">
        <f>(E624/E613)*SUM(C690:D690)</f>
        <v>49993.368884382005</v>
      </c>
      <c r="F690" s="251">
        <f>(F625/F613)*X65</f>
        <v>1254.1710626419274</v>
      </c>
      <c r="G690" s="249">
        <f>(G626/G613)*X92</f>
        <v>0</v>
      </c>
      <c r="H690" s="251">
        <f>(H629/H613)*X61</f>
        <v>13941.40136730431</v>
      </c>
      <c r="I690" s="249">
        <f>(I630/I613)*X93</f>
        <v>19485.837560011285</v>
      </c>
      <c r="J690" s="249">
        <f>(J631/J613)*X94</f>
        <v>9018.7728433537541</v>
      </c>
      <c r="K690" s="249">
        <f>(K645/K613)*X90</f>
        <v>518064.04236447695</v>
      </c>
      <c r="L690" s="249">
        <f>(L648/L613)*X95</f>
        <v>0</v>
      </c>
      <c r="M690" s="225">
        <f t="shared" si="18"/>
        <v>582354</v>
      </c>
      <c r="N690" s="243" t="s">
        <v>625</v>
      </c>
    </row>
    <row r="691" spans="1:14" s="225" customFormat="1" ht="12.6" customHeight="1" x14ac:dyDescent="0.2">
      <c r="A691" s="244">
        <v>7140</v>
      </c>
      <c r="B691" s="243" t="s">
        <v>626</v>
      </c>
      <c r="C691" s="249">
        <f>Y86</f>
        <v>3112374</v>
      </c>
      <c r="D691" s="249">
        <f>(D616/D613)*Y91</f>
        <v>-117686.87212504364</v>
      </c>
      <c r="E691" s="251">
        <f>(E624/E613)*SUM(C691:D691)</f>
        <v>200132.07950334417</v>
      </c>
      <c r="F691" s="251">
        <f>(F625/F613)*Y65</f>
        <v>5020.6493208201155</v>
      </c>
      <c r="G691" s="249">
        <f>(G626/G613)*Y92</f>
        <v>0</v>
      </c>
      <c r="H691" s="251">
        <f>(H629/H613)*Y61</f>
        <v>55826.352316133598</v>
      </c>
      <c r="I691" s="249">
        <f>(I630/I613)*Y93</f>
        <v>78086.278143908305</v>
      </c>
      <c r="J691" s="249">
        <f>(J631/J613)*Y94</f>
        <v>36102.940663846304</v>
      </c>
      <c r="K691" s="249">
        <f>(K645/K613)*Y90</f>
        <v>432452.26392150368</v>
      </c>
      <c r="L691" s="249">
        <f>(L648/L613)*Y95</f>
        <v>0</v>
      </c>
      <c r="M691" s="225">
        <f t="shared" si="18"/>
        <v>689934</v>
      </c>
      <c r="N691" s="243" t="s">
        <v>627</v>
      </c>
    </row>
    <row r="692" spans="1:14" s="225" customFormat="1" ht="12.6" customHeight="1" x14ac:dyDescent="0.2">
      <c r="A692" s="244">
        <v>7150</v>
      </c>
      <c r="B692" s="243" t="s">
        <v>628</v>
      </c>
      <c r="C692" s="249">
        <f>Z86</f>
        <v>0</v>
      </c>
      <c r="D692" s="249">
        <f>(D616/D613)*Z91</f>
        <v>0</v>
      </c>
      <c r="E692" s="251">
        <f>(E624/E613)*SUM(C692:D692)</f>
        <v>0</v>
      </c>
      <c r="F692" s="251">
        <f>(F625/F613)*Z65</f>
        <v>0</v>
      </c>
      <c r="G692" s="249">
        <f>(G626/G613)*Z92</f>
        <v>0</v>
      </c>
      <c r="H692" s="251">
        <f>(H629/H613)*Z61</f>
        <v>0</v>
      </c>
      <c r="I692" s="249">
        <f>(I630/I613)*Z93</f>
        <v>0</v>
      </c>
      <c r="J692" s="249">
        <f>(J631/J613)*Z94</f>
        <v>0</v>
      </c>
      <c r="K692" s="249">
        <f>(K645/K613)*Z90</f>
        <v>0</v>
      </c>
      <c r="L692" s="249">
        <f>(L648/L613)*Z95</f>
        <v>0</v>
      </c>
      <c r="M692" s="225">
        <f t="shared" si="18"/>
        <v>0</v>
      </c>
      <c r="N692" s="243" t="s">
        <v>629</v>
      </c>
    </row>
    <row r="693" spans="1:14" s="225" customFormat="1" ht="12.6" customHeight="1" x14ac:dyDescent="0.2">
      <c r="A693" s="244">
        <v>7160</v>
      </c>
      <c r="B693" s="243" t="s">
        <v>630</v>
      </c>
      <c r="C693" s="249">
        <f>AA86</f>
        <v>65219</v>
      </c>
      <c r="D693" s="249">
        <f>(D616/D613)*AA91</f>
        <v>-2472.515130124501</v>
      </c>
      <c r="E693" s="251">
        <f>(E624/E613)*SUM(C693:D693)</f>
        <v>4193.287633170622</v>
      </c>
      <c r="F693" s="251">
        <f>(F625/F613)*AA65</f>
        <v>105.18718889104649</v>
      </c>
      <c r="G693" s="249">
        <f>(G626/G613)*AA92</f>
        <v>0</v>
      </c>
      <c r="H693" s="251">
        <f>(H629/H613)*AA61</f>
        <v>1184.5635148689937</v>
      </c>
      <c r="I693" s="249">
        <f>(I630/I613)*AA93</f>
        <v>1619.8495771158525</v>
      </c>
      <c r="J693" s="249">
        <f>(J631/J613)*AA94</f>
        <v>756.32809802869122</v>
      </c>
      <c r="K693" s="249">
        <f>(K645/K613)*AA90</f>
        <v>85611.03537547763</v>
      </c>
      <c r="L693" s="249">
        <f>(L648/L613)*AA95</f>
        <v>0</v>
      </c>
      <c r="M693" s="225">
        <f t="shared" si="18"/>
        <v>90998</v>
      </c>
      <c r="N693" s="243" t="s">
        <v>631</v>
      </c>
    </row>
    <row r="694" spans="1:14" s="225" customFormat="1" ht="12.6" customHeight="1" x14ac:dyDescent="0.2">
      <c r="A694" s="244">
        <v>7170</v>
      </c>
      <c r="B694" s="243" t="s">
        <v>127</v>
      </c>
      <c r="C694" s="249">
        <f>AB86</f>
        <v>20498516</v>
      </c>
      <c r="D694" s="249">
        <f>(D616/D613)*AB91</f>
        <v>-36530.199030368851</v>
      </c>
      <c r="E694" s="251">
        <f>(E624/E613)*SUM(C694:D694)</f>
        <v>1367454.9608198486</v>
      </c>
      <c r="F694" s="251">
        <f>(F625/F613)*AB65</f>
        <v>282717.47137335112</v>
      </c>
      <c r="G694" s="249">
        <f>(G626/G613)*AB92</f>
        <v>0</v>
      </c>
      <c r="H694" s="251">
        <f>(H629/H613)*AB61</f>
        <v>32985.537875582748</v>
      </c>
      <c r="I694" s="249">
        <f>(I630/I613)*AB93</f>
        <v>24250.101022116731</v>
      </c>
      <c r="J694" s="249">
        <f>(J631/J613)*AB94</f>
        <v>0</v>
      </c>
      <c r="K694" s="249">
        <f>(K645/K613)*AB90</f>
        <v>1580070.195696682</v>
      </c>
      <c r="L694" s="249">
        <f>(L648/L613)*AB95</f>
        <v>221639.40308878513</v>
      </c>
      <c r="M694" s="225">
        <f t="shared" si="18"/>
        <v>3472587</v>
      </c>
      <c r="N694" s="243" t="s">
        <v>632</v>
      </c>
    </row>
    <row r="695" spans="1:14" s="225" customFormat="1" ht="12.6" customHeight="1" x14ac:dyDescent="0.2">
      <c r="A695" s="244">
        <v>7180</v>
      </c>
      <c r="B695" s="243" t="s">
        <v>633</v>
      </c>
      <c r="C695" s="249">
        <f>AC86</f>
        <v>1949324</v>
      </c>
      <c r="D695" s="249">
        <f>(D616/D613)*AC91</f>
        <v>-92598.115657603848</v>
      </c>
      <c r="E695" s="251">
        <f>(E624/E613)*SUM(C695:D695)</f>
        <v>124083.21685504811</v>
      </c>
      <c r="F695" s="251">
        <f>(F625/F613)*AC65</f>
        <v>1441.1418550317742</v>
      </c>
      <c r="G695" s="249">
        <f>(G626/G613)*AC92</f>
        <v>0</v>
      </c>
      <c r="H695" s="251">
        <f>(H629/H613)*AC61</f>
        <v>50359.13609366132</v>
      </c>
      <c r="I695" s="249">
        <f>(I630/I613)*AC93</f>
        <v>61458.998661160287</v>
      </c>
      <c r="J695" s="249">
        <f>(J631/J613)*AC94</f>
        <v>8203.814660206559</v>
      </c>
      <c r="K695" s="249">
        <f>(K645/K613)*AC90</f>
        <v>215037.28341312322</v>
      </c>
      <c r="L695" s="249">
        <f>(L648/L613)*AC95</f>
        <v>74696.152422187268</v>
      </c>
      <c r="M695" s="225">
        <f t="shared" si="18"/>
        <v>442682</v>
      </c>
      <c r="N695" s="243" t="s">
        <v>634</v>
      </c>
    </row>
    <row r="696" spans="1:14" s="225" customFormat="1" ht="12.6" customHeight="1" x14ac:dyDescent="0.2">
      <c r="A696" s="244">
        <v>7190</v>
      </c>
      <c r="B696" s="243" t="s">
        <v>129</v>
      </c>
      <c r="C696" s="249">
        <f>AD86</f>
        <v>0</v>
      </c>
      <c r="D696" s="249">
        <f>(D616/D613)*AD91</f>
        <v>0</v>
      </c>
      <c r="E696" s="251">
        <f>(E624/E613)*SUM(C696:D696)</f>
        <v>0</v>
      </c>
      <c r="F696" s="251">
        <f>(F625/F613)*AD65</f>
        <v>0</v>
      </c>
      <c r="G696" s="249">
        <f>(G626/G613)*AD92</f>
        <v>0</v>
      </c>
      <c r="H696" s="251">
        <f>(H629/H613)*AD61</f>
        <v>0</v>
      </c>
      <c r="I696" s="249">
        <f>(I630/I613)*AD93</f>
        <v>0</v>
      </c>
      <c r="J696" s="249">
        <f>(J631/J613)*AD94</f>
        <v>0</v>
      </c>
      <c r="K696" s="249">
        <f>(K645/K613)*AD90</f>
        <v>0</v>
      </c>
      <c r="L696" s="249">
        <f>(L648/L613)*AD95</f>
        <v>0</v>
      </c>
      <c r="M696" s="225">
        <f t="shared" si="18"/>
        <v>0</v>
      </c>
      <c r="N696" s="243" t="s">
        <v>635</v>
      </c>
    </row>
    <row r="697" spans="1:14" s="225" customFormat="1" ht="12.6" customHeight="1" x14ac:dyDescent="0.2">
      <c r="A697" s="244">
        <v>7200</v>
      </c>
      <c r="B697" s="243" t="s">
        <v>636</v>
      </c>
      <c r="C697" s="249">
        <f>AE86</f>
        <v>4000183</v>
      </c>
      <c r="D697" s="249">
        <f>(D616/D613)*AE91</f>
        <v>-157271.35455144863</v>
      </c>
      <c r="E697" s="251">
        <f>(E624/E613)*SUM(C697:D697)</f>
        <v>256818.1135826988</v>
      </c>
      <c r="F697" s="251">
        <f>(F625/F613)*AE65</f>
        <v>1337.5664833165022</v>
      </c>
      <c r="G697" s="249">
        <f>(G626/G613)*AE92</f>
        <v>0</v>
      </c>
      <c r="H697" s="251">
        <f>(H629/H613)*AE61</f>
        <v>101447.23435031895</v>
      </c>
      <c r="I697" s="249">
        <f>(I630/I613)*AE93</f>
        <v>104385.01245473037</v>
      </c>
      <c r="J697" s="249">
        <f>(J631/J613)*AE94</f>
        <v>39570.910198605765</v>
      </c>
      <c r="K697" s="249">
        <f>(K645/K613)*AE90</f>
        <v>335427.14708165813</v>
      </c>
      <c r="L697" s="249">
        <f>(L648/L613)*AE95</f>
        <v>0</v>
      </c>
      <c r="M697" s="225">
        <f t="shared" si="18"/>
        <v>681715</v>
      </c>
      <c r="N697" s="243" t="s">
        <v>637</v>
      </c>
    </row>
    <row r="698" spans="1:14" s="225" customFormat="1" ht="12.6" customHeight="1" x14ac:dyDescent="0.2">
      <c r="A698" s="244">
        <v>7220</v>
      </c>
      <c r="B698" s="243" t="s">
        <v>638</v>
      </c>
      <c r="C698" s="249">
        <f>AF86</f>
        <v>0</v>
      </c>
      <c r="D698" s="249">
        <f>(D616/D613)*AF91</f>
        <v>0</v>
      </c>
      <c r="E698" s="251">
        <f>(E624/E613)*SUM(C698:D698)</f>
        <v>0</v>
      </c>
      <c r="F698" s="251">
        <f>(F625/F613)*AF65</f>
        <v>0</v>
      </c>
      <c r="G698" s="249">
        <f>(G626/G613)*AF92</f>
        <v>0</v>
      </c>
      <c r="H698" s="251">
        <f>(H629/H613)*AF61</f>
        <v>0</v>
      </c>
      <c r="I698" s="249">
        <f>(I630/I613)*AF93</f>
        <v>0</v>
      </c>
      <c r="J698" s="249">
        <f>(J631/J613)*AF94</f>
        <v>0</v>
      </c>
      <c r="K698" s="249">
        <f>(K645/K613)*AF90</f>
        <v>0</v>
      </c>
      <c r="L698" s="249">
        <f>(L648/L613)*AF95</f>
        <v>0</v>
      </c>
      <c r="M698" s="225">
        <f t="shared" si="18"/>
        <v>0</v>
      </c>
      <c r="N698" s="243" t="s">
        <v>639</v>
      </c>
    </row>
    <row r="699" spans="1:14" s="225" customFormat="1" ht="12.6" customHeight="1" x14ac:dyDescent="0.2">
      <c r="A699" s="244">
        <v>7230</v>
      </c>
      <c r="B699" s="243" t="s">
        <v>640</v>
      </c>
      <c r="C699" s="249">
        <f>AG86</f>
        <v>6522857</v>
      </c>
      <c r="D699" s="249">
        <f>(D616/D613)*AG91</f>
        <v>-153926.18702245667</v>
      </c>
      <c r="E699" s="251">
        <f>(E624/E613)*SUM(C699:D699)</f>
        <v>425629.56108159496</v>
      </c>
      <c r="F699" s="251">
        <f>(F625/F613)*AG65</f>
        <v>4200.6695689883336</v>
      </c>
      <c r="G699" s="249">
        <f>(G626/G613)*AG92</f>
        <v>0</v>
      </c>
      <c r="H699" s="251">
        <f>(H629/H613)*AG61</f>
        <v>90543.175328832571</v>
      </c>
      <c r="I699" s="249">
        <f>(I630/I613)*AG93</f>
        <v>102145.80862754081</v>
      </c>
      <c r="J699" s="249">
        <f>(J631/J613)*AG94</f>
        <v>99366.268258839205</v>
      </c>
      <c r="K699" s="249">
        <f>(K645/K613)*AG90</f>
        <v>1018345.9445496282</v>
      </c>
      <c r="L699" s="249">
        <f>(L648/L613)*AG95</f>
        <v>497974.34948124836</v>
      </c>
      <c r="M699" s="225">
        <f t="shared" si="18"/>
        <v>2084280</v>
      </c>
      <c r="N699" s="243" t="s">
        <v>641</v>
      </c>
    </row>
    <row r="700" spans="1:14" s="225" customFormat="1" ht="12.6" customHeight="1" x14ac:dyDescent="0.2">
      <c r="A700" s="244">
        <v>7240</v>
      </c>
      <c r="B700" s="243" t="s">
        <v>131</v>
      </c>
      <c r="C700" s="249">
        <f>AH86</f>
        <v>0</v>
      </c>
      <c r="D700" s="249">
        <f>(D616/D613)*AH91</f>
        <v>0</v>
      </c>
      <c r="E700" s="251">
        <f>(E624/E613)*SUM(C700:D700)</f>
        <v>0</v>
      </c>
      <c r="F700" s="251">
        <f>(F625/F613)*AH65</f>
        <v>0</v>
      </c>
      <c r="G700" s="249">
        <f>(G626/G613)*AH92</f>
        <v>0</v>
      </c>
      <c r="H700" s="251">
        <f>(H629/H613)*AH61</f>
        <v>0</v>
      </c>
      <c r="I700" s="249">
        <f>(I630/I613)*AH93</f>
        <v>0</v>
      </c>
      <c r="J700" s="249">
        <f>(J631/J613)*AH94</f>
        <v>0</v>
      </c>
      <c r="K700" s="249">
        <f>(K645/K613)*AH90</f>
        <v>0</v>
      </c>
      <c r="L700" s="249">
        <f>(L648/L613)*AH95</f>
        <v>0</v>
      </c>
      <c r="M700" s="225">
        <f t="shared" si="18"/>
        <v>0</v>
      </c>
      <c r="N700" s="243" t="s">
        <v>642</v>
      </c>
    </row>
    <row r="701" spans="1:14" s="225" customFormat="1" ht="12.6" customHeight="1" x14ac:dyDescent="0.2">
      <c r="A701" s="244">
        <v>7250</v>
      </c>
      <c r="B701" s="243" t="s">
        <v>643</v>
      </c>
      <c r="C701" s="249">
        <f>AI86</f>
        <v>0</v>
      </c>
      <c r="D701" s="249">
        <f>(D616/D613)*AI91</f>
        <v>0</v>
      </c>
      <c r="E701" s="251">
        <f>(E624/E613)*SUM(C701:D701)</f>
        <v>0</v>
      </c>
      <c r="F701" s="251">
        <f>(F625/F613)*AI65</f>
        <v>0</v>
      </c>
      <c r="G701" s="249">
        <f>(G626/G613)*AI92</f>
        <v>0</v>
      </c>
      <c r="H701" s="251">
        <f>(H629/H613)*AI61</f>
        <v>0</v>
      </c>
      <c r="I701" s="249">
        <f>(I630/I613)*AI93</f>
        <v>0</v>
      </c>
      <c r="J701" s="249">
        <f>(J631/J613)*AI94</f>
        <v>0</v>
      </c>
      <c r="K701" s="249">
        <f>(K645/K613)*AI90</f>
        <v>0</v>
      </c>
      <c r="L701" s="249">
        <f>(L648/L613)*AI95</f>
        <v>0</v>
      </c>
      <c r="M701" s="225">
        <f t="shared" si="18"/>
        <v>0</v>
      </c>
      <c r="N701" s="243" t="s">
        <v>644</v>
      </c>
    </row>
    <row r="702" spans="1:14" s="225" customFormat="1" ht="12.6" customHeight="1" x14ac:dyDescent="0.2">
      <c r="A702" s="244">
        <v>7260</v>
      </c>
      <c r="B702" s="243" t="s">
        <v>133</v>
      </c>
      <c r="C702" s="249">
        <f>AJ86</f>
        <v>33777384</v>
      </c>
      <c r="D702" s="249">
        <f>(D616/D613)*AJ91</f>
        <v>-756395.70706279331</v>
      </c>
      <c r="E702" s="251">
        <f>(E624/E613)*SUM(C702:D702)</f>
        <v>2206761.0979483421</v>
      </c>
      <c r="F702" s="251">
        <f>(F625/F613)*AJ65</f>
        <v>27016.812073351866</v>
      </c>
      <c r="G702" s="249">
        <f>(G626/G613)*AJ92</f>
        <v>0</v>
      </c>
      <c r="H702" s="251">
        <f>(H629/H613)*AJ61</f>
        <v>521724.29474114632</v>
      </c>
      <c r="I702" s="249">
        <f>(I630/I613)*AJ93</f>
        <v>502010.44100205111</v>
      </c>
      <c r="J702" s="249">
        <f>(J631/J613)*AJ94</f>
        <v>39182.485884695685</v>
      </c>
      <c r="K702" s="249">
        <f>(K645/K613)*AJ90</f>
        <v>1379655.2322444136</v>
      </c>
      <c r="L702" s="249">
        <f>(L648/L613)*AJ95</f>
        <v>261232.44562950736</v>
      </c>
      <c r="M702" s="225">
        <f t="shared" si="18"/>
        <v>4181187</v>
      </c>
      <c r="N702" s="243" t="s">
        <v>645</v>
      </c>
    </row>
    <row r="703" spans="1:14" s="225" customFormat="1" ht="12.6" customHeight="1" x14ac:dyDescent="0.2">
      <c r="A703" s="244">
        <v>7310</v>
      </c>
      <c r="B703" s="243" t="s">
        <v>646</v>
      </c>
      <c r="C703" s="249">
        <f>AK86</f>
        <v>0</v>
      </c>
      <c r="D703" s="249">
        <f>(D616/D613)*AK91</f>
        <v>0</v>
      </c>
      <c r="E703" s="251">
        <f>(E624/E613)*SUM(C703:D703)</f>
        <v>0</v>
      </c>
      <c r="F703" s="251">
        <f>(F625/F613)*AK65</f>
        <v>0</v>
      </c>
      <c r="G703" s="249">
        <f>(G626/G613)*AK92</f>
        <v>0</v>
      </c>
      <c r="H703" s="251">
        <f>(H629/H613)*AK61</f>
        <v>0</v>
      </c>
      <c r="I703" s="249">
        <f>(I630/I613)*AK93</f>
        <v>0</v>
      </c>
      <c r="J703" s="249">
        <f>(J631/J613)*AK94</f>
        <v>0</v>
      </c>
      <c r="K703" s="249">
        <f>(K645/K613)*AK90</f>
        <v>0</v>
      </c>
      <c r="L703" s="249">
        <f>(L648/L613)*AK95</f>
        <v>0</v>
      </c>
      <c r="M703" s="225">
        <f t="shared" si="18"/>
        <v>0</v>
      </c>
      <c r="N703" s="243" t="s">
        <v>647</v>
      </c>
    </row>
    <row r="704" spans="1:14" s="225" customFormat="1" ht="12.6" customHeight="1" x14ac:dyDescent="0.2">
      <c r="A704" s="244">
        <v>7320</v>
      </c>
      <c r="B704" s="243" t="s">
        <v>648</v>
      </c>
      <c r="C704" s="249">
        <f>AL86</f>
        <v>0</v>
      </c>
      <c r="D704" s="249">
        <f>(D616/D613)*AL91</f>
        <v>0</v>
      </c>
      <c r="E704" s="251">
        <f>(E624/E613)*SUM(C704:D704)</f>
        <v>0</v>
      </c>
      <c r="F704" s="251">
        <f>(F625/F613)*AL65</f>
        <v>0</v>
      </c>
      <c r="G704" s="249">
        <f>(G626/G613)*AL92</f>
        <v>0</v>
      </c>
      <c r="H704" s="251">
        <f>(H629/H613)*AL61</f>
        <v>0</v>
      </c>
      <c r="I704" s="249">
        <f>(I630/I613)*AL93</f>
        <v>0</v>
      </c>
      <c r="J704" s="249">
        <f>(J631/J613)*AL94</f>
        <v>0</v>
      </c>
      <c r="K704" s="249">
        <f>(K645/K613)*AL90</f>
        <v>0</v>
      </c>
      <c r="L704" s="249">
        <f>(L648/L613)*AL95</f>
        <v>0</v>
      </c>
      <c r="M704" s="225">
        <f t="shared" si="18"/>
        <v>0</v>
      </c>
      <c r="N704" s="243" t="s">
        <v>649</v>
      </c>
    </row>
    <row r="705" spans="1:14" s="225" customFormat="1" ht="12.6" customHeight="1" x14ac:dyDescent="0.2">
      <c r="A705" s="244">
        <v>7330</v>
      </c>
      <c r="B705" s="243" t="s">
        <v>650</v>
      </c>
      <c r="C705" s="249">
        <f>AM86</f>
        <v>0</v>
      </c>
      <c r="D705" s="249">
        <f>(D616/D613)*AM91</f>
        <v>0</v>
      </c>
      <c r="E705" s="251">
        <f>(E624/E613)*SUM(C705:D705)</f>
        <v>0</v>
      </c>
      <c r="F705" s="251">
        <f>(F625/F613)*AM65</f>
        <v>0</v>
      </c>
      <c r="G705" s="249">
        <f>(G626/G613)*AM92</f>
        <v>0</v>
      </c>
      <c r="H705" s="251">
        <f>(H629/H613)*AM61</f>
        <v>0</v>
      </c>
      <c r="I705" s="249">
        <f>(I630/I613)*AM93</f>
        <v>0</v>
      </c>
      <c r="J705" s="249">
        <f>(J631/J613)*AM94</f>
        <v>0</v>
      </c>
      <c r="K705" s="249">
        <f>(K645/K613)*AM90</f>
        <v>0</v>
      </c>
      <c r="L705" s="249">
        <f>(L648/L613)*AM95</f>
        <v>0</v>
      </c>
      <c r="M705" s="225">
        <f t="shared" si="18"/>
        <v>0</v>
      </c>
      <c r="N705" s="243" t="s">
        <v>651</v>
      </c>
    </row>
    <row r="706" spans="1:14" s="225" customFormat="1" ht="12.6" customHeight="1" x14ac:dyDescent="0.2">
      <c r="A706" s="244">
        <v>7340</v>
      </c>
      <c r="B706" s="243" t="s">
        <v>652</v>
      </c>
      <c r="C706" s="249">
        <f>AN86</f>
        <v>0</v>
      </c>
      <c r="D706" s="249">
        <f>(D616/D613)*AN91</f>
        <v>0</v>
      </c>
      <c r="E706" s="251">
        <f>(E624/E613)*SUM(C706:D706)</f>
        <v>0</v>
      </c>
      <c r="F706" s="251">
        <f>(F625/F613)*AN65</f>
        <v>0</v>
      </c>
      <c r="G706" s="249">
        <f>(G626/G613)*AN92</f>
        <v>0</v>
      </c>
      <c r="H706" s="251">
        <f>(H629/H613)*AN61</f>
        <v>0</v>
      </c>
      <c r="I706" s="249">
        <f>(I630/I613)*AN93</f>
        <v>0</v>
      </c>
      <c r="J706" s="249">
        <f>(J631/J613)*AN94</f>
        <v>0</v>
      </c>
      <c r="K706" s="249">
        <f>(K645/K613)*AN90</f>
        <v>0</v>
      </c>
      <c r="L706" s="249">
        <f>(L648/L613)*AN95</f>
        <v>0</v>
      </c>
      <c r="M706" s="225">
        <f t="shared" si="18"/>
        <v>0</v>
      </c>
      <c r="N706" s="243" t="s">
        <v>653</v>
      </c>
    </row>
    <row r="707" spans="1:14" s="225" customFormat="1" ht="12.6" customHeight="1" x14ac:dyDescent="0.2">
      <c r="A707" s="244">
        <v>7350</v>
      </c>
      <c r="B707" s="243" t="s">
        <v>654</v>
      </c>
      <c r="C707" s="249">
        <f>AO86</f>
        <v>724144.68338340649</v>
      </c>
      <c r="D707" s="249">
        <f>(D616/D613)*AO91</f>
        <v>-21452.704805491991</v>
      </c>
      <c r="E707" s="251">
        <f>(E624/E613)*SUM(C707:D707)</f>
        <v>46960.233546303694</v>
      </c>
      <c r="F707" s="251">
        <f>(F625/F613)*AO65</f>
        <v>515.06584495178208</v>
      </c>
      <c r="G707" s="249">
        <f>(G626/G613)*AO92</f>
        <v>0</v>
      </c>
      <c r="H707" s="251">
        <f>(H629/H613)*AO61</f>
        <v>11835.31646773696</v>
      </c>
      <c r="I707" s="249">
        <f>(I630/I613)*AO93</f>
        <v>14245.147751695291</v>
      </c>
      <c r="J707" s="249">
        <f>(J631/J613)*AO94</f>
        <v>6156.2537862054478</v>
      </c>
      <c r="K707" s="249">
        <f>(K645/K613)*AO90</f>
        <v>31619.929636270859</v>
      </c>
      <c r="L707" s="249">
        <f>(L648/L613)*AO95</f>
        <v>79524.926565404559</v>
      </c>
      <c r="M707" s="225">
        <f t="shared" si="18"/>
        <v>169404</v>
      </c>
      <c r="N707" s="243" t="s">
        <v>655</v>
      </c>
    </row>
    <row r="708" spans="1:14" s="225" customFormat="1" ht="12.6" customHeight="1" x14ac:dyDescent="0.2">
      <c r="A708" s="244">
        <v>7380</v>
      </c>
      <c r="B708" s="243" t="s">
        <v>656</v>
      </c>
      <c r="C708" s="249">
        <f>AP86</f>
        <v>1405714</v>
      </c>
      <c r="D708" s="249">
        <f>(D616/D613)*AP91</f>
        <v>0</v>
      </c>
      <c r="E708" s="251">
        <f>(E624/E613)*SUM(C708:D708)</f>
        <v>93942.523540546244</v>
      </c>
      <c r="F708" s="251">
        <f>(F625/F613)*AP65</f>
        <v>15.828044666105985</v>
      </c>
      <c r="G708" s="249">
        <f>(G626/G613)*AP92</f>
        <v>0</v>
      </c>
      <c r="H708" s="251">
        <f>(H629/H613)*AP61</f>
        <v>9051.2801905374399</v>
      </c>
      <c r="I708" s="249">
        <f>(I630/I613)*AP93</f>
        <v>0</v>
      </c>
      <c r="J708" s="249">
        <f>(J631/J613)*AP94</f>
        <v>0</v>
      </c>
      <c r="K708" s="249">
        <f>(K645/K613)*AP90</f>
        <v>53127.483131060901</v>
      </c>
      <c r="L708" s="249">
        <f>(L648/L613)*AP95</f>
        <v>0</v>
      </c>
      <c r="M708" s="225">
        <f t="shared" si="18"/>
        <v>156137</v>
      </c>
      <c r="N708" s="243" t="s">
        <v>657</v>
      </c>
    </row>
    <row r="709" spans="1:14" s="225" customFormat="1" ht="12.6" customHeight="1" x14ac:dyDescent="0.2">
      <c r="A709" s="244">
        <v>7390</v>
      </c>
      <c r="B709" s="243" t="s">
        <v>658</v>
      </c>
      <c r="C709" s="249">
        <f>AQ86</f>
        <v>0</v>
      </c>
      <c r="D709" s="249">
        <f>(D616/D613)*AQ91</f>
        <v>0</v>
      </c>
      <c r="E709" s="251">
        <f>(E624/E613)*SUM(C709:D709)</f>
        <v>0</v>
      </c>
      <c r="F709" s="251">
        <f>(F625/F613)*AQ65</f>
        <v>0</v>
      </c>
      <c r="G709" s="249">
        <f>(G626/G613)*AQ92</f>
        <v>0</v>
      </c>
      <c r="H709" s="251">
        <f>(H629/H613)*AQ61</f>
        <v>0</v>
      </c>
      <c r="I709" s="249">
        <f>(I630/I613)*AQ93</f>
        <v>0</v>
      </c>
      <c r="J709" s="249">
        <f>(J631/J613)*AQ94</f>
        <v>0</v>
      </c>
      <c r="K709" s="249">
        <f>(K645/K613)*AQ90</f>
        <v>0</v>
      </c>
      <c r="L709" s="249">
        <f>(L648/L613)*AQ95</f>
        <v>0</v>
      </c>
      <c r="M709" s="225">
        <f t="shared" si="18"/>
        <v>0</v>
      </c>
      <c r="N709" s="243" t="s">
        <v>659</v>
      </c>
    </row>
    <row r="710" spans="1:14" s="225" customFormat="1" ht="12.6" customHeight="1" x14ac:dyDescent="0.2">
      <c r="A710" s="244">
        <v>7400</v>
      </c>
      <c r="B710" s="243" t="s">
        <v>660</v>
      </c>
      <c r="C710" s="249">
        <f>AR86</f>
        <v>2784239</v>
      </c>
      <c r="D710" s="249">
        <f>(D616/D613)*AR91</f>
        <v>0</v>
      </c>
      <c r="E710" s="251">
        <f>(E624/E613)*SUM(C710:D710)</f>
        <v>186068.03218862935</v>
      </c>
      <c r="F710" s="251">
        <f>(F625/F613)*AR65</f>
        <v>1915.9670768431959</v>
      </c>
      <c r="G710" s="249">
        <f>(G626/G613)*AR92</f>
        <v>0</v>
      </c>
      <c r="H710" s="251">
        <f>(H629/H613)*AR61</f>
        <v>76632.147384986441</v>
      </c>
      <c r="I710" s="249">
        <f>(I630/I613)*AR93</f>
        <v>0</v>
      </c>
      <c r="J710" s="249">
        <f>(J631/J613)*AR94</f>
        <v>0</v>
      </c>
      <c r="K710" s="249">
        <f>(K645/K613)*AR90</f>
        <v>69982.602025522632</v>
      </c>
      <c r="L710" s="249">
        <f>(L648/L613)*AR95</f>
        <v>0</v>
      </c>
      <c r="M710" s="225">
        <f t="shared" si="18"/>
        <v>334599</v>
      </c>
      <c r="N710" s="243" t="s">
        <v>661</v>
      </c>
    </row>
    <row r="711" spans="1:14" s="225" customFormat="1" ht="12.6" customHeight="1" x14ac:dyDescent="0.2">
      <c r="A711" s="244">
        <v>7410</v>
      </c>
      <c r="B711" s="243" t="s">
        <v>141</v>
      </c>
      <c r="C711" s="249">
        <f>AS86</f>
        <v>0</v>
      </c>
      <c r="D711" s="249">
        <f>(D616/D613)*AS91</f>
        <v>0</v>
      </c>
      <c r="E711" s="251">
        <f>(E624/E613)*SUM(C711:D711)</f>
        <v>0</v>
      </c>
      <c r="F711" s="251">
        <f>(F625/F613)*AS65</f>
        <v>0</v>
      </c>
      <c r="G711" s="249">
        <f>(G626/G613)*AS92</f>
        <v>0</v>
      </c>
      <c r="H711" s="251">
        <f>(H629/H613)*AS61</f>
        <v>0</v>
      </c>
      <c r="I711" s="249">
        <f>(I630/I613)*AS93</f>
        <v>0</v>
      </c>
      <c r="J711" s="249">
        <f>(J631/J613)*AS94</f>
        <v>0</v>
      </c>
      <c r="K711" s="249">
        <f>(K645/K613)*AS90</f>
        <v>0</v>
      </c>
      <c r="L711" s="249">
        <f>(L648/L613)*AS95</f>
        <v>0</v>
      </c>
      <c r="M711" s="225">
        <f t="shared" si="18"/>
        <v>0</v>
      </c>
      <c r="N711" s="243" t="s">
        <v>662</v>
      </c>
    </row>
    <row r="712" spans="1:14" s="225" customFormat="1" ht="12.6" customHeight="1" x14ac:dyDescent="0.2">
      <c r="A712" s="244">
        <v>7420</v>
      </c>
      <c r="B712" s="243" t="s">
        <v>663</v>
      </c>
      <c r="C712" s="249">
        <f>AT86</f>
        <v>0</v>
      </c>
      <c r="D712" s="249">
        <f>(D616/D613)*AT91</f>
        <v>0</v>
      </c>
      <c r="E712" s="251">
        <f>(E624/E613)*SUM(C712:D712)</f>
        <v>0</v>
      </c>
      <c r="F712" s="251">
        <f>(F625/F613)*AT65</f>
        <v>0</v>
      </c>
      <c r="G712" s="249">
        <f>(G626/G613)*AT92</f>
        <v>0</v>
      </c>
      <c r="H712" s="251">
        <f>(H629/H613)*AT61</f>
        <v>0</v>
      </c>
      <c r="I712" s="249">
        <f>(I630/I613)*AT93</f>
        <v>0</v>
      </c>
      <c r="J712" s="249">
        <f>(J631/J613)*AT94</f>
        <v>0</v>
      </c>
      <c r="K712" s="249">
        <f>(K645/K613)*AT90</f>
        <v>0</v>
      </c>
      <c r="L712" s="249">
        <f>(L648/L613)*AT95</f>
        <v>0</v>
      </c>
      <c r="M712" s="225">
        <f t="shared" si="18"/>
        <v>0</v>
      </c>
      <c r="N712" s="243" t="s">
        <v>664</v>
      </c>
    </row>
    <row r="713" spans="1:14" s="225" customFormat="1" ht="12.6" customHeight="1" x14ac:dyDescent="0.2">
      <c r="A713" s="244">
        <v>7430</v>
      </c>
      <c r="B713" s="243" t="s">
        <v>665</v>
      </c>
      <c r="C713" s="249">
        <f>AU86</f>
        <v>0</v>
      </c>
      <c r="D713" s="249">
        <f>(D616/D613)*AU91</f>
        <v>0</v>
      </c>
      <c r="E713" s="251">
        <f>(E624/E613)*SUM(C713:D713)</f>
        <v>0</v>
      </c>
      <c r="F713" s="251">
        <f>(F625/F613)*AU65</f>
        <v>0</v>
      </c>
      <c r="G713" s="249">
        <f>(G626/G613)*AU92</f>
        <v>0</v>
      </c>
      <c r="H713" s="251">
        <f>(H629/H613)*AU61</f>
        <v>0</v>
      </c>
      <c r="I713" s="249">
        <f>(I630/I613)*AU93</f>
        <v>0</v>
      </c>
      <c r="J713" s="249">
        <f>(J631/J613)*AU94</f>
        <v>0</v>
      </c>
      <c r="K713" s="249">
        <f>(K645/K613)*AU90</f>
        <v>0</v>
      </c>
      <c r="L713" s="249">
        <f>(L648/L613)*AU95</f>
        <v>0</v>
      </c>
      <c r="M713" s="225">
        <f t="shared" si="18"/>
        <v>0</v>
      </c>
      <c r="N713" s="243" t="s">
        <v>666</v>
      </c>
    </row>
    <row r="714" spans="1:14" s="225" customFormat="1" ht="12.6" customHeight="1" x14ac:dyDescent="0.2">
      <c r="A714" s="244">
        <v>7490</v>
      </c>
      <c r="B714" s="243" t="s">
        <v>667</v>
      </c>
      <c r="C714" s="249">
        <f>AV86</f>
        <v>3110776</v>
      </c>
      <c r="D714" s="249">
        <f>(D616/D613)*AV91</f>
        <v>-94197.97838886088</v>
      </c>
      <c r="E714" s="251">
        <f>(E624/E613)*SUM(C714:D714)</f>
        <v>201595.02701623435</v>
      </c>
      <c r="F714" s="251">
        <f>(F625/F613)*AV65</f>
        <v>4782.7128693322775</v>
      </c>
      <c r="G714" s="249">
        <f>(G626/G613)*AV92</f>
        <v>0</v>
      </c>
      <c r="H714" s="251">
        <f>(H629/H613)*AV61</f>
        <v>9932.1094708246401</v>
      </c>
      <c r="I714" s="249">
        <f>(I630/I613)*AV93</f>
        <v>62507.136622823484</v>
      </c>
      <c r="J714" s="249">
        <f>(J631/J613)*AV94</f>
        <v>0</v>
      </c>
      <c r="K714" s="249">
        <f>(K645/K613)*AV90</f>
        <v>209492.24625633928</v>
      </c>
      <c r="L714" s="249">
        <f>(L648/L613)*AV95</f>
        <v>66736.726344413211</v>
      </c>
      <c r="M714" s="225">
        <f t="shared" si="18"/>
        <v>460848</v>
      </c>
      <c r="N714" s="245" t="s">
        <v>668</v>
      </c>
    </row>
    <row r="715" spans="1:14" s="225" customFormat="1" ht="12.6" customHeight="1" x14ac:dyDescent="0.2"/>
    <row r="716" spans="1:14" s="225" customFormat="1" ht="12.6" customHeight="1" x14ac:dyDescent="0.2">
      <c r="C716" s="246">
        <f>SUM(C615:C648)+SUM(C669:C714)</f>
        <v>130060881</v>
      </c>
      <c r="D716" s="225">
        <f>SUM(D617:D648)+SUM(D669:D714)</f>
        <v>-3124944</v>
      </c>
      <c r="E716" s="225">
        <f>SUM(E625:E648)+SUM(E669:E714)</f>
        <v>8147363.8684947453</v>
      </c>
      <c r="F716" s="225">
        <f>SUM(F626:F649)+SUM(F669:F714)</f>
        <v>455566.9400681759</v>
      </c>
      <c r="G716" s="225">
        <f>SUM(G627:G648)+SUM(G669:G714)</f>
        <v>1554620.8916459871</v>
      </c>
      <c r="H716" s="225">
        <f>SUM(H630:H648)+SUM(H669:H714)</f>
        <v>1738969.613251141</v>
      </c>
      <c r="I716" s="225">
        <f>SUM(I631:I648)+SUM(I669:I714)</f>
        <v>1695601.366163329</v>
      </c>
      <c r="J716" s="225">
        <f>SUM(J632:J648)+SUM(J669:J714)</f>
        <v>412616.55278210598</v>
      </c>
      <c r="K716" s="225">
        <f>SUM(K669:K714)</f>
        <v>8857233.2331726607</v>
      </c>
      <c r="L716" s="225">
        <f>SUM(L669:L714)</f>
        <v>3221526.6830170108</v>
      </c>
      <c r="M716" s="225">
        <f>SUM(M669:M714)</f>
        <v>22174072</v>
      </c>
      <c r="N716" s="243" t="s">
        <v>669</v>
      </c>
    </row>
    <row r="717" spans="1:14" s="225" customFormat="1" ht="12.6" customHeight="1" x14ac:dyDescent="0.2">
      <c r="C717" s="246">
        <f>CE86</f>
        <v>130060881</v>
      </c>
      <c r="D717" s="225">
        <f>D616</f>
        <v>-3124944</v>
      </c>
      <c r="E717" s="225">
        <f>E624</f>
        <v>8147363.8684947444</v>
      </c>
      <c r="F717" s="225">
        <f>F625</f>
        <v>455566.94006817596</v>
      </c>
      <c r="G717" s="225">
        <f>G626</f>
        <v>1554620.8916459873</v>
      </c>
      <c r="H717" s="225">
        <f>H629</f>
        <v>1738969.6132511413</v>
      </c>
      <c r="I717" s="225">
        <f>I630</f>
        <v>1695601.366163329</v>
      </c>
      <c r="J717" s="225">
        <f>J631</f>
        <v>412616.55278210604</v>
      </c>
      <c r="K717" s="225">
        <f>K645</f>
        <v>8857233.2331726607</v>
      </c>
      <c r="L717" s="225">
        <f>L648</f>
        <v>3221526.6830170108</v>
      </c>
      <c r="M717" s="225">
        <f>C649</f>
        <v>22174071</v>
      </c>
      <c r="N717" s="243" t="s">
        <v>670</v>
      </c>
    </row>
  </sheetData>
  <mergeCells count="1">
    <mergeCell ref="B237:C237"/>
  </mergeCells>
  <hyperlinks>
    <hyperlink ref="G43" r:id="rId1" xr:uid="{45172480-D7CF-4644-BF44-08A20DDC2653}"/>
    <hyperlink ref="A44" r:id="rId2" xr:uid="{1FE33A24-94E9-4BE3-8826-28A18746F650}"/>
    <hyperlink ref="C31" r:id="rId3" xr:uid="{011FC602-080F-4012-95CA-394B645B1CFF}"/>
  </hyperlinks>
  <printOptions horizontalCentered="1" gridLines="1" gridLinesSet="0"/>
  <pageMargins left="0.25" right="0.25" top="0.5" bottom="0.5" header="0.5" footer="0.5"/>
  <pageSetup scale="95" orientation="portrait" r:id="rId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BA28-F40B-4AAF-9B33-A19C6E74B365}">
  <sheetPr codeName="Sheet13"/>
  <dimension ref="A1:N2"/>
  <sheetViews>
    <sheetView workbookViewId="0">
      <selection activeCell="E34" sqref="E34"/>
    </sheetView>
  </sheetViews>
  <sheetFormatPr defaultColWidth="9" defaultRowHeight="15" x14ac:dyDescent="0.25"/>
  <cols>
    <col min="1" max="2" width="9" style="12" customWidth="1"/>
    <col min="3" max="3" width="38.77734375" style="12" bestFit="1" customWidth="1"/>
    <col min="4" max="10" width="9" style="12" customWidth="1"/>
    <col min="11" max="11" width="13.33203125" style="12" customWidth="1"/>
    <col min="12" max="12" width="12.109375" style="12" customWidth="1"/>
    <col min="13" max="14" width="9" style="12" customWidth="1"/>
    <col min="15" max="16384" width="9" style="12"/>
  </cols>
  <sheetData>
    <row r="1" spans="1:14" x14ac:dyDescent="0.25">
      <c r="A1" s="18" t="s">
        <v>1022</v>
      </c>
      <c r="B1" s="12" t="s">
        <v>1023</v>
      </c>
      <c r="C1" s="12" t="s">
        <v>1024</v>
      </c>
      <c r="D1" s="12" t="s">
        <v>1025</v>
      </c>
      <c r="E1" s="12" t="s">
        <v>1026</v>
      </c>
      <c r="F1" s="12" t="s">
        <v>1027</v>
      </c>
      <c r="G1" s="12" t="s">
        <v>1028</v>
      </c>
      <c r="H1" s="12" t="s">
        <v>1029</v>
      </c>
      <c r="I1" s="12" t="s">
        <v>1030</v>
      </c>
      <c r="J1" s="12" t="s">
        <v>1031</v>
      </c>
      <c r="K1" s="12" t="s">
        <v>1032</v>
      </c>
      <c r="L1" s="12" t="s">
        <v>1033</v>
      </c>
      <c r="M1" s="12" t="s">
        <v>1034</v>
      </c>
      <c r="N1" s="12" t="s">
        <v>1035</v>
      </c>
    </row>
    <row r="2" spans="1:14" x14ac:dyDescent="0.25">
      <c r="A2" s="12" t="str">
        <f>RIGHT(data!C96,4)</f>
        <v>2022</v>
      </c>
      <c r="B2" s="219" t="str">
        <f>RIGHT(data!C97,3)</f>
        <v>085</v>
      </c>
      <c r="C2" s="12" t="str">
        <f>SUBSTITUTE(LEFT(data!C98,49),",","")</f>
        <v>Jefferson County Public Hospital District No 2</v>
      </c>
      <c r="D2" s="12" t="str">
        <f>LEFT(data!C99,49)</f>
        <v>834 Sheridan Street</v>
      </c>
      <c r="E2" s="12" t="str">
        <f>RIGHT(data!C100,100)</f>
        <v>Port Townsend</v>
      </c>
      <c r="F2" s="12" t="str">
        <f>RIGHT(data!C101,100)</f>
        <v>WA</v>
      </c>
      <c r="G2" s="12" t="str">
        <f>RIGHT(data!C102,100)</f>
        <v>98368</v>
      </c>
      <c r="H2" s="12" t="str">
        <f>RIGHT(data!C103,100)</f>
        <v>Jefferson County</v>
      </c>
      <c r="I2" s="12" t="str">
        <f>LEFT(data!C104,49)</f>
        <v>Mike Glenn</v>
      </c>
      <c r="J2" s="12" t="str">
        <f>LEFT(data!C105,49)</f>
        <v>Tyler Freeman</v>
      </c>
      <c r="K2" s="12" t="str">
        <f>LEFT(data!C107,49)</f>
        <v>360-385-2200</v>
      </c>
      <c r="L2" s="12" t="str">
        <f>LEFT(data!C107,49)</f>
        <v>360-385-2200</v>
      </c>
      <c r="M2" s="12" t="str">
        <f>LEFT(data!C109,49)</f>
        <v>Jeannette Ring, CPA</v>
      </c>
      <c r="N2" s="12" t="str">
        <f>LEFT(data!C110,49)</f>
        <v>jring@dzacpa.com</v>
      </c>
    </row>
  </sheetData>
  <sheetProtection algorithmName="SHA-512" hashValue="fzarjCCgl7IebmF0vJ+Xeed5La1gL5A2fJb4me0xsQxRzPiWhyYdnHB8FZKq1ARabRaH678wap/adJzJxiM5wg==" saltValue="6dBqu/FUvwz+GYdHsb71Zg==" spinCount="100000" sheet="1" objects="1" scenarios="1"/>
  <pageMargins left="0.7" right="0.7" top="0.75" bottom="0.75" header="0.3" footer="0.3"/>
  <pageSetup orientation="portrait" horizontalDpi="1200" verticalDpi="1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36BAD-DDFB-48CB-9ED5-58176F29EBB7}">
  <sheetPr codeName="Sheet14"/>
  <dimension ref="A1:CF2"/>
  <sheetViews>
    <sheetView topLeftCell="BK1" workbookViewId="0">
      <selection activeCell="N34" sqref="N34"/>
    </sheetView>
  </sheetViews>
  <sheetFormatPr defaultColWidth="8.6640625" defaultRowHeight="15.75" x14ac:dyDescent="0.25"/>
  <cols>
    <col min="1" max="3" width="10.44140625" style="9" customWidth="1"/>
    <col min="4" max="4" width="10.5546875" style="9" bestFit="1" customWidth="1"/>
    <col min="5" max="5" width="9.6640625" style="9" bestFit="1" customWidth="1"/>
    <col min="6" max="6" width="9.5546875" style="9" bestFit="1" customWidth="1"/>
    <col min="7" max="7" width="10.5546875" style="9" bestFit="1" customWidth="1"/>
    <col min="8" max="8" width="8.6640625" style="9" bestFit="1" customWidth="1"/>
    <col min="9" max="9" width="10.5546875" style="9" bestFit="1" customWidth="1"/>
    <col min="10" max="10" width="9.6640625" style="9" bestFit="1" customWidth="1"/>
    <col min="11" max="11" width="10.5546875" style="9" bestFit="1" customWidth="1"/>
    <col min="12" max="12" width="9.5546875" style="9" bestFit="1" customWidth="1"/>
    <col min="13" max="13" width="26.44140625" style="9" bestFit="1" customWidth="1"/>
    <col min="14" max="14" width="21.109375" style="9" bestFit="1" customWidth="1"/>
    <col min="15" max="15" width="13" style="9" bestFit="1" customWidth="1"/>
    <col min="16" max="16" width="24.44140625" style="9" bestFit="1" customWidth="1"/>
    <col min="17" max="17" width="23.33203125" style="9" bestFit="1" customWidth="1"/>
    <col min="18" max="18" width="36.109375" style="9" bestFit="1" customWidth="1"/>
    <col min="19" max="19" width="19.44140625" style="9" bestFit="1" customWidth="1"/>
    <col min="20" max="20" width="9.77734375" style="9" bestFit="1" customWidth="1"/>
    <col min="21" max="22" width="10.5546875" style="9" bestFit="1" customWidth="1"/>
    <col min="23" max="24" width="9.5546875" style="9" bestFit="1" customWidth="1"/>
    <col min="25" max="25" width="10" style="9" bestFit="1" customWidth="1"/>
    <col min="26" max="27" width="11.5546875" style="9" bestFit="1" customWidth="1"/>
    <col min="28" max="28" width="10.5546875" style="9" bestFit="1" customWidth="1"/>
    <col min="29" max="29" width="11.5546875" style="9" bestFit="1" customWidth="1"/>
    <col min="30" max="30" width="10.5546875" style="9" bestFit="1" customWidth="1"/>
    <col min="31" max="31" width="9.33203125" style="9" bestFit="1" customWidth="1"/>
    <col min="32" max="32" width="9.5546875" style="9" bestFit="1" customWidth="1"/>
    <col min="33" max="33" width="8.21875" style="9" bestFit="1" customWidth="1"/>
    <col min="34" max="34" width="10.88671875" style="9" bestFit="1" customWidth="1"/>
    <col min="35" max="35" width="11.5546875" style="9" bestFit="1" customWidth="1"/>
    <col min="36" max="36" width="10.5546875" style="9" bestFit="1" customWidth="1"/>
    <col min="37" max="37" width="11.33203125" style="9" bestFit="1" customWidth="1"/>
    <col min="38" max="38" width="8.5546875" style="9" bestFit="1" customWidth="1"/>
    <col min="39" max="39" width="7.21875" style="9" bestFit="1" customWidth="1"/>
    <col min="40" max="40" width="9.77734375" style="9" bestFit="1" customWidth="1"/>
    <col min="41" max="41" width="9" style="9" bestFit="1" customWidth="1"/>
    <col min="42" max="42" width="7.21875" style="9" bestFit="1" customWidth="1"/>
    <col min="43" max="43" width="9.77734375" style="9" bestFit="1" customWidth="1"/>
    <col min="44" max="45" width="10.5546875" style="9" bestFit="1" customWidth="1"/>
    <col min="46" max="46" width="10" style="9" bestFit="1" customWidth="1"/>
    <col min="47" max="47" width="9.44140625" style="9" bestFit="1" customWidth="1"/>
    <col min="48" max="48" width="9.33203125" style="9" bestFit="1" customWidth="1"/>
    <col min="49" max="49" width="10.6640625" style="9" bestFit="1" customWidth="1"/>
    <col min="50" max="51" width="9.5546875" style="9" bestFit="1" customWidth="1"/>
    <col min="52" max="52" width="10.21875" style="9" bestFit="1" customWidth="1"/>
    <col min="53" max="54" width="11.5546875" style="9" bestFit="1" customWidth="1"/>
    <col min="55" max="55" width="10.88671875" style="9" bestFit="1" customWidth="1"/>
    <col min="56" max="57" width="10.5546875" style="9" bestFit="1" customWidth="1"/>
    <col min="58" max="58" width="9.5546875" style="9" bestFit="1" customWidth="1"/>
    <col min="59" max="59" width="9.88671875" style="9" bestFit="1" customWidth="1"/>
    <col min="60" max="60" width="9.6640625" style="9" bestFit="1" customWidth="1"/>
    <col min="61" max="61" width="11.109375" style="9" bestFit="1" customWidth="1"/>
    <col min="62" max="62" width="11.5546875" style="9" bestFit="1" customWidth="1"/>
    <col min="63" max="63" width="10.5546875" style="9" bestFit="1" customWidth="1"/>
    <col min="64" max="64" width="11.5546875" style="9" bestFit="1" customWidth="1"/>
    <col min="65" max="65" width="8.77734375" style="9" bestFit="1" customWidth="1"/>
    <col min="66" max="66" width="8.6640625" style="9" bestFit="1" customWidth="1"/>
    <col min="67" max="67" width="10" style="9" bestFit="1" customWidth="1"/>
    <col min="68" max="68" width="8.77734375" style="9" bestFit="1" customWidth="1"/>
    <col min="69" max="69" width="8.6640625" style="9" bestFit="1" customWidth="1"/>
    <col min="70" max="70" width="10" style="9" bestFit="1" customWidth="1"/>
    <col min="71" max="71" width="9" style="9" bestFit="1" customWidth="1"/>
    <col min="72" max="72" width="8.88671875" style="9" bestFit="1" customWidth="1"/>
    <col min="73" max="73" width="10.21875" style="9" bestFit="1" customWidth="1"/>
    <col min="74" max="75" width="11.5546875" style="9" bestFit="1" customWidth="1"/>
    <col min="76" max="76" width="8.21875" style="9" bestFit="1" customWidth="1"/>
    <col min="77" max="77" width="9" style="9" bestFit="1" customWidth="1"/>
    <col min="78" max="78" width="10.5546875" style="9" bestFit="1" customWidth="1"/>
    <col min="79" max="79" width="11.5546875" style="9" bestFit="1" customWidth="1"/>
    <col min="80" max="80" width="10.109375" style="9" bestFit="1" customWidth="1"/>
    <col min="81" max="82" width="21.44140625" style="9" bestFit="1" customWidth="1"/>
    <col min="83" max="83" width="7.6640625" style="9" bestFit="1" customWidth="1"/>
    <col min="84" max="84" width="9.5546875" style="9" bestFit="1" customWidth="1"/>
    <col min="85" max="86" width="8.6640625" style="9" customWidth="1"/>
    <col min="87" max="16384" width="8.6640625" style="9"/>
  </cols>
  <sheetData>
    <row r="1" spans="1:84" s="10" customFormat="1" ht="12.6" customHeight="1" x14ac:dyDescent="0.25">
      <c r="A1" s="10" t="s">
        <v>1036</v>
      </c>
      <c r="B1" s="16" t="s">
        <v>1037</v>
      </c>
      <c r="C1" s="10" t="s">
        <v>1038</v>
      </c>
      <c r="D1" s="10" t="s">
        <v>1039</v>
      </c>
      <c r="E1" s="10" t="s">
        <v>1040</v>
      </c>
      <c r="F1" s="10" t="s">
        <v>1041</v>
      </c>
      <c r="G1" s="10" t="s">
        <v>1042</v>
      </c>
      <c r="H1" s="10" t="s">
        <v>1043</v>
      </c>
      <c r="I1" s="10" t="s">
        <v>1044</v>
      </c>
      <c r="J1" s="10" t="s">
        <v>1045</v>
      </c>
      <c r="K1" s="10" t="s">
        <v>1046</v>
      </c>
      <c r="L1" s="10" t="s">
        <v>1047</v>
      </c>
      <c r="M1" s="10" t="s">
        <v>1048</v>
      </c>
      <c r="N1" s="10" t="s">
        <v>1049</v>
      </c>
      <c r="O1" s="10" t="s">
        <v>1050</v>
      </c>
      <c r="P1" s="10" t="s">
        <v>1051</v>
      </c>
      <c r="Q1" s="10" t="s">
        <v>1052</v>
      </c>
      <c r="R1" s="10" t="s">
        <v>1053</v>
      </c>
      <c r="S1" s="10" t="s">
        <v>1054</v>
      </c>
      <c r="T1" s="10" t="s">
        <v>1055</v>
      </c>
      <c r="U1" s="10" t="s">
        <v>1056</v>
      </c>
      <c r="V1" s="10" t="s">
        <v>1057</v>
      </c>
      <c r="W1" s="10" t="s">
        <v>1058</v>
      </c>
      <c r="X1" s="10" t="s">
        <v>1059</v>
      </c>
      <c r="Y1" s="10" t="s">
        <v>1060</v>
      </c>
      <c r="Z1" s="10" t="s">
        <v>1061</v>
      </c>
      <c r="AA1" s="10" t="s">
        <v>1062</v>
      </c>
      <c r="AB1" s="10" t="s">
        <v>1063</v>
      </c>
      <c r="AC1" s="10" t="s">
        <v>1064</v>
      </c>
      <c r="AD1" s="10" t="s">
        <v>1065</v>
      </c>
      <c r="AE1" s="10" t="s">
        <v>1066</v>
      </c>
      <c r="AF1" s="10" t="s">
        <v>1067</v>
      </c>
      <c r="AG1" s="10" t="s">
        <v>1068</v>
      </c>
      <c r="AH1" s="10" t="s">
        <v>1069</v>
      </c>
      <c r="AI1" s="10" t="s">
        <v>1070</v>
      </c>
      <c r="AJ1" s="10" t="s">
        <v>1071</v>
      </c>
      <c r="AK1" s="10" t="s">
        <v>1072</v>
      </c>
      <c r="AL1" s="10" t="s">
        <v>1073</v>
      </c>
      <c r="AM1" s="10" t="s">
        <v>1074</v>
      </c>
      <c r="AN1" s="10" t="s">
        <v>1075</v>
      </c>
      <c r="AO1" s="10" t="s">
        <v>1076</v>
      </c>
      <c r="AP1" s="10" t="s">
        <v>1077</v>
      </c>
      <c r="AQ1" s="10" t="s">
        <v>1078</v>
      </c>
      <c r="AR1" s="10" t="s">
        <v>1079</v>
      </c>
      <c r="AS1" s="10" t="s">
        <v>1080</v>
      </c>
      <c r="AT1" s="10" t="s">
        <v>1081</v>
      </c>
      <c r="AU1" s="10" t="s">
        <v>1082</v>
      </c>
      <c r="AV1" s="10" t="s">
        <v>1083</v>
      </c>
      <c r="AW1" s="10" t="s">
        <v>1084</v>
      </c>
      <c r="AX1" s="10" t="s">
        <v>1085</v>
      </c>
      <c r="AY1" s="10" t="s">
        <v>1086</v>
      </c>
      <c r="AZ1" s="10" t="s">
        <v>1087</v>
      </c>
      <c r="BA1" s="10" t="s">
        <v>1088</v>
      </c>
      <c r="BB1" s="10" t="s">
        <v>1089</v>
      </c>
      <c r="BC1" s="10" t="s">
        <v>1090</v>
      </c>
      <c r="BD1" s="10" t="s">
        <v>1091</v>
      </c>
      <c r="BE1" s="10" t="s">
        <v>1092</v>
      </c>
      <c r="BF1" s="10" t="s">
        <v>1093</v>
      </c>
      <c r="BG1" s="10" t="s">
        <v>1094</v>
      </c>
      <c r="BH1" s="10" t="s">
        <v>1095</v>
      </c>
      <c r="BI1" s="10" t="s">
        <v>1096</v>
      </c>
      <c r="BJ1" s="10" t="s">
        <v>1097</v>
      </c>
      <c r="BK1" s="10" t="s">
        <v>1098</v>
      </c>
      <c r="BL1" s="10" t="s">
        <v>1099</v>
      </c>
      <c r="BM1" s="10" t="s">
        <v>1100</v>
      </c>
      <c r="BN1" s="10" t="s">
        <v>1101</v>
      </c>
      <c r="BO1" s="10" t="s">
        <v>1102</v>
      </c>
      <c r="BP1" s="10" t="s">
        <v>1103</v>
      </c>
      <c r="BQ1" s="10" t="s">
        <v>1104</v>
      </c>
      <c r="BR1" s="10" t="s">
        <v>1105</v>
      </c>
      <c r="BS1" s="10" t="s">
        <v>1106</v>
      </c>
      <c r="BT1" s="10" t="s">
        <v>1107</v>
      </c>
      <c r="BU1" s="10" t="s">
        <v>1108</v>
      </c>
      <c r="BV1" s="10" t="s">
        <v>1109</v>
      </c>
      <c r="BW1" s="10" t="s">
        <v>1110</v>
      </c>
      <c r="BX1" s="10" t="s">
        <v>1111</v>
      </c>
      <c r="BY1" s="10" t="s">
        <v>1112</v>
      </c>
      <c r="BZ1" s="10" t="s">
        <v>1113</v>
      </c>
      <c r="CA1" s="10" t="s">
        <v>1114</v>
      </c>
      <c r="CB1" s="10" t="s">
        <v>1115</v>
      </c>
      <c r="CC1" s="10" t="s">
        <v>1116</v>
      </c>
      <c r="CD1" s="10" t="s">
        <v>1117</v>
      </c>
      <c r="CE1" s="10" t="s">
        <v>1118</v>
      </c>
      <c r="CF1" s="10" t="s">
        <v>1119</v>
      </c>
    </row>
    <row r="2" spans="1:84" s="178" customFormat="1" ht="12.6" customHeight="1" x14ac:dyDescent="0.25">
      <c r="A2" s="16" t="str">
        <f>RIGHT(data!C97,3)</f>
        <v>085</v>
      </c>
      <c r="B2" s="218" t="str">
        <f>RIGHT(data!C96,4)</f>
        <v>2022</v>
      </c>
      <c r="C2" s="16" t="s">
        <v>1120</v>
      </c>
      <c r="D2" s="217">
        <f>ROUND(data!C181,0)</f>
        <v>5031859</v>
      </c>
      <c r="E2" s="217">
        <f>ROUND(data!C182,0)</f>
        <v>278740</v>
      </c>
      <c r="F2" s="217">
        <f>ROUND(data!C183,0)</f>
        <v>456119</v>
      </c>
      <c r="G2" s="217">
        <f>ROUND(data!C184,0)</f>
        <v>7394553</v>
      </c>
      <c r="H2" s="217">
        <f>ROUND(data!C185,0)</f>
        <v>0</v>
      </c>
      <c r="I2" s="217">
        <f>ROUND(data!C186,0)</f>
        <v>2981927</v>
      </c>
      <c r="J2" s="217">
        <f>ROUND(data!C187+data!C188,0)</f>
        <v>105076</v>
      </c>
      <c r="K2" s="217">
        <f>ROUND(data!C191,0)</f>
        <v>285332</v>
      </c>
      <c r="L2" s="217">
        <f>ROUND(data!C192,0)</f>
        <v>414914</v>
      </c>
      <c r="M2" s="217">
        <f>ROUND(data!C195,0)</f>
        <v>1215125</v>
      </c>
      <c r="N2" s="217">
        <f>ROUND(data!C196,0)</f>
        <v>174477</v>
      </c>
      <c r="O2" s="217">
        <f>ROUND(data!C199,0)</f>
        <v>1014306</v>
      </c>
      <c r="P2" s="217">
        <f>ROUND(data!C200,0)</f>
        <v>0</v>
      </c>
      <c r="Q2" s="217">
        <f>ROUND(data!C201,0)</f>
        <v>0</v>
      </c>
      <c r="R2" s="217">
        <f>ROUND(data!C204,0)</f>
        <v>90</v>
      </c>
      <c r="S2" s="217">
        <f>ROUND(data!C205,0)</f>
        <v>950558</v>
      </c>
      <c r="T2" s="217">
        <f>ROUND(data!B211,0)</f>
        <v>1722171</v>
      </c>
      <c r="U2" s="217">
        <f>ROUND(data!C211,0)</f>
        <v>442081</v>
      </c>
      <c r="V2" s="217">
        <f>ROUND(data!D211,0)</f>
        <v>0</v>
      </c>
      <c r="W2" s="217">
        <f>ROUND(data!B212,0)</f>
        <v>4028158</v>
      </c>
      <c r="X2" s="217">
        <f>ROUND(data!C212,0)</f>
        <v>0</v>
      </c>
      <c r="Y2" s="217">
        <f>ROUND(data!D212,0)</f>
        <v>0</v>
      </c>
      <c r="Z2" s="217">
        <f>ROUND(data!B213,0)</f>
        <v>49251245</v>
      </c>
      <c r="AA2" s="217">
        <f>ROUND(data!C213,0)</f>
        <v>6631912</v>
      </c>
      <c r="AB2" s="217">
        <f>ROUND(data!D213,0)</f>
        <v>0</v>
      </c>
      <c r="AC2" s="217">
        <f>ROUND(data!B214,0)</f>
        <v>0</v>
      </c>
      <c r="AD2" s="217">
        <f>ROUND(data!C214,0)</f>
        <v>0</v>
      </c>
      <c r="AE2" s="217">
        <f>ROUND(data!D214,0)</f>
        <v>0</v>
      </c>
      <c r="AF2" s="217">
        <f>ROUND(data!B215,0)</f>
        <v>22413231</v>
      </c>
      <c r="AG2" s="217">
        <f>ROUND(data!C215,0)</f>
        <v>359527</v>
      </c>
      <c r="AH2" s="217">
        <f>ROUND(data!D215,0)</f>
        <v>0</v>
      </c>
      <c r="AI2" s="217">
        <f>ROUND(data!B216,0)</f>
        <v>10736103</v>
      </c>
      <c r="AJ2" s="217">
        <f>ROUND(data!C216,0)</f>
        <v>419414</v>
      </c>
      <c r="AK2" s="217">
        <f>ROUND(data!D216,0)</f>
        <v>0</v>
      </c>
      <c r="AL2" s="217">
        <f>ROUND(data!B217,0)</f>
        <v>0</v>
      </c>
      <c r="AM2" s="217">
        <f>ROUND(data!C217,0)</f>
        <v>0</v>
      </c>
      <c r="AN2" s="217">
        <f>ROUND(data!D217,0)</f>
        <v>0</v>
      </c>
      <c r="AO2" s="217">
        <f>ROUND(data!B218,0)</f>
        <v>1361180</v>
      </c>
      <c r="AP2" s="217">
        <f>ROUND(data!C218,0)</f>
        <v>8106</v>
      </c>
      <c r="AQ2" s="217">
        <f>ROUND(data!D218,0)</f>
        <v>0</v>
      </c>
      <c r="AR2" s="217">
        <f>ROUND(data!B219,0)</f>
        <v>1394976</v>
      </c>
      <c r="AS2" s="217">
        <f>ROUND(data!C219,0)</f>
        <v>3355794</v>
      </c>
      <c r="AT2" s="217">
        <f>ROUND(data!D219,0)</f>
        <v>653850</v>
      </c>
      <c r="AU2" s="217">
        <v>0</v>
      </c>
      <c r="AV2" s="217">
        <v>0</v>
      </c>
      <c r="AW2" s="217">
        <v>0</v>
      </c>
      <c r="AX2" s="217">
        <f>ROUND(data!B225,0)</f>
        <v>2013984</v>
      </c>
      <c r="AY2" s="217">
        <f>ROUND(data!C225,0)</f>
        <v>245336</v>
      </c>
      <c r="AZ2" s="217">
        <f>ROUND(data!D225,0)</f>
        <v>0</v>
      </c>
      <c r="BA2" s="217">
        <f>ROUND(data!B226,0)</f>
        <v>23433158</v>
      </c>
      <c r="BB2" s="217">
        <f>ROUND(data!C226,0)</f>
        <v>3415105</v>
      </c>
      <c r="BC2" s="217">
        <f>ROUND(data!D226,0)</f>
        <v>0</v>
      </c>
      <c r="BD2" s="217">
        <f>ROUND(data!B227,0)</f>
        <v>0</v>
      </c>
      <c r="BE2" s="217">
        <f>ROUND(data!C227,0)</f>
        <v>0</v>
      </c>
      <c r="BF2" s="217">
        <f>ROUND(data!D227,0)</f>
        <v>0</v>
      </c>
      <c r="BG2" s="217">
        <f>ROUND(data!B228,0)</f>
        <v>11721768</v>
      </c>
      <c r="BH2" s="217">
        <f>ROUND(data!C228,0)</f>
        <v>1250957</v>
      </c>
      <c r="BI2" s="217">
        <f>ROUND(data!D228,0)</f>
        <v>0</v>
      </c>
      <c r="BJ2" s="217">
        <f>ROUND(data!B229,0)</f>
        <v>15988664</v>
      </c>
      <c r="BK2" s="217">
        <f>ROUND(data!C229,0)</f>
        <v>2372700</v>
      </c>
      <c r="BL2" s="217">
        <f>ROUND(data!D229,0)</f>
        <v>0</v>
      </c>
      <c r="BM2" s="217">
        <f>ROUND(data!B230,0)</f>
        <v>0</v>
      </c>
      <c r="BN2" s="217">
        <f>ROUND(data!C230,0)</f>
        <v>0</v>
      </c>
      <c r="BO2" s="217">
        <f>ROUND(data!D230,0)</f>
        <v>0</v>
      </c>
      <c r="BP2" s="217">
        <f>ROUND(data!B231,0)</f>
        <v>1008024</v>
      </c>
      <c r="BQ2" s="217">
        <f>ROUND(data!C231,0)</f>
        <v>80938</v>
      </c>
      <c r="BR2" s="217">
        <f>ROUND(data!D231,0)</f>
        <v>0</v>
      </c>
      <c r="BS2" s="217">
        <f>ROUND(data!B232,0)</f>
        <v>0</v>
      </c>
      <c r="BT2" s="217">
        <f>ROUND(data!C232,0)</f>
        <v>0</v>
      </c>
      <c r="BU2" s="217">
        <f>ROUND(data!D232,0)</f>
        <v>0</v>
      </c>
      <c r="BV2" s="217">
        <f>ROUND(data!C239,0)</f>
        <v>108917668</v>
      </c>
      <c r="BW2" s="217">
        <f>ROUND(data!C240,0)</f>
        <v>24561790</v>
      </c>
      <c r="BX2" s="217">
        <f>ROUND(data!C241,0)</f>
        <v>0</v>
      </c>
      <c r="BY2" s="217">
        <f>ROUND(data!C242,0)</f>
        <v>0</v>
      </c>
      <c r="BZ2" s="217">
        <f>ROUND(data!C243,0)</f>
        <v>0</v>
      </c>
      <c r="CA2" s="217">
        <f>ROUND(data!C244,0)</f>
        <v>29079742</v>
      </c>
      <c r="CB2" s="217">
        <f>ROUND(data!C247,0)</f>
        <v>744</v>
      </c>
      <c r="CC2" s="217">
        <f>ROUND(data!C249,0)</f>
        <v>252260</v>
      </c>
      <c r="CD2" s="217">
        <f>ROUND(data!C250,0)</f>
        <v>3028305</v>
      </c>
      <c r="CE2" s="217">
        <f>ROUND(data!C254+data!C255,0)</f>
        <v>0</v>
      </c>
      <c r="CF2" s="217">
        <f>data!D237</f>
        <v>3772732</v>
      </c>
    </row>
  </sheetData>
  <sheetProtection algorithmName="SHA-512" hashValue="TB8O7iY4GYUW7dzGJyWMMJ88NXspZawizMdIsoBT3E71M8Y6NhpHf0l2dyDKnms46Et9TtMsysqBw4RsZsAkxQ==" saltValue="wvxX+J+hJpL6k9zqDFYx7Q==" spinCount="100000" sheet="1" objects="1" scenarios="1"/>
  <pageMargins left="0.7" right="0.7" top="0.75" bottom="0.75" header="0.3" footer="0.3"/>
  <pageSetup orientation="portrait" horizontalDpi="1200" verticalDpi="1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ECBB-FE68-4E89-A882-5853E4347B6E}">
  <sheetPr codeName="Sheet15"/>
  <dimension ref="A1:CI2"/>
  <sheetViews>
    <sheetView workbookViewId="0">
      <selection activeCell="N34" sqref="N34"/>
    </sheetView>
  </sheetViews>
  <sheetFormatPr defaultColWidth="8.6640625" defaultRowHeight="15.75" x14ac:dyDescent="0.25"/>
  <cols>
    <col min="1" max="69" width="13.5546875" style="9" customWidth="1"/>
    <col min="70" max="70" width="32.77734375" style="9" bestFit="1" customWidth="1"/>
    <col min="71" max="71" width="33" style="9" bestFit="1" customWidth="1"/>
    <col min="72" max="73" width="8.6640625" style="9" customWidth="1"/>
    <col min="74" max="16384" width="8.6640625" style="9"/>
  </cols>
  <sheetData>
    <row r="1" spans="1:87" s="10" customFormat="1" ht="12.6" customHeight="1" x14ac:dyDescent="0.25">
      <c r="A1" s="10" t="s">
        <v>1121</v>
      </c>
      <c r="B1" s="16" t="s">
        <v>1122</v>
      </c>
      <c r="C1" s="16" t="s">
        <v>1123</v>
      </c>
      <c r="D1" s="10" t="s">
        <v>1124</v>
      </c>
      <c r="E1" s="10" t="s">
        <v>1125</v>
      </c>
      <c r="F1" s="10" t="s">
        <v>1126</v>
      </c>
      <c r="G1" s="10" t="s">
        <v>1127</v>
      </c>
      <c r="H1" s="10" t="s">
        <v>1128</v>
      </c>
      <c r="I1" s="10" t="s">
        <v>1129</v>
      </c>
      <c r="J1" s="10" t="s">
        <v>1130</v>
      </c>
      <c r="K1" s="10" t="s">
        <v>1131</v>
      </c>
      <c r="L1" s="10" t="s">
        <v>1132</v>
      </c>
      <c r="M1" s="10" t="s">
        <v>1133</v>
      </c>
      <c r="N1" s="10" t="s">
        <v>1134</v>
      </c>
      <c r="O1" s="10" t="s">
        <v>1135</v>
      </c>
      <c r="P1" s="10" t="s">
        <v>1136</v>
      </c>
      <c r="Q1" s="10" t="s">
        <v>1137</v>
      </c>
      <c r="R1" s="10" t="s">
        <v>1138</v>
      </c>
      <c r="S1" s="10" t="s">
        <v>1139</v>
      </c>
      <c r="T1" s="10" t="s">
        <v>1140</v>
      </c>
      <c r="U1" s="10" t="s">
        <v>1141</v>
      </c>
      <c r="V1" s="10" t="s">
        <v>1142</v>
      </c>
      <c r="W1" s="10" t="s">
        <v>1143</v>
      </c>
      <c r="X1" s="10" t="s">
        <v>1144</v>
      </c>
      <c r="Y1" s="10" t="s">
        <v>1145</v>
      </c>
      <c r="Z1" s="10" t="s">
        <v>1146</v>
      </c>
      <c r="AA1" s="10" t="s">
        <v>1147</v>
      </c>
      <c r="AB1" s="10" t="s">
        <v>1148</v>
      </c>
      <c r="AC1" s="10" t="s">
        <v>1149</v>
      </c>
      <c r="AD1" s="10" t="s">
        <v>1150</v>
      </c>
      <c r="AE1" s="10" t="s">
        <v>1151</v>
      </c>
      <c r="AF1" s="10" t="s">
        <v>1152</v>
      </c>
      <c r="AG1" s="10" t="s">
        <v>1153</v>
      </c>
      <c r="AH1" s="10" t="s">
        <v>1154</v>
      </c>
      <c r="AI1" s="10" t="s">
        <v>1155</v>
      </c>
      <c r="AJ1" s="10" t="s">
        <v>1156</v>
      </c>
      <c r="AK1" s="10" t="s">
        <v>1157</v>
      </c>
      <c r="AL1" s="10" t="s">
        <v>1158</v>
      </c>
      <c r="AM1" s="10" t="s">
        <v>1159</v>
      </c>
      <c r="AN1" s="10" t="s">
        <v>1160</v>
      </c>
      <c r="AO1" s="10" t="s">
        <v>1161</v>
      </c>
      <c r="AP1" s="10" t="s">
        <v>1162</v>
      </c>
      <c r="AQ1" s="10" t="s">
        <v>1163</v>
      </c>
      <c r="AR1" s="10" t="s">
        <v>1164</v>
      </c>
      <c r="AS1" s="10" t="s">
        <v>1165</v>
      </c>
      <c r="AT1" s="10" t="s">
        <v>1166</v>
      </c>
      <c r="AU1" s="10" t="s">
        <v>1167</v>
      </c>
      <c r="AV1" s="10" t="s">
        <v>1168</v>
      </c>
      <c r="AW1" s="10" t="s">
        <v>1169</v>
      </c>
      <c r="AX1" s="10" t="s">
        <v>1170</v>
      </c>
      <c r="AY1" s="10" t="s">
        <v>1171</v>
      </c>
      <c r="AZ1" s="10" t="s">
        <v>1172</v>
      </c>
      <c r="BA1" s="10" t="s">
        <v>1173</v>
      </c>
      <c r="BB1" s="10" t="s">
        <v>1174</v>
      </c>
      <c r="BC1" s="10" t="s">
        <v>1175</v>
      </c>
      <c r="BD1" s="10" t="s">
        <v>1176</v>
      </c>
      <c r="BE1" s="10" t="s">
        <v>1177</v>
      </c>
      <c r="BF1" s="10" t="s">
        <v>1178</v>
      </c>
      <c r="BG1" s="10" t="s">
        <v>1179</v>
      </c>
      <c r="BH1" s="10" t="s">
        <v>1180</v>
      </c>
      <c r="BI1" s="10" t="s">
        <v>1181</v>
      </c>
      <c r="BJ1" s="10" t="s">
        <v>1182</v>
      </c>
      <c r="BK1" s="10" t="s">
        <v>1183</v>
      </c>
      <c r="BL1" s="10" t="s">
        <v>1184</v>
      </c>
      <c r="BM1" s="10" t="s">
        <v>1185</v>
      </c>
      <c r="BN1" s="10" t="s">
        <v>1186</v>
      </c>
      <c r="BO1" s="10" t="s">
        <v>1187</v>
      </c>
      <c r="BP1" s="10" t="s">
        <v>1188</v>
      </c>
      <c r="BQ1" s="10" t="s">
        <v>1189</v>
      </c>
      <c r="BR1" s="10" t="s">
        <v>1190</v>
      </c>
      <c r="BS1" s="10" t="s">
        <v>1191</v>
      </c>
    </row>
    <row r="2" spans="1:87" s="178" customFormat="1" ht="12.6" customHeight="1" x14ac:dyDescent="0.25">
      <c r="A2" s="16" t="str">
        <f>RIGHT(data!C97,3)</f>
        <v>085</v>
      </c>
      <c r="B2" s="16" t="str">
        <f>RIGHT(data!C96,4)</f>
        <v>2022</v>
      </c>
      <c r="C2" s="16" t="s">
        <v>1120</v>
      </c>
      <c r="D2" s="216">
        <f>ROUND(data!C127,0)</f>
        <v>1339</v>
      </c>
      <c r="E2" s="216">
        <f>ROUND(data!C128,0)</f>
        <v>9</v>
      </c>
      <c r="F2" s="216">
        <f>ROUND(data!C129,0)</f>
        <v>0</v>
      </c>
      <c r="G2" s="216">
        <f>ROUND(data!C130,0)</f>
        <v>96</v>
      </c>
      <c r="H2" s="216">
        <f>ROUND(data!D127,0)</f>
        <v>4371</v>
      </c>
      <c r="I2" s="216">
        <f>ROUND(data!D128,0)</f>
        <v>94</v>
      </c>
      <c r="J2" s="216">
        <f>ROUND(data!D129,0)</f>
        <v>0</v>
      </c>
      <c r="K2" s="216">
        <f>ROUND(data!D130,0)</f>
        <v>161</v>
      </c>
      <c r="L2" s="216">
        <f>ROUND(data!C132,0)</f>
        <v>6</v>
      </c>
      <c r="M2" s="216">
        <f>ROUND(data!C133,0)</f>
        <v>0</v>
      </c>
      <c r="N2" s="216">
        <f>ROUND(data!C134,0)</f>
        <v>19</v>
      </c>
      <c r="O2" s="216">
        <f>ROUND(data!C135,0)</f>
        <v>0</v>
      </c>
      <c r="P2" s="216">
        <f>ROUND(data!C136,0)</f>
        <v>0</v>
      </c>
      <c r="Q2" s="216">
        <f>ROUND(data!C137,0)</f>
        <v>0</v>
      </c>
      <c r="R2" s="216">
        <f>ROUND(data!C138,0)</f>
        <v>0</v>
      </c>
      <c r="S2" s="216">
        <f>ROUND(data!C139,0)</f>
        <v>0</v>
      </c>
      <c r="T2" s="216">
        <f>ROUND(data!C140,0)</f>
        <v>0</v>
      </c>
      <c r="U2" s="216">
        <f>ROUND(data!C141,0)</f>
        <v>0</v>
      </c>
      <c r="V2" s="216">
        <f>ROUND(data!C142,0)</f>
        <v>0</v>
      </c>
      <c r="W2" s="216">
        <f>ROUND(data!C144,0)</f>
        <v>25</v>
      </c>
      <c r="X2" s="216">
        <f>ROUND(data!C145,0)</f>
        <v>4</v>
      </c>
      <c r="Y2" s="216">
        <f>ROUND(data!B154,0)</f>
        <v>804</v>
      </c>
      <c r="Z2" s="216">
        <f>ROUND(data!B155,0)</f>
        <v>2765</v>
      </c>
      <c r="AA2" s="216">
        <f>ROUND(data!B156,0)</f>
        <v>0</v>
      </c>
      <c r="AB2" s="216">
        <f>ROUND(data!B157,0)</f>
        <v>26219926</v>
      </c>
      <c r="AC2" s="216">
        <f>ROUND(data!B158,0)</f>
        <v>170851069</v>
      </c>
      <c r="AD2" s="216">
        <f>ROUND(data!C154,0)</f>
        <v>247</v>
      </c>
      <c r="AE2" s="216">
        <f>ROUND(data!C155,0)</f>
        <v>23</v>
      </c>
      <c r="AF2" s="216">
        <f>ROUND(data!C156,0)</f>
        <v>0</v>
      </c>
      <c r="AG2" s="216">
        <f>ROUND(data!C157,0)</f>
        <v>7703861</v>
      </c>
      <c r="AH2" s="216">
        <f>ROUND(data!C158,0)</f>
        <v>34429469</v>
      </c>
      <c r="AI2" s="216">
        <f>ROUND(data!D154,0)</f>
        <v>384</v>
      </c>
      <c r="AJ2" s="216">
        <f>ROUND(data!D155,0)</f>
        <v>1744</v>
      </c>
      <c r="AK2" s="216">
        <f>ROUND(data!D156,0)</f>
        <v>0</v>
      </c>
      <c r="AL2" s="216">
        <f>ROUND(data!D157,0)</f>
        <v>8330148</v>
      </c>
      <c r="AM2" s="216">
        <f>ROUND(data!D158,0)</f>
        <v>72320283</v>
      </c>
      <c r="AN2" s="216">
        <f>ROUND(data!B160,0)</f>
        <v>4</v>
      </c>
      <c r="AO2" s="216">
        <f>ROUND(data!B161,0)</f>
        <v>31</v>
      </c>
      <c r="AP2" s="216">
        <f>ROUND(data!B162,0)</f>
        <v>0</v>
      </c>
      <c r="AQ2" s="216">
        <f>ROUND(data!B163,0)</f>
        <v>56424</v>
      </c>
      <c r="AR2" s="216">
        <f>ROUND(data!B164,0)</f>
        <v>0</v>
      </c>
      <c r="AS2" s="216">
        <f>ROUND(data!C160,0)</f>
        <v>5</v>
      </c>
      <c r="AT2" s="216">
        <f>ROUND(data!C161,0)</f>
        <v>63</v>
      </c>
      <c r="AU2" s="216">
        <f>ROUND(data!C162,0)</f>
        <v>0</v>
      </c>
      <c r="AV2" s="216">
        <f>ROUND(data!C163,0)</f>
        <v>114669</v>
      </c>
      <c r="AW2" s="216">
        <f>ROUND(data!C164,0)</f>
        <v>0</v>
      </c>
      <c r="AX2" s="216">
        <f>ROUND(data!D160,0)</f>
        <v>0</v>
      </c>
      <c r="AY2" s="216">
        <f>ROUND(data!D161,0)</f>
        <v>0</v>
      </c>
      <c r="AZ2" s="216">
        <f>ROUND(data!D162,0)</f>
        <v>0</v>
      </c>
      <c r="BA2" s="216">
        <f>ROUND(data!D163,0)</f>
        <v>0</v>
      </c>
      <c r="BB2" s="216">
        <f>ROUND(data!D164,0)</f>
        <v>0</v>
      </c>
      <c r="BC2" s="216">
        <f>ROUND(data!B166,0)</f>
        <v>0</v>
      </c>
      <c r="BD2" s="216">
        <f>ROUND(data!B167,0)</f>
        <v>0</v>
      </c>
      <c r="BE2" s="216">
        <f>ROUND(data!B168,0)</f>
        <v>0</v>
      </c>
      <c r="BF2" s="216">
        <f>ROUND(data!B169,0)</f>
        <v>0</v>
      </c>
      <c r="BG2" s="216">
        <f>ROUND(data!B170,0)</f>
        <v>0</v>
      </c>
      <c r="BH2" s="216">
        <f>ROUND(data!C166,0)</f>
        <v>0</v>
      </c>
      <c r="BI2" s="216">
        <f>ROUND(data!C167,0)</f>
        <v>0</v>
      </c>
      <c r="BJ2" s="216">
        <f>ROUND(data!C168,0)</f>
        <v>0</v>
      </c>
      <c r="BK2" s="216">
        <f>ROUND(data!C169,0)</f>
        <v>0</v>
      </c>
      <c r="BL2" s="216">
        <f>ROUND(data!C170,0)</f>
        <v>0</v>
      </c>
      <c r="BM2" s="216">
        <f>ROUND(data!D166,0)</f>
        <v>0</v>
      </c>
      <c r="BN2" s="216">
        <f>ROUND(data!D167,0)</f>
        <v>0</v>
      </c>
      <c r="BO2" s="216">
        <f>ROUND(data!D168,0)</f>
        <v>0</v>
      </c>
      <c r="BP2" s="216">
        <f>ROUND(data!D169,0)</f>
        <v>0</v>
      </c>
      <c r="BQ2" s="216">
        <f>ROUND(data!D170,0)</f>
        <v>0</v>
      </c>
      <c r="BR2" s="216">
        <f>ROUND(data!B173,0)</f>
        <v>39193843</v>
      </c>
      <c r="BS2" s="216">
        <f>ROUND(data!C173,0)</f>
        <v>14884096</v>
      </c>
      <c r="BW2" s="66"/>
      <c r="BX2" s="66"/>
      <c r="BY2" s="66"/>
      <c r="BZ2" s="66"/>
      <c r="CA2" s="66"/>
      <c r="CB2" s="66"/>
      <c r="CC2" s="66"/>
      <c r="CD2" s="66"/>
      <c r="CE2" s="66"/>
      <c r="CF2" s="66"/>
      <c r="CG2" s="66"/>
      <c r="CH2" s="66"/>
      <c r="CI2" s="66"/>
    </row>
  </sheetData>
  <sheetProtection algorithmName="SHA-512" hashValue="adDxc50ISvKzuLFjp38ibk20OhlX2ZRRIyFloqeQN5QXUJohWCfHKAKxrIW1fmtQiimWWbjN0lTSNUStZVJUEA==" saltValue="wcIC+7nCgGgXCAWreZThEA==" spinCount="100000" sheet="1" objects="1" scenarios="1"/>
  <pageMargins left="0.7" right="0.7" top="0.75" bottom="0.75" header="0.3" footer="0.3"/>
  <pageSetup orientation="portrait" horizontalDpi="1200" verticalDpi="1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0262-47DE-43C5-9882-A0BA8FFDD40C}">
  <sheetPr codeName="Sheet16"/>
  <dimension ref="A1:DH2"/>
  <sheetViews>
    <sheetView topLeftCell="CF1" workbookViewId="0">
      <selection activeCell="N34" sqref="N34"/>
    </sheetView>
  </sheetViews>
  <sheetFormatPr defaultColWidth="8.6640625" defaultRowHeight="15.75" x14ac:dyDescent="0.25"/>
  <cols>
    <col min="1" max="1" width="13.44140625" style="9" bestFit="1" customWidth="1"/>
    <col min="2" max="2" width="5.21875" style="9" bestFit="1" customWidth="1"/>
    <col min="3" max="4" width="10.5546875" style="9" bestFit="1" customWidth="1"/>
    <col min="5" max="5" width="6.5546875" style="9" bestFit="1" customWidth="1"/>
    <col min="6" max="7" width="10.5546875" style="9" bestFit="1" customWidth="1"/>
    <col min="8" max="8" width="8.88671875" style="9" bestFit="1" customWidth="1"/>
    <col min="9" max="9" width="9.77734375" style="9" bestFit="1" customWidth="1"/>
    <col min="10" max="10" width="7.5546875" style="9" bestFit="1" customWidth="1"/>
    <col min="11" max="13" width="9.5546875" style="9" bestFit="1" customWidth="1"/>
    <col min="14" max="14" width="10.5546875" style="9" bestFit="1" customWidth="1"/>
    <col min="15" max="15" width="8.77734375" style="9" bestFit="1" customWidth="1"/>
    <col min="16" max="16" width="8.88671875" style="9" bestFit="1" customWidth="1"/>
    <col min="17" max="17" width="9.77734375" style="9" bestFit="1" customWidth="1"/>
    <col min="18" max="18" width="9.5546875" style="9" bestFit="1" customWidth="1"/>
    <col min="19" max="20" width="10.5546875" style="9" bestFit="1" customWidth="1"/>
    <col min="21" max="21" width="9.88671875" style="9" bestFit="1" customWidth="1"/>
    <col min="22" max="22" width="10.5546875" style="9" bestFit="1" customWidth="1"/>
    <col min="23" max="23" width="9.5546875" style="9" bestFit="1" customWidth="1"/>
    <col min="24" max="25" width="9.88671875" style="9" bestFit="1" customWidth="1"/>
    <col min="26" max="26" width="11.88671875" style="9" bestFit="1" customWidth="1"/>
    <col min="27" max="27" width="9.5546875" style="9" bestFit="1" customWidth="1"/>
    <col min="28" max="28" width="8.88671875" style="9" bestFit="1" customWidth="1"/>
    <col min="29" max="30" width="10.5546875" style="9" bestFit="1" customWidth="1"/>
    <col min="31" max="31" width="8.21875" style="9" bestFit="1" customWidth="1"/>
    <col min="32" max="32" width="8.77734375" style="9" bestFit="1" customWidth="1"/>
    <col min="33" max="33" width="10.5546875" style="9" bestFit="1" customWidth="1"/>
    <col min="34" max="34" width="8.21875" style="9" bestFit="1" customWidth="1"/>
    <col min="35" max="35" width="7.21875" style="9" bestFit="1" customWidth="1"/>
    <col min="36" max="37" width="9.5546875" style="9" bestFit="1" customWidth="1"/>
    <col min="38" max="38" width="8.6640625" style="9" bestFit="1" customWidth="1"/>
    <col min="39" max="39" width="10.5546875" style="9" bestFit="1" customWidth="1"/>
    <col min="40" max="40" width="9.5546875" style="9" bestFit="1" customWidth="1"/>
    <col min="41" max="41" width="7.5546875" style="9" bestFit="1" customWidth="1"/>
    <col min="42" max="42" width="6.5546875" style="9" bestFit="1" customWidth="1"/>
    <col min="43" max="44" width="9.5546875" style="9" bestFit="1" customWidth="1"/>
    <col min="45" max="45" width="6.77734375" style="9" bestFit="1" customWidth="1"/>
    <col min="46" max="46" width="7.77734375" style="9" bestFit="1" customWidth="1"/>
    <col min="47" max="47" width="10.5546875" style="9" bestFit="1" customWidth="1"/>
    <col min="48" max="48" width="8.44140625" style="9" bestFit="1" customWidth="1"/>
    <col min="49" max="49" width="8.5546875" style="9" bestFit="1" customWidth="1"/>
    <col min="50" max="50" width="8.21875" style="9" bestFit="1" customWidth="1"/>
    <col min="51" max="52" width="9.5546875" style="9" bestFit="1" customWidth="1"/>
    <col min="53" max="53" width="10.5546875" style="9" bestFit="1" customWidth="1"/>
    <col min="54" max="54" width="8.21875" style="9" bestFit="1" customWidth="1"/>
    <col min="55" max="57" width="10.5546875" style="9" bestFit="1" customWidth="1"/>
    <col min="58" max="59" width="7.5546875" style="9" bestFit="1" customWidth="1"/>
    <col min="60" max="60" width="8.5546875" style="9" bestFit="1" customWidth="1"/>
    <col min="61" max="61" width="7.5546875" style="9" bestFit="1" customWidth="1"/>
    <col min="62" max="62" width="7.44140625" style="9" bestFit="1" customWidth="1"/>
    <col min="63" max="63" width="11.88671875" style="9" customWidth="1"/>
    <col min="64" max="66" width="11.88671875" style="9" bestFit="1" customWidth="1"/>
    <col min="67" max="67" width="9.5546875" style="9" bestFit="1" customWidth="1"/>
    <col min="68" max="68" width="7.5546875" style="9" bestFit="1" customWidth="1"/>
    <col min="69" max="70" width="10.5546875" style="9" bestFit="1" customWidth="1"/>
    <col min="71" max="71" width="9.44140625" style="9" bestFit="1" customWidth="1"/>
    <col min="72" max="73" width="9.88671875" style="9" bestFit="1" customWidth="1"/>
    <col min="74" max="74" width="10.5546875" style="9" bestFit="1" customWidth="1"/>
    <col min="75" max="75" width="9.21875" style="9" bestFit="1" customWidth="1"/>
    <col min="76" max="76" width="9.88671875" style="9" bestFit="1" customWidth="1"/>
    <col min="77" max="77" width="10.21875" style="9" bestFit="1" customWidth="1"/>
    <col min="78" max="78" width="9.77734375" style="9" bestFit="1" customWidth="1"/>
    <col min="79" max="80" width="10.5546875" style="9" bestFit="1" customWidth="1"/>
    <col min="81" max="81" width="8.6640625" style="9" bestFit="1" customWidth="1"/>
    <col min="82" max="85" width="10.5546875" style="9" bestFit="1" customWidth="1"/>
    <col min="86" max="86" width="9" style="9" bestFit="1" customWidth="1"/>
    <col min="87" max="87" width="10.5546875" style="9" bestFit="1" customWidth="1"/>
    <col min="88" max="89" width="9.5546875" style="9" bestFit="1" customWidth="1"/>
    <col min="90" max="90" width="8.6640625" style="9" bestFit="1" customWidth="1"/>
    <col min="91" max="91" width="9" style="9" bestFit="1" customWidth="1"/>
    <col min="92" max="92" width="9.5546875" style="9" bestFit="1" customWidth="1"/>
    <col min="93" max="93" width="9" style="9" bestFit="1" customWidth="1"/>
    <col min="94" max="95" width="8.6640625" style="9" bestFit="1" customWidth="1"/>
    <col min="96" max="96" width="6.6640625" style="9" bestFit="1" customWidth="1"/>
    <col min="97" max="97" width="5.88671875" style="9" bestFit="1" customWidth="1"/>
    <col min="98" max="98" width="6.5546875" style="9" bestFit="1" customWidth="1"/>
    <col min="99" max="100" width="7.44140625" style="9" bestFit="1" customWidth="1"/>
    <col min="101" max="101" width="6.88671875" style="9" bestFit="1" customWidth="1"/>
    <col min="102" max="106" width="7.44140625" style="9" bestFit="1" customWidth="1"/>
    <col min="107" max="108" width="7.5546875" style="9" bestFit="1" customWidth="1"/>
    <col min="109" max="109" width="10.5546875" style="12" bestFit="1" customWidth="1"/>
    <col min="110" max="110" width="11.44140625" style="9" bestFit="1" customWidth="1"/>
    <col min="111" max="111" width="7.44140625" style="9" bestFit="1" customWidth="1"/>
    <col min="112" max="112" width="6.44140625" style="9" customWidth="1"/>
    <col min="113" max="114" width="8.6640625" style="9" customWidth="1"/>
    <col min="115" max="16384" width="8.6640625" style="9"/>
  </cols>
  <sheetData>
    <row r="1" spans="1:112" s="10" customFormat="1" ht="12.75" customHeight="1" x14ac:dyDescent="0.25">
      <c r="A1" s="10" t="s">
        <v>1192</v>
      </c>
      <c r="B1" s="16" t="s">
        <v>1193</v>
      </c>
      <c r="C1" s="16" t="s">
        <v>1194</v>
      </c>
      <c r="D1" s="10" t="s">
        <v>1195</v>
      </c>
      <c r="E1" s="10" t="s">
        <v>1196</v>
      </c>
      <c r="F1" s="10" t="s">
        <v>1197</v>
      </c>
      <c r="G1" s="10" t="s">
        <v>1198</v>
      </c>
      <c r="H1" s="10" t="s">
        <v>1199</v>
      </c>
      <c r="I1" s="10" t="s">
        <v>1200</v>
      </c>
      <c r="J1" s="10" t="s">
        <v>1201</v>
      </c>
      <c r="K1" s="10" t="s">
        <v>1202</v>
      </c>
      <c r="L1" s="10" t="s">
        <v>1203</v>
      </c>
      <c r="M1" s="10" t="s">
        <v>1204</v>
      </c>
      <c r="N1" s="10" t="s">
        <v>1205</v>
      </c>
      <c r="O1" s="10" t="s">
        <v>1206</v>
      </c>
      <c r="P1" s="10" t="s">
        <v>1207</v>
      </c>
      <c r="Q1" s="10" t="s">
        <v>1208</v>
      </c>
      <c r="R1" s="10" t="s">
        <v>1209</v>
      </c>
      <c r="S1" s="10" t="s">
        <v>1210</v>
      </c>
      <c r="T1" s="10" t="s">
        <v>1211</v>
      </c>
      <c r="U1" s="10" t="s">
        <v>1212</v>
      </c>
      <c r="V1" s="10" t="s">
        <v>1213</v>
      </c>
      <c r="W1" s="10" t="s">
        <v>1214</v>
      </c>
      <c r="X1" s="10" t="s">
        <v>1215</v>
      </c>
      <c r="Y1" s="10" t="s">
        <v>1216</v>
      </c>
      <c r="Z1" s="10" t="s">
        <v>1217</v>
      </c>
      <c r="AA1" s="10" t="s">
        <v>1218</v>
      </c>
      <c r="AB1" s="10" t="s">
        <v>1219</v>
      </c>
      <c r="AC1" s="10" t="s">
        <v>1220</v>
      </c>
      <c r="AD1" s="10" t="s">
        <v>1221</v>
      </c>
      <c r="AE1" s="10" t="s">
        <v>1222</v>
      </c>
      <c r="AF1" s="10" t="s">
        <v>1223</v>
      </c>
      <c r="AG1" s="10" t="s">
        <v>1224</v>
      </c>
      <c r="AH1" s="10" t="s">
        <v>1225</v>
      </c>
      <c r="AI1" s="10" t="s">
        <v>1226</v>
      </c>
      <c r="AJ1" s="10" t="s">
        <v>1227</v>
      </c>
      <c r="AK1" s="10" t="s">
        <v>1228</v>
      </c>
      <c r="AL1" s="10" t="s">
        <v>1229</v>
      </c>
      <c r="AM1" s="10" t="s">
        <v>1230</v>
      </c>
      <c r="AN1" s="10" t="s">
        <v>1231</v>
      </c>
      <c r="AO1" s="10" t="s">
        <v>1232</v>
      </c>
      <c r="AP1" s="10" t="s">
        <v>1233</v>
      </c>
      <c r="AQ1" s="10" t="s">
        <v>1234</v>
      </c>
      <c r="AR1" s="10" t="s">
        <v>1235</v>
      </c>
      <c r="AS1" s="10" t="s">
        <v>1236</v>
      </c>
      <c r="AT1" s="10" t="s">
        <v>1237</v>
      </c>
      <c r="AU1" s="10" t="s">
        <v>1238</v>
      </c>
      <c r="AV1" s="10" t="s">
        <v>1239</v>
      </c>
      <c r="AW1" s="10" t="s">
        <v>1240</v>
      </c>
      <c r="AX1" s="10" t="s">
        <v>1241</v>
      </c>
      <c r="AY1" s="10" t="s">
        <v>1242</v>
      </c>
      <c r="AZ1" s="10" t="s">
        <v>1243</v>
      </c>
      <c r="BA1" s="10" t="s">
        <v>1244</v>
      </c>
      <c r="BB1" s="10" t="s">
        <v>1245</v>
      </c>
      <c r="BC1" s="10" t="s">
        <v>1246</v>
      </c>
      <c r="BD1" s="10" t="s">
        <v>1247</v>
      </c>
      <c r="BE1" s="10" t="s">
        <v>1248</v>
      </c>
      <c r="BF1" s="10" t="s">
        <v>1249</v>
      </c>
      <c r="BG1" s="10" t="s">
        <v>1250</v>
      </c>
      <c r="BH1" s="10" t="s">
        <v>1251</v>
      </c>
      <c r="BI1" s="10" t="s">
        <v>1252</v>
      </c>
      <c r="BJ1" s="10" t="s">
        <v>1253</v>
      </c>
      <c r="BK1" s="10" t="s">
        <v>1254</v>
      </c>
      <c r="BL1" s="10" t="s">
        <v>1255</v>
      </c>
      <c r="BM1" s="10" t="s">
        <v>1256</v>
      </c>
      <c r="BN1" s="10" t="s">
        <v>1257</v>
      </c>
      <c r="BO1" s="10" t="s">
        <v>1258</v>
      </c>
      <c r="BP1" s="10" t="s">
        <v>1259</v>
      </c>
      <c r="BQ1" s="10" t="s">
        <v>1260</v>
      </c>
      <c r="BR1" s="10" t="s">
        <v>1261</v>
      </c>
      <c r="BS1" s="10" t="s">
        <v>1262</v>
      </c>
      <c r="BT1" s="10" t="s">
        <v>1263</v>
      </c>
      <c r="BU1" s="10" t="s">
        <v>1264</v>
      </c>
      <c r="BV1" s="10" t="s">
        <v>1265</v>
      </c>
      <c r="BW1" s="10" t="s">
        <v>1266</v>
      </c>
      <c r="BX1" s="10" t="s">
        <v>1267</v>
      </c>
      <c r="BY1" s="10" t="s">
        <v>1268</v>
      </c>
      <c r="BZ1" s="10" t="s">
        <v>1269</v>
      </c>
      <c r="CA1" s="10" t="s">
        <v>1270</v>
      </c>
      <c r="CB1" s="10" t="s">
        <v>1271</v>
      </c>
      <c r="CC1" s="10" t="s">
        <v>1272</v>
      </c>
      <c r="CD1" s="10" t="s">
        <v>1273</v>
      </c>
      <c r="CE1" s="10" t="s">
        <v>1274</v>
      </c>
      <c r="CF1" s="10" t="s">
        <v>1275</v>
      </c>
      <c r="CG1" s="10" t="s">
        <v>1276</v>
      </c>
      <c r="CH1" s="10" t="s">
        <v>1277</v>
      </c>
      <c r="CI1" s="10" t="s">
        <v>1278</v>
      </c>
      <c r="CJ1" s="10" t="s">
        <v>1279</v>
      </c>
      <c r="CK1" s="10" t="s">
        <v>1280</v>
      </c>
      <c r="CL1" s="10" t="s">
        <v>1281</v>
      </c>
      <c r="CM1" s="10" t="s">
        <v>1282</v>
      </c>
      <c r="CN1" s="10" t="s">
        <v>1283</v>
      </c>
      <c r="CO1" s="10" t="s">
        <v>1284</v>
      </c>
      <c r="CP1" s="10" t="s">
        <v>1285</v>
      </c>
      <c r="CQ1" s="205" t="s">
        <v>1286</v>
      </c>
      <c r="CR1" s="205" t="s">
        <v>1287</v>
      </c>
      <c r="CS1" s="205" t="s">
        <v>1288</v>
      </c>
      <c r="CT1" s="205" t="s">
        <v>1289</v>
      </c>
      <c r="CU1" s="205" t="s">
        <v>1290</v>
      </c>
      <c r="CV1" s="205" t="s">
        <v>1291</v>
      </c>
      <c r="CW1" s="205" t="s">
        <v>1292</v>
      </c>
      <c r="CX1" s="205" t="s">
        <v>1293</v>
      </c>
      <c r="CY1" s="205" t="s">
        <v>1294</v>
      </c>
      <c r="CZ1" s="205" t="s">
        <v>1295</v>
      </c>
      <c r="DA1" s="205" t="s">
        <v>1296</v>
      </c>
      <c r="DB1" s="205" t="s">
        <v>1297</v>
      </c>
      <c r="DC1" s="205" t="s">
        <v>1298</v>
      </c>
      <c r="DD1" s="205" t="s">
        <v>1299</v>
      </c>
      <c r="DE1" s="10" t="s">
        <v>1300</v>
      </c>
      <c r="DF1" s="10" t="s">
        <v>1301</v>
      </c>
      <c r="DG1" s="10" t="s">
        <v>1302</v>
      </c>
      <c r="DH1" s="10" t="s">
        <v>1303</v>
      </c>
    </row>
    <row r="2" spans="1:112" s="178" customFormat="1" ht="12.6" customHeight="1" x14ac:dyDescent="0.25">
      <c r="A2" s="217" t="str">
        <f>RIGHT(data!C97,3)</f>
        <v>085</v>
      </c>
      <c r="B2" s="218" t="str">
        <f>RIGHT(data!C96,4)</f>
        <v>2022</v>
      </c>
      <c r="C2" s="16" t="s">
        <v>1120</v>
      </c>
      <c r="D2" s="216">
        <f>ROUND(data!C266,0)</f>
        <v>46848800</v>
      </c>
      <c r="E2" s="216">
        <f>ROUND(data!C267,0)</f>
        <v>0</v>
      </c>
      <c r="F2" s="216">
        <f>ROUND(data!C268,0)</f>
        <v>44692200</v>
      </c>
      <c r="G2" s="216">
        <f>ROUND(data!C269,0)</f>
        <v>26317000</v>
      </c>
      <c r="H2" s="216">
        <f>ROUND(data!C270,0)</f>
        <v>3019074</v>
      </c>
      <c r="I2" s="216">
        <f>ROUND(data!C271,0)</f>
        <v>1130587</v>
      </c>
      <c r="J2" s="216">
        <f>ROUND(data!C272,0)</f>
        <v>0</v>
      </c>
      <c r="K2" s="216">
        <f>ROUND(data!C273,0)</f>
        <v>5940865</v>
      </c>
      <c r="L2" s="216">
        <f>ROUND(data!C274,0)</f>
        <v>1956750</v>
      </c>
      <c r="M2" s="216">
        <f>ROUND(data!C275,0)</f>
        <v>0</v>
      </c>
      <c r="N2" s="216">
        <f>ROUND(data!C278,0)</f>
        <v>0</v>
      </c>
      <c r="O2" s="216">
        <f>ROUND(data!C279,0)</f>
        <v>0</v>
      </c>
      <c r="P2" s="216">
        <f>ROUND(data!C280,0)</f>
        <v>0</v>
      </c>
      <c r="Q2" s="216">
        <f>ROUND(data!C283,0)</f>
        <v>2164252</v>
      </c>
      <c r="R2" s="216">
        <f>ROUND(data!C284,0)</f>
        <v>4028158</v>
      </c>
      <c r="S2" s="216">
        <f>ROUND(data!C285,0)</f>
        <v>49457579</v>
      </c>
      <c r="T2" s="216">
        <f>ROUND(data!C286,0)</f>
        <v>0</v>
      </c>
      <c r="U2" s="216">
        <f>ROUND(data!C287,0)</f>
        <v>22772758</v>
      </c>
      <c r="V2" s="216">
        <f>ROUND(data!C288,0)</f>
        <v>17581095</v>
      </c>
      <c r="W2" s="216">
        <f>ROUND(data!C289,0)</f>
        <v>1369286</v>
      </c>
      <c r="X2" s="216">
        <f>ROUND(data!C290,0)</f>
        <v>4096920</v>
      </c>
      <c r="Y2" s="216">
        <f>ROUND(data!C291,0)</f>
        <v>0</v>
      </c>
      <c r="Z2" s="216">
        <f>ROUND(data!C292,0)</f>
        <v>61536453</v>
      </c>
      <c r="AA2" s="216">
        <f>ROUND(data!C295,0)</f>
        <v>0</v>
      </c>
      <c r="AB2" s="216">
        <f>ROUND(data!C296,0)</f>
        <v>0</v>
      </c>
      <c r="AC2" s="216">
        <f>ROUND(data!C297,0)</f>
        <v>0</v>
      </c>
      <c r="AD2" s="216">
        <f>ROUND(data!C298,0)</f>
        <v>0</v>
      </c>
      <c r="AE2" s="216">
        <f>ROUND(data!C302,0)</f>
        <v>0</v>
      </c>
      <c r="AF2" s="216">
        <f>ROUND(data!C303,0)</f>
        <v>0</v>
      </c>
      <c r="AG2" s="216">
        <f>ROUND(data!C304,0)</f>
        <v>0</v>
      </c>
      <c r="AH2" s="216">
        <f>ROUND(data!C305,0)</f>
        <v>0</v>
      </c>
      <c r="AI2" s="216">
        <f>ROUND(data!C314,0)</f>
        <v>0</v>
      </c>
      <c r="AJ2" s="216">
        <f>ROUND(data!C315,0)</f>
        <v>2451576</v>
      </c>
      <c r="AK2" s="216">
        <f>ROUND(data!C316,0)</f>
        <v>0</v>
      </c>
      <c r="AL2" s="216">
        <f>ROUND(data!C317,0)</f>
        <v>0</v>
      </c>
      <c r="AM2" s="216">
        <f>ROUND(data!C318,0)</f>
        <v>0</v>
      </c>
      <c r="AN2" s="216">
        <f>ROUND(data!C319,0)</f>
        <v>0</v>
      </c>
      <c r="AO2" s="216">
        <f>ROUND(data!C320,0)</f>
        <v>0</v>
      </c>
      <c r="AP2" s="216">
        <f>ROUND(data!C321,0)</f>
        <v>0</v>
      </c>
      <c r="AQ2" s="216">
        <f>ROUND(data!C322,0)</f>
        <v>10486453</v>
      </c>
      <c r="AR2" s="216">
        <f>ROUND(data!C323,0)</f>
        <v>2567645</v>
      </c>
      <c r="AS2" s="216">
        <f>ROUND(data!C326,0)</f>
        <v>0</v>
      </c>
      <c r="AT2" s="216">
        <f>ROUND(data!C327,0)</f>
        <v>0</v>
      </c>
      <c r="AU2" s="216">
        <f>ROUND(data!C328,0)</f>
        <v>0</v>
      </c>
      <c r="AV2" s="216">
        <f>ROUND(data!C331,0)</f>
        <v>0</v>
      </c>
      <c r="AW2" s="216">
        <f>ROUND(data!C332,0)</f>
        <v>0</v>
      </c>
      <c r="AX2" s="216">
        <f>ROUND(data!C333,0)</f>
        <v>24538879</v>
      </c>
      <c r="AY2" s="216">
        <f>ROUND(data!C334,0)</f>
        <v>2837891</v>
      </c>
      <c r="AZ2" s="216">
        <f>ROUND(data!C335,0)</f>
        <v>0</v>
      </c>
      <c r="BA2" s="216">
        <f>ROUND(data!C336,0)</f>
        <v>0</v>
      </c>
      <c r="BB2" s="216">
        <f>ROUND(data!C337,0)</f>
        <v>0</v>
      </c>
      <c r="BC2" s="216">
        <f>ROUND(data!C338,0)</f>
        <v>0</v>
      </c>
      <c r="BD2" s="216">
        <f>ROUND(data!C339,0)</f>
        <v>0</v>
      </c>
      <c r="BE2" s="216">
        <f>ROUND(data!C343,0)</f>
        <v>76890072</v>
      </c>
      <c r="BF2" s="216">
        <f>ROUND(data!C345,0)</f>
        <v>0</v>
      </c>
      <c r="BG2" s="216">
        <f>ROUND(data!C346,0)</f>
        <v>0</v>
      </c>
      <c r="BH2" s="216">
        <f>ROUND(data!C347,0)</f>
        <v>0</v>
      </c>
      <c r="BI2" s="216">
        <f>ROUND(data!C348,0)</f>
        <v>0</v>
      </c>
      <c r="BJ2" s="216">
        <f>ROUND(data!C349,0)</f>
        <v>0</v>
      </c>
      <c r="BK2" s="216">
        <f>ROUND(data!CE60,2)</f>
        <v>704.8</v>
      </c>
      <c r="BL2" s="216">
        <f>ROUND(data!C358,0)</f>
        <v>45741344</v>
      </c>
      <c r="BM2" s="216">
        <f>ROUND(data!C359,0)</f>
        <v>274284503</v>
      </c>
      <c r="BN2" s="216">
        <f>ROUND(data!C363,0)</f>
        <v>162559200</v>
      </c>
      <c r="BO2" s="216">
        <f>ROUND(data!C364,0)</f>
        <v>3280565</v>
      </c>
      <c r="BP2" s="216">
        <f>ROUND(data!C365,0)</f>
        <v>0</v>
      </c>
      <c r="BQ2" s="216">
        <f>ROUND(data!D381,0)</f>
        <v>4710392</v>
      </c>
      <c r="BR2" s="216">
        <f>ROUND(data!C370,0)</f>
        <v>0</v>
      </c>
      <c r="BS2" s="216">
        <f>ROUND(data!C371,0)</f>
        <v>297516</v>
      </c>
      <c r="BT2" s="216">
        <f>ROUND(data!C372,0)</f>
        <v>0</v>
      </c>
      <c r="BU2" s="216">
        <f>ROUND(data!C373,0)</f>
        <v>0</v>
      </c>
      <c r="BV2" s="216">
        <f>ROUND(data!C374,0)</f>
        <v>2976878</v>
      </c>
      <c r="BW2" s="216">
        <f>ROUND(data!C375,0)</f>
        <v>0</v>
      </c>
      <c r="BX2" s="216">
        <f>ROUND(data!C376,0)</f>
        <v>0</v>
      </c>
      <c r="BY2" s="216">
        <f>ROUND(data!C377,0)</f>
        <v>0</v>
      </c>
      <c r="BZ2" s="216">
        <f>ROUND(data!C378,0)</f>
        <v>18104</v>
      </c>
      <c r="CA2" s="216">
        <f>ROUND(data!C379,0)</f>
        <v>521937</v>
      </c>
      <c r="CB2" s="216">
        <f>ROUND(data!C380,0)</f>
        <v>895957</v>
      </c>
      <c r="CC2" s="216">
        <f>ROUND(data!C382,0)</f>
        <v>0</v>
      </c>
      <c r="CD2" s="216">
        <f>ROUND(data!C389,0)</f>
        <v>73833253</v>
      </c>
      <c r="CE2" s="216">
        <f>ROUND(data!C390,0)</f>
        <v>16248274</v>
      </c>
      <c r="CF2" s="216">
        <f>ROUND(data!C391,0)</f>
        <v>6879970</v>
      </c>
      <c r="CG2" s="216">
        <f>ROUND(data!C392,0)</f>
        <v>32788536</v>
      </c>
      <c r="CH2" s="216">
        <f>ROUND(data!C393,0)</f>
        <v>1404708</v>
      </c>
      <c r="CI2" s="216">
        <f>ROUND(data!C394,0)</f>
        <v>8675536</v>
      </c>
      <c r="CJ2" s="216">
        <f>ROUND(data!C395,0)</f>
        <v>5005267</v>
      </c>
      <c r="CK2" s="216">
        <f>ROUND(data!C396,0)</f>
        <v>700246</v>
      </c>
      <c r="CL2" s="216">
        <f>ROUND(data!C397,0)</f>
        <v>1389602</v>
      </c>
      <c r="CM2" s="216">
        <f>ROUND(data!C398,0)</f>
        <v>1014306</v>
      </c>
      <c r="CN2" s="216">
        <f>ROUND(data!C399,0)</f>
        <v>950648</v>
      </c>
      <c r="CO2" s="216">
        <f>ROUND(data!C362,0)</f>
        <v>3772732</v>
      </c>
      <c r="CP2" s="216">
        <f>ROUND(data!D415,0)</f>
        <v>3608739</v>
      </c>
      <c r="CQ2" s="65">
        <f>ROUND(data!C401,0)</f>
        <v>0</v>
      </c>
      <c r="CR2" s="65">
        <f>ROUND(data!C402,0)</f>
        <v>0</v>
      </c>
      <c r="CS2" s="65">
        <f>ROUND(data!C403,0)</f>
        <v>331976</v>
      </c>
      <c r="CT2" s="65">
        <f>ROUND(data!C404,0)</f>
        <v>0</v>
      </c>
      <c r="CU2" s="65">
        <f>ROUND(data!C405,0)</f>
        <v>0</v>
      </c>
      <c r="CV2" s="65">
        <f>ROUND(data!C406,0)</f>
        <v>0</v>
      </c>
      <c r="CW2" s="65">
        <f>ROUND(data!C407,0)</f>
        <v>0</v>
      </c>
      <c r="CX2" s="65">
        <f>ROUND(data!C408,0)</f>
        <v>1099220</v>
      </c>
      <c r="CY2" s="65">
        <f>ROUND(data!C409,0)</f>
        <v>0</v>
      </c>
      <c r="CZ2" s="65">
        <f>ROUND(data!C410,0)</f>
        <v>212061</v>
      </c>
      <c r="DA2" s="65">
        <f>ROUND(data!C411,0)</f>
        <v>611652</v>
      </c>
      <c r="DB2" s="65">
        <f>ROUND(data!C412,0)</f>
        <v>0</v>
      </c>
      <c r="DC2" s="65">
        <f>ROUND(data!C413,0)</f>
        <v>0</v>
      </c>
      <c r="DD2" s="65">
        <f>ROUND(data!C414,0)</f>
        <v>1353830</v>
      </c>
      <c r="DE2" s="65">
        <f>ROUND(data!C419,0)</f>
        <v>2200653</v>
      </c>
      <c r="DF2" s="216">
        <f>ROUND(data!D420,0)</f>
        <v>3500891</v>
      </c>
      <c r="DG2" s="216">
        <f>ROUND(data!C422,0)</f>
        <v>0</v>
      </c>
      <c r="DH2" s="216">
        <f>ROUND(data!C423,0)</f>
        <v>0</v>
      </c>
    </row>
  </sheetData>
  <sheetProtection algorithmName="SHA-512" hashValue="C3wNTkp9XBSvRanqh0zz96nK7VCyr+s0vVv8MYvC397mS2JBrRREtBL0coTDBqe6lbp+3vhSobO+Ew171lqmXw==" saltValue="Dt4hBLHrPS7h4tLtq3VkIg==" spinCount="100000" sheet="1" objects="1" scenarios="1"/>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440D-E581-45BB-A324-913CF80E7D4E}">
  <sheetPr codeName="Sheet17"/>
  <dimension ref="A1:CK80"/>
  <sheetViews>
    <sheetView workbookViewId="0">
      <selection activeCell="N34" sqref="N34"/>
    </sheetView>
  </sheetViews>
  <sheetFormatPr defaultColWidth="8.6640625" defaultRowHeight="15.75" x14ac:dyDescent="0.25"/>
  <cols>
    <col min="1" max="1" width="12.6640625" style="9" bestFit="1" customWidth="1"/>
    <col min="2" max="2" width="5.21875" style="9" bestFit="1" customWidth="1"/>
    <col min="3" max="3" width="13.88671875" style="9" bestFit="1" customWidth="1"/>
    <col min="4" max="4" width="10.5546875" style="9" bestFit="1" customWidth="1"/>
    <col min="5" max="37" width="12.5546875" style="9" customWidth="1"/>
    <col min="38" max="39" width="8.6640625" style="9" customWidth="1"/>
    <col min="40" max="16384" width="8.6640625" style="9"/>
  </cols>
  <sheetData>
    <row r="1" spans="1:89" s="10" customFormat="1" ht="12.6" customHeight="1" x14ac:dyDescent="0.25">
      <c r="A1" s="10" t="s">
        <v>1304</v>
      </c>
      <c r="B1" s="16" t="s">
        <v>1305</v>
      </c>
      <c r="C1" s="10" t="s">
        <v>1306</v>
      </c>
      <c r="D1" s="16" t="s">
        <v>1307</v>
      </c>
      <c r="E1" s="10" t="s">
        <v>1308</v>
      </c>
      <c r="F1" s="10" t="s">
        <v>1309</v>
      </c>
      <c r="G1" s="10" t="s">
        <v>1310</v>
      </c>
      <c r="H1" s="10" t="s">
        <v>1311</v>
      </c>
      <c r="I1" s="10" t="s">
        <v>1312</v>
      </c>
      <c r="J1" s="10" t="s">
        <v>1313</v>
      </c>
      <c r="K1" s="10" t="s">
        <v>1314</v>
      </c>
      <c r="L1" s="10" t="s">
        <v>1315</v>
      </c>
      <c r="M1" s="10" t="s">
        <v>1316</v>
      </c>
      <c r="N1" s="10" t="s">
        <v>1317</v>
      </c>
      <c r="O1" s="10" t="s">
        <v>1318</v>
      </c>
      <c r="P1" s="10" t="s">
        <v>1286</v>
      </c>
      <c r="Q1" s="10" t="s">
        <v>1287</v>
      </c>
      <c r="R1" s="10" t="s">
        <v>1288</v>
      </c>
      <c r="S1" s="10" t="s">
        <v>1289</v>
      </c>
      <c r="T1" s="10" t="s">
        <v>1290</v>
      </c>
      <c r="U1" s="10" t="s">
        <v>1291</v>
      </c>
      <c r="V1" s="10" t="s">
        <v>1292</v>
      </c>
      <c r="W1" s="10" t="s">
        <v>1293</v>
      </c>
      <c r="X1" s="10" t="s">
        <v>1294</v>
      </c>
      <c r="Y1" s="10" t="s">
        <v>1295</v>
      </c>
      <c r="Z1" s="10" t="s">
        <v>1296</v>
      </c>
      <c r="AA1" s="10" t="s">
        <v>1297</v>
      </c>
      <c r="AB1" s="10" t="s">
        <v>1298</v>
      </c>
      <c r="AC1" s="10" t="s">
        <v>1299</v>
      </c>
      <c r="AD1" s="10" t="s">
        <v>1319</v>
      </c>
      <c r="AE1" s="10" t="s">
        <v>1320</v>
      </c>
      <c r="AF1" s="10" t="s">
        <v>1321</v>
      </c>
      <c r="AG1" s="10" t="s">
        <v>1322</v>
      </c>
      <c r="AH1" s="10" t="s">
        <v>1323</v>
      </c>
      <c r="AI1" s="10" t="s">
        <v>1324</v>
      </c>
      <c r="AJ1" s="10" t="s">
        <v>1325</v>
      </c>
      <c r="AK1" s="10" t="s">
        <v>1326</v>
      </c>
      <c r="AM1" s="18"/>
      <c r="AN1" s="18"/>
      <c r="AO1" s="18"/>
      <c r="AP1" s="18"/>
    </row>
    <row r="2" spans="1:89" s="178" customFormat="1" ht="12.6" customHeight="1" x14ac:dyDescent="0.25">
      <c r="A2" s="16" t="str">
        <f>RIGHT(data!$C$97,3)</f>
        <v>085</v>
      </c>
      <c r="B2" s="218" t="str">
        <f>RIGHT(data!$C$96,4)</f>
        <v>2022</v>
      </c>
      <c r="C2" s="16" t="str">
        <f>data!C$55</f>
        <v>6010</v>
      </c>
      <c r="D2" s="16" t="s">
        <v>1120</v>
      </c>
      <c r="E2" s="216">
        <f>ROUND(data!C59,0)</f>
        <v>327</v>
      </c>
      <c r="F2" s="206">
        <f>ROUND(data!C60,2)</f>
        <v>6.93</v>
      </c>
      <c r="G2" s="216">
        <f>ROUND(data!C61,0)</f>
        <v>929034</v>
      </c>
      <c r="H2" s="216">
        <f>ROUND(data!C62,0)</f>
        <v>204450</v>
      </c>
      <c r="I2" s="216">
        <f>ROUND(data!C63,0)</f>
        <v>836044</v>
      </c>
      <c r="J2" s="216">
        <f>ROUND(data!C64,0)</f>
        <v>70792</v>
      </c>
      <c r="K2" s="216">
        <f>ROUND(data!C65,0)</f>
        <v>1745</v>
      </c>
      <c r="L2" s="216">
        <f>ROUND(data!C66,0)</f>
        <v>3686</v>
      </c>
      <c r="M2" s="66">
        <f>ROUND(data!C67,0)</f>
        <v>87363</v>
      </c>
      <c r="N2" s="216">
        <f>ROUND(data!C68,0)</f>
        <v>0</v>
      </c>
      <c r="O2" s="216">
        <f>ROUND(data!C69,0)</f>
        <v>7410</v>
      </c>
      <c r="P2" s="216">
        <f>ROUND(data!C70,0)</f>
        <v>0</v>
      </c>
      <c r="Q2" s="216">
        <f>ROUND(data!C71,0)</f>
        <v>0</v>
      </c>
      <c r="R2" s="216">
        <f>ROUND(data!C72,0)</f>
        <v>0</v>
      </c>
      <c r="S2" s="216">
        <f>ROUND(data!C73,0)</f>
        <v>0</v>
      </c>
      <c r="T2" s="216">
        <f>ROUND(data!C74,0)</f>
        <v>0</v>
      </c>
      <c r="U2" s="216">
        <f>ROUND(data!C75,0)</f>
        <v>0</v>
      </c>
      <c r="V2" s="216">
        <f>ROUND(data!C76,0)</f>
        <v>0</v>
      </c>
      <c r="W2" s="216">
        <f>ROUND(data!C77,0)</f>
        <v>5545</v>
      </c>
      <c r="X2" s="216">
        <f>ROUND(data!C78,0)</f>
        <v>0</v>
      </c>
      <c r="Y2" s="216">
        <f>ROUND(data!C79,0)</f>
        <v>0</v>
      </c>
      <c r="Z2" s="216">
        <f>ROUND(data!C80,0)</f>
        <v>0</v>
      </c>
      <c r="AA2" s="216">
        <f>ROUND(data!C81,0)</f>
        <v>0</v>
      </c>
      <c r="AB2" s="216">
        <f>ROUND(data!C82,0)</f>
        <v>0</v>
      </c>
      <c r="AC2" s="216">
        <f>ROUND(data!C83,0)</f>
        <v>1865</v>
      </c>
      <c r="AD2" s="216">
        <f>ROUND(data!C84,0)</f>
        <v>0</v>
      </c>
      <c r="AE2" s="216">
        <f>ROUND(data!C89,0)</f>
        <v>4030399</v>
      </c>
      <c r="AF2" s="216">
        <f>ROUND(data!C87,0)</f>
        <v>4016316</v>
      </c>
      <c r="AG2" s="216">
        <f>IF(data!C90&gt;0,ROUND(data!C90,0),0)</f>
        <v>2605</v>
      </c>
      <c r="AH2" s="216">
        <f>IF(data!C91&gt;0,ROUND(data!C91,0),0)</f>
        <v>1234</v>
      </c>
      <c r="AI2" s="216">
        <f>IF(data!C92&gt;0,ROUND(data!C92,0),0)</f>
        <v>190</v>
      </c>
      <c r="AJ2" s="216">
        <f>IF(data!C93&gt;0,ROUND(data!C93,0),0)</f>
        <v>13901</v>
      </c>
      <c r="AK2" s="206">
        <f>IF(data!C94&gt;0,ROUND(data!C94,2),0)</f>
        <v>6.93</v>
      </c>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row>
    <row r="3" spans="1:89" s="12" customFormat="1" ht="12.6" customHeight="1" x14ac:dyDescent="0.25">
      <c r="A3" s="16" t="str">
        <f>RIGHT(data!$C$97,3)</f>
        <v>085</v>
      </c>
      <c r="B3" s="218" t="str">
        <f>RIGHT(data!$C$96,4)</f>
        <v>2022</v>
      </c>
      <c r="C3" s="16" t="str">
        <f>data!D$55</f>
        <v>6030</v>
      </c>
      <c r="D3" s="16" t="s">
        <v>1120</v>
      </c>
      <c r="E3" s="216">
        <f>ROUND(data!D59,0)</f>
        <v>0</v>
      </c>
      <c r="F3" s="206">
        <f>ROUND(data!D60,2)</f>
        <v>0</v>
      </c>
      <c r="G3" s="216">
        <f>ROUND(data!D61,0)</f>
        <v>0</v>
      </c>
      <c r="H3" s="216">
        <f>ROUND(data!D62,0)</f>
        <v>0</v>
      </c>
      <c r="I3" s="216">
        <f>ROUND(data!D63,0)</f>
        <v>0</v>
      </c>
      <c r="J3" s="216">
        <f>ROUND(data!D64,0)</f>
        <v>0</v>
      </c>
      <c r="K3" s="216">
        <f>ROUND(data!D65,0)</f>
        <v>0</v>
      </c>
      <c r="L3" s="216">
        <f>ROUND(data!D66,0)</f>
        <v>0</v>
      </c>
      <c r="M3" s="66">
        <f>ROUND(data!D67,0)</f>
        <v>0</v>
      </c>
      <c r="N3" s="216">
        <f>ROUND(data!D68,0)</f>
        <v>0</v>
      </c>
      <c r="O3" s="216">
        <f>ROUND(data!D69,0)</f>
        <v>0</v>
      </c>
      <c r="P3" s="216">
        <f>ROUND(data!D70,0)</f>
        <v>0</v>
      </c>
      <c r="Q3" s="216">
        <f>ROUND(data!D71,0)</f>
        <v>0</v>
      </c>
      <c r="R3" s="216">
        <f>ROUND(data!D72,0)</f>
        <v>0</v>
      </c>
      <c r="S3" s="216">
        <f>ROUND(data!D73,0)</f>
        <v>0</v>
      </c>
      <c r="T3" s="216">
        <f>ROUND(data!D74,0)</f>
        <v>0</v>
      </c>
      <c r="U3" s="216">
        <f>ROUND(data!D75,0)</f>
        <v>0</v>
      </c>
      <c r="V3" s="216">
        <f>ROUND(data!D76,0)</f>
        <v>0</v>
      </c>
      <c r="W3" s="216">
        <f>ROUND(data!D77,0)</f>
        <v>0</v>
      </c>
      <c r="X3" s="216">
        <f>ROUND(data!D78,0)</f>
        <v>0</v>
      </c>
      <c r="Y3" s="216">
        <f>ROUND(data!D79,0)</f>
        <v>0</v>
      </c>
      <c r="Z3" s="216">
        <f>ROUND(data!D80,0)</f>
        <v>0</v>
      </c>
      <c r="AA3" s="216">
        <f>ROUND(data!D81,0)</f>
        <v>0</v>
      </c>
      <c r="AB3" s="216">
        <f>ROUND(data!D82,0)</f>
        <v>0</v>
      </c>
      <c r="AC3" s="216">
        <f>ROUND(data!D83,0)</f>
        <v>0</v>
      </c>
      <c r="AD3" s="216">
        <f>ROUND(data!D84,0)</f>
        <v>0</v>
      </c>
      <c r="AE3" s="216">
        <f>ROUND(data!D89,0)</f>
        <v>0</v>
      </c>
      <c r="AF3" s="216">
        <f>ROUND(data!D87,0)</f>
        <v>0</v>
      </c>
      <c r="AG3" s="216">
        <f>IF(data!D90&gt;0,ROUND(data!D90,0),0)</f>
        <v>0</v>
      </c>
      <c r="AH3" s="216">
        <f>IF(data!D91&gt;0,ROUND(data!D91,0),0)</f>
        <v>0</v>
      </c>
      <c r="AI3" s="216">
        <f>IF(data!D92&gt;0,ROUND(data!D92,0),0)</f>
        <v>0</v>
      </c>
      <c r="AJ3" s="216">
        <f>IF(data!D93&gt;0,ROUND(data!D93,0),0)</f>
        <v>0</v>
      </c>
      <c r="AK3" s="206">
        <f>IF(data!D94&gt;0,ROUND(data!D94,2),0)</f>
        <v>0</v>
      </c>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row>
    <row r="4" spans="1:89" s="12" customFormat="1" ht="12.6" customHeight="1" x14ac:dyDescent="0.25">
      <c r="A4" s="16" t="str">
        <f>RIGHT(data!$C$97,3)</f>
        <v>085</v>
      </c>
      <c r="B4" s="218" t="str">
        <f>RIGHT(data!$C$96,4)</f>
        <v>2022</v>
      </c>
      <c r="C4" s="16" t="str">
        <f>data!E$55</f>
        <v>6070</v>
      </c>
      <c r="D4" s="16" t="s">
        <v>1120</v>
      </c>
      <c r="E4" s="216">
        <f>ROUND(data!E59,0)</f>
        <v>4044</v>
      </c>
      <c r="F4" s="206">
        <f>ROUND(data!E60,2)</f>
        <v>42.69</v>
      </c>
      <c r="G4" s="216">
        <f>ROUND(data!E61,0)</f>
        <v>5529537</v>
      </c>
      <c r="H4" s="216">
        <f>ROUND(data!E62,0)</f>
        <v>1216869</v>
      </c>
      <c r="I4" s="216">
        <f>ROUND(data!E63,0)</f>
        <v>498509</v>
      </c>
      <c r="J4" s="216">
        <f>ROUND(data!E64,0)</f>
        <v>270359</v>
      </c>
      <c r="K4" s="216">
        <f>ROUND(data!E65,0)</f>
        <v>0</v>
      </c>
      <c r="L4" s="216">
        <f>ROUND(data!E66,0)</f>
        <v>49106</v>
      </c>
      <c r="M4" s="66">
        <f>ROUND(data!E67,0)</f>
        <v>327049</v>
      </c>
      <c r="N4" s="216">
        <f>ROUND(data!E68,0)</f>
        <v>538</v>
      </c>
      <c r="O4" s="216">
        <f>ROUND(data!E69,0)</f>
        <v>78420</v>
      </c>
      <c r="P4" s="216">
        <f>ROUND(data!E70,0)</f>
        <v>0</v>
      </c>
      <c r="Q4" s="216">
        <f>ROUND(data!E71,0)</f>
        <v>0</v>
      </c>
      <c r="R4" s="216">
        <f>ROUND(data!E72,0)</f>
        <v>0</v>
      </c>
      <c r="S4" s="216">
        <f>ROUND(data!E73,0)</f>
        <v>0</v>
      </c>
      <c r="T4" s="216">
        <f>ROUND(data!E74,0)</f>
        <v>0</v>
      </c>
      <c r="U4" s="216">
        <f>ROUND(data!E75,0)</f>
        <v>0</v>
      </c>
      <c r="V4" s="216">
        <f>ROUND(data!E76,0)</f>
        <v>0</v>
      </c>
      <c r="W4" s="216">
        <f>ROUND(data!E77,0)</f>
        <v>14994</v>
      </c>
      <c r="X4" s="216">
        <f>ROUND(data!E78,0)</f>
        <v>0</v>
      </c>
      <c r="Y4" s="216">
        <f>ROUND(data!E79,0)</f>
        <v>0</v>
      </c>
      <c r="Z4" s="216">
        <f>ROUND(data!E80,0)</f>
        <v>0</v>
      </c>
      <c r="AA4" s="216">
        <f>ROUND(data!E81,0)</f>
        <v>0</v>
      </c>
      <c r="AB4" s="216">
        <f>ROUND(data!E82,0)</f>
        <v>0</v>
      </c>
      <c r="AC4" s="216">
        <f>ROUND(data!E83,0)</f>
        <v>63426</v>
      </c>
      <c r="AD4" s="216">
        <f>ROUND(data!E84,0)</f>
        <v>0</v>
      </c>
      <c r="AE4" s="216">
        <f>ROUND(data!E89,0)</f>
        <v>13055978</v>
      </c>
      <c r="AF4" s="216">
        <f>ROUND(data!E87,0)</f>
        <v>11493553</v>
      </c>
      <c r="AG4" s="216">
        <f>IF(data!E90&gt;0,ROUND(data!E90,0),0)</f>
        <v>9752</v>
      </c>
      <c r="AH4" s="216">
        <f>IF(data!E91&gt;0,ROUND(data!E91,0),0)</f>
        <v>15263</v>
      </c>
      <c r="AI4" s="216">
        <f>IF(data!E92&gt;0,ROUND(data!E92,0),0)</f>
        <v>660</v>
      </c>
      <c r="AJ4" s="216">
        <f>IF(data!E93&gt;0,ROUND(data!E93,0),0)</f>
        <v>47825</v>
      </c>
      <c r="AK4" s="206">
        <f>IF(data!E94&gt;0,ROUND(data!E94,2),0)</f>
        <v>35.590000000000003</v>
      </c>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row>
    <row r="5" spans="1:89" s="12" customFormat="1" ht="12.6" customHeight="1" x14ac:dyDescent="0.25">
      <c r="A5" s="16" t="str">
        <f>RIGHT(data!$C$97,3)</f>
        <v>085</v>
      </c>
      <c r="B5" s="218" t="str">
        <f>RIGHT(data!$C$96,4)</f>
        <v>2022</v>
      </c>
      <c r="C5" s="16" t="str">
        <f>data!F$55</f>
        <v>6100</v>
      </c>
      <c r="D5" s="16" t="s">
        <v>1120</v>
      </c>
      <c r="E5" s="216">
        <f>ROUND(data!F59,0)</f>
        <v>0</v>
      </c>
      <c r="F5" s="206">
        <f>ROUND(data!F60,2)</f>
        <v>0</v>
      </c>
      <c r="G5" s="216">
        <f>ROUND(data!F61,0)</f>
        <v>0</v>
      </c>
      <c r="H5" s="216">
        <f>ROUND(data!F62,0)</f>
        <v>0</v>
      </c>
      <c r="I5" s="216">
        <f>ROUND(data!F63,0)</f>
        <v>0</v>
      </c>
      <c r="J5" s="216">
        <f>ROUND(data!F64,0)</f>
        <v>0</v>
      </c>
      <c r="K5" s="216">
        <f>ROUND(data!F65,0)</f>
        <v>0</v>
      </c>
      <c r="L5" s="216">
        <f>ROUND(data!F66,0)</f>
        <v>0</v>
      </c>
      <c r="M5" s="66">
        <f>ROUND(data!F67,0)</f>
        <v>0</v>
      </c>
      <c r="N5" s="216">
        <f>ROUND(data!F68,0)</f>
        <v>0</v>
      </c>
      <c r="O5" s="216">
        <f>ROUND(data!F69,0)</f>
        <v>0</v>
      </c>
      <c r="P5" s="216">
        <f>ROUND(data!F70,0)</f>
        <v>0</v>
      </c>
      <c r="Q5" s="216">
        <f>ROUND(data!F71,0)</f>
        <v>0</v>
      </c>
      <c r="R5" s="216">
        <f>ROUND(data!F72,0)</f>
        <v>0</v>
      </c>
      <c r="S5" s="216">
        <f>ROUND(data!F73,0)</f>
        <v>0</v>
      </c>
      <c r="T5" s="216">
        <f>ROUND(data!F74,0)</f>
        <v>0</v>
      </c>
      <c r="U5" s="216">
        <f>ROUND(data!F75,0)</f>
        <v>0</v>
      </c>
      <c r="V5" s="216">
        <f>ROUND(data!F76,0)</f>
        <v>0</v>
      </c>
      <c r="W5" s="216">
        <f>ROUND(data!F77,0)</f>
        <v>0</v>
      </c>
      <c r="X5" s="216">
        <f>ROUND(data!F78,0)</f>
        <v>0</v>
      </c>
      <c r="Y5" s="216">
        <f>ROUND(data!F79,0)</f>
        <v>0</v>
      </c>
      <c r="Z5" s="216">
        <f>ROUND(data!F80,0)</f>
        <v>0</v>
      </c>
      <c r="AA5" s="216">
        <f>ROUND(data!F81,0)</f>
        <v>0</v>
      </c>
      <c r="AB5" s="216">
        <f>ROUND(data!F82,0)</f>
        <v>0</v>
      </c>
      <c r="AC5" s="216">
        <f>ROUND(data!F83,0)</f>
        <v>0</v>
      </c>
      <c r="AD5" s="216">
        <f>ROUND(data!F84,0)</f>
        <v>0</v>
      </c>
      <c r="AE5" s="216">
        <f>ROUND(data!F89,0)</f>
        <v>0</v>
      </c>
      <c r="AF5" s="216">
        <f>ROUND(data!F87,0)</f>
        <v>0</v>
      </c>
      <c r="AG5" s="216">
        <f>IF(data!F90&gt;0,ROUND(data!F90,0),0)</f>
        <v>0</v>
      </c>
      <c r="AH5" s="216">
        <f>IF(data!F91&gt;0,ROUND(data!F91,0),0)</f>
        <v>0</v>
      </c>
      <c r="AI5" s="216">
        <f>IF(data!F92&gt;0,ROUND(data!F92,0),0)</f>
        <v>0</v>
      </c>
      <c r="AJ5" s="216">
        <f>IF(data!F93&gt;0,ROUND(data!F93,0),0)</f>
        <v>0</v>
      </c>
      <c r="AK5" s="206">
        <f>IF(data!F94&gt;0,ROUND(data!F94,2),0)</f>
        <v>0</v>
      </c>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row>
    <row r="6" spans="1:89" s="12" customFormat="1" ht="12.6" customHeight="1" x14ac:dyDescent="0.25">
      <c r="A6" s="16" t="str">
        <f>RIGHT(data!$C$97,3)</f>
        <v>085</v>
      </c>
      <c r="B6" s="218" t="str">
        <f>RIGHT(data!$C$96,4)</f>
        <v>2022</v>
      </c>
      <c r="C6" s="16" t="str">
        <f>data!G$55</f>
        <v>6120</v>
      </c>
      <c r="D6" s="16" t="s">
        <v>1120</v>
      </c>
      <c r="E6" s="216">
        <f>ROUND(data!G59,0)</f>
        <v>0</v>
      </c>
      <c r="F6" s="206">
        <f>ROUND(data!G60,2)</f>
        <v>0</v>
      </c>
      <c r="G6" s="216">
        <f>ROUND(data!G61,0)</f>
        <v>0</v>
      </c>
      <c r="H6" s="216">
        <f>ROUND(data!G62,0)</f>
        <v>0</v>
      </c>
      <c r="I6" s="216">
        <f>ROUND(data!G63,0)</f>
        <v>0</v>
      </c>
      <c r="J6" s="216">
        <f>ROUND(data!G64,0)</f>
        <v>0</v>
      </c>
      <c r="K6" s="216">
        <f>ROUND(data!G65,0)</f>
        <v>0</v>
      </c>
      <c r="L6" s="216">
        <f>ROUND(data!G66,0)</f>
        <v>0</v>
      </c>
      <c r="M6" s="66">
        <f>ROUND(data!G67,0)</f>
        <v>0</v>
      </c>
      <c r="N6" s="216">
        <f>ROUND(data!G68,0)</f>
        <v>0</v>
      </c>
      <c r="O6" s="216">
        <f>ROUND(data!G69,0)</f>
        <v>0</v>
      </c>
      <c r="P6" s="216">
        <f>ROUND(data!G70,0)</f>
        <v>0</v>
      </c>
      <c r="Q6" s="216">
        <f>ROUND(data!G71,0)</f>
        <v>0</v>
      </c>
      <c r="R6" s="216">
        <f>ROUND(data!G72,0)</f>
        <v>0</v>
      </c>
      <c r="S6" s="216">
        <f>ROUND(data!G73,0)</f>
        <v>0</v>
      </c>
      <c r="T6" s="216">
        <f>ROUND(data!G74,0)</f>
        <v>0</v>
      </c>
      <c r="U6" s="216">
        <f>ROUND(data!G75,0)</f>
        <v>0</v>
      </c>
      <c r="V6" s="216">
        <f>ROUND(data!G76,0)</f>
        <v>0</v>
      </c>
      <c r="W6" s="216">
        <f>ROUND(data!G77,0)</f>
        <v>0</v>
      </c>
      <c r="X6" s="216">
        <f>ROUND(data!G78,0)</f>
        <v>0</v>
      </c>
      <c r="Y6" s="216">
        <f>ROUND(data!G79,0)</f>
        <v>0</v>
      </c>
      <c r="Z6" s="216">
        <f>ROUND(data!G80,0)</f>
        <v>0</v>
      </c>
      <c r="AA6" s="216">
        <f>ROUND(data!G81,0)</f>
        <v>0</v>
      </c>
      <c r="AB6" s="216">
        <f>ROUND(data!G82,0)</f>
        <v>0</v>
      </c>
      <c r="AC6" s="216">
        <f>ROUND(data!G83,0)</f>
        <v>0</v>
      </c>
      <c r="AD6" s="216">
        <f>ROUND(data!G84,0)</f>
        <v>0</v>
      </c>
      <c r="AE6" s="216">
        <f>ROUND(data!G89,0)</f>
        <v>0</v>
      </c>
      <c r="AF6" s="216">
        <f>ROUND(data!G87,0)</f>
        <v>0</v>
      </c>
      <c r="AG6" s="216">
        <f>IF(data!G90&gt;0,ROUND(data!G90,0),0)</f>
        <v>0</v>
      </c>
      <c r="AH6" s="216">
        <f>IF(data!G91&gt;0,ROUND(data!G91,0),0)</f>
        <v>0</v>
      </c>
      <c r="AI6" s="216">
        <f>IF(data!G92&gt;0,ROUND(data!G92,0),0)</f>
        <v>0</v>
      </c>
      <c r="AJ6" s="216">
        <f>IF(data!G93&gt;0,ROUND(data!G93,0),0)</f>
        <v>0</v>
      </c>
      <c r="AK6" s="206">
        <f>IF(data!G94&gt;0,ROUND(data!G94,2),0)</f>
        <v>0</v>
      </c>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row>
    <row r="7" spans="1:89" s="12" customFormat="1" ht="12.6" customHeight="1" x14ac:dyDescent="0.25">
      <c r="A7" s="16" t="str">
        <f>RIGHT(data!$C$97,3)</f>
        <v>085</v>
      </c>
      <c r="B7" s="218" t="str">
        <f>RIGHT(data!$C$96,4)</f>
        <v>2022</v>
      </c>
      <c r="C7" s="16" t="str">
        <f>data!H$55</f>
        <v>6140</v>
      </c>
      <c r="D7" s="16" t="s">
        <v>1120</v>
      </c>
      <c r="E7" s="216">
        <f>ROUND(data!H59,0)</f>
        <v>0</v>
      </c>
      <c r="F7" s="206">
        <f>ROUND(data!H60,2)</f>
        <v>0</v>
      </c>
      <c r="G7" s="216">
        <f>ROUND(data!H61,0)</f>
        <v>0</v>
      </c>
      <c r="H7" s="216">
        <f>ROUND(data!H62,0)</f>
        <v>0</v>
      </c>
      <c r="I7" s="216">
        <f>ROUND(data!H63,0)</f>
        <v>0</v>
      </c>
      <c r="J7" s="216">
        <f>ROUND(data!H64,0)</f>
        <v>0</v>
      </c>
      <c r="K7" s="216">
        <f>ROUND(data!H65,0)</f>
        <v>0</v>
      </c>
      <c r="L7" s="216">
        <f>ROUND(data!H66,0)</f>
        <v>0</v>
      </c>
      <c r="M7" s="66">
        <f>ROUND(data!H67,0)</f>
        <v>0</v>
      </c>
      <c r="N7" s="216">
        <f>ROUND(data!H68,0)</f>
        <v>0</v>
      </c>
      <c r="O7" s="216">
        <f>ROUND(data!H69,0)</f>
        <v>0</v>
      </c>
      <c r="P7" s="216">
        <f>ROUND(data!H70,0)</f>
        <v>0</v>
      </c>
      <c r="Q7" s="216">
        <f>ROUND(data!H71,0)</f>
        <v>0</v>
      </c>
      <c r="R7" s="216">
        <f>ROUND(data!H72,0)</f>
        <v>0</v>
      </c>
      <c r="S7" s="216">
        <f>ROUND(data!H73,0)</f>
        <v>0</v>
      </c>
      <c r="T7" s="216">
        <f>ROUND(data!H74,0)</f>
        <v>0</v>
      </c>
      <c r="U7" s="216">
        <f>ROUND(data!H75,0)</f>
        <v>0</v>
      </c>
      <c r="V7" s="216">
        <f>ROUND(data!H76,0)</f>
        <v>0</v>
      </c>
      <c r="W7" s="216">
        <f>ROUND(data!H77,0)</f>
        <v>0</v>
      </c>
      <c r="X7" s="216">
        <f>ROUND(data!H78,0)</f>
        <v>0</v>
      </c>
      <c r="Y7" s="216">
        <f>ROUND(data!H79,0)</f>
        <v>0</v>
      </c>
      <c r="Z7" s="216">
        <f>ROUND(data!H80,0)</f>
        <v>0</v>
      </c>
      <c r="AA7" s="216">
        <f>ROUND(data!H81,0)</f>
        <v>0</v>
      </c>
      <c r="AB7" s="216">
        <f>ROUND(data!H82,0)</f>
        <v>0</v>
      </c>
      <c r="AC7" s="216">
        <f>ROUND(data!H83,0)</f>
        <v>0</v>
      </c>
      <c r="AD7" s="216">
        <f>ROUND(data!H84,0)</f>
        <v>0</v>
      </c>
      <c r="AE7" s="216">
        <f>ROUND(data!H89,0)</f>
        <v>0</v>
      </c>
      <c r="AF7" s="216">
        <f>ROUND(data!H87,0)</f>
        <v>0</v>
      </c>
      <c r="AG7" s="216">
        <f>IF(data!H90&gt;0,ROUND(data!H90,0),0)</f>
        <v>0</v>
      </c>
      <c r="AH7" s="216">
        <f>IF(data!H91&gt;0,ROUND(data!H91,0),0)</f>
        <v>0</v>
      </c>
      <c r="AI7" s="216">
        <f>IF(data!H92&gt;0,ROUND(data!H92,0),0)</f>
        <v>0</v>
      </c>
      <c r="AJ7" s="216">
        <f>IF(data!H93&gt;0,ROUND(data!H93,0),0)</f>
        <v>0</v>
      </c>
      <c r="AK7" s="206">
        <f>IF(data!H94&gt;0,ROUND(data!H94,2),0)</f>
        <v>0</v>
      </c>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row>
    <row r="8" spans="1:89" s="12" customFormat="1" ht="12.6" customHeight="1" x14ac:dyDescent="0.25">
      <c r="A8" s="16" t="str">
        <f>RIGHT(data!$C$97,3)</f>
        <v>085</v>
      </c>
      <c r="B8" s="218" t="str">
        <f>RIGHT(data!$C$96,4)</f>
        <v>2022</v>
      </c>
      <c r="C8" s="16" t="str">
        <f>data!I$55</f>
        <v>6150</v>
      </c>
      <c r="D8" s="16" t="s">
        <v>1120</v>
      </c>
      <c r="E8" s="216">
        <f>ROUND(data!I59,0)</f>
        <v>0</v>
      </c>
      <c r="F8" s="206">
        <f>ROUND(data!I60,2)</f>
        <v>0</v>
      </c>
      <c r="G8" s="216">
        <f>ROUND(data!I61,0)</f>
        <v>0</v>
      </c>
      <c r="H8" s="216">
        <f>ROUND(data!I62,0)</f>
        <v>0</v>
      </c>
      <c r="I8" s="216">
        <f>ROUND(data!I63,0)</f>
        <v>0</v>
      </c>
      <c r="J8" s="216">
        <f>ROUND(data!I64,0)</f>
        <v>0</v>
      </c>
      <c r="K8" s="216">
        <f>ROUND(data!I65,0)</f>
        <v>0</v>
      </c>
      <c r="L8" s="216">
        <f>ROUND(data!I66,0)</f>
        <v>0</v>
      </c>
      <c r="M8" s="66">
        <f>ROUND(data!I67,0)</f>
        <v>0</v>
      </c>
      <c r="N8" s="216">
        <f>ROUND(data!I68,0)</f>
        <v>0</v>
      </c>
      <c r="O8" s="216">
        <f>ROUND(data!I69,0)</f>
        <v>0</v>
      </c>
      <c r="P8" s="216">
        <f>ROUND(data!I70,0)</f>
        <v>0</v>
      </c>
      <c r="Q8" s="216">
        <f>ROUND(data!I71,0)</f>
        <v>0</v>
      </c>
      <c r="R8" s="216">
        <f>ROUND(data!I72,0)</f>
        <v>0</v>
      </c>
      <c r="S8" s="216">
        <f>ROUND(data!I73,0)</f>
        <v>0</v>
      </c>
      <c r="T8" s="216">
        <f>ROUND(data!I74,0)</f>
        <v>0</v>
      </c>
      <c r="U8" s="216">
        <f>ROUND(data!I75,0)</f>
        <v>0</v>
      </c>
      <c r="V8" s="216">
        <f>ROUND(data!I76,0)</f>
        <v>0</v>
      </c>
      <c r="W8" s="216">
        <f>ROUND(data!I77,0)</f>
        <v>0</v>
      </c>
      <c r="X8" s="216">
        <f>ROUND(data!I78,0)</f>
        <v>0</v>
      </c>
      <c r="Y8" s="216">
        <f>ROUND(data!I79,0)</f>
        <v>0</v>
      </c>
      <c r="Z8" s="216">
        <f>ROUND(data!I80,0)</f>
        <v>0</v>
      </c>
      <c r="AA8" s="216">
        <f>ROUND(data!I81,0)</f>
        <v>0</v>
      </c>
      <c r="AB8" s="216">
        <f>ROUND(data!I82,0)</f>
        <v>0</v>
      </c>
      <c r="AC8" s="216">
        <f>ROUND(data!I83,0)</f>
        <v>0</v>
      </c>
      <c r="AD8" s="216">
        <f>ROUND(data!I84,0)</f>
        <v>0</v>
      </c>
      <c r="AE8" s="216">
        <f>ROUND(data!I89,0)</f>
        <v>0</v>
      </c>
      <c r="AF8" s="216">
        <f>ROUND(data!I87,0)</f>
        <v>0</v>
      </c>
      <c r="AG8" s="216">
        <f>IF(data!I90&gt;0,ROUND(data!I90,0),0)</f>
        <v>0</v>
      </c>
      <c r="AH8" s="216">
        <f>IF(data!I91&gt;0,ROUND(data!I91,0),0)</f>
        <v>0</v>
      </c>
      <c r="AI8" s="216">
        <f>IF(data!I92&gt;0,ROUND(data!I92,0),0)</f>
        <v>0</v>
      </c>
      <c r="AJ8" s="216">
        <f>IF(data!I93&gt;0,ROUND(data!I93,0),0)</f>
        <v>0</v>
      </c>
      <c r="AK8" s="206">
        <f>IF(data!I94&gt;0,ROUND(data!I94,2),0)</f>
        <v>0</v>
      </c>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row>
    <row r="9" spans="1:89" s="12" customFormat="1" ht="12.6" customHeight="1" x14ac:dyDescent="0.25">
      <c r="A9" s="16" t="str">
        <f>RIGHT(data!$C$97,3)</f>
        <v>085</v>
      </c>
      <c r="B9" s="218" t="str">
        <f>RIGHT(data!$C$96,4)</f>
        <v>2022</v>
      </c>
      <c r="C9" s="16" t="str">
        <f>data!J$55</f>
        <v>6170</v>
      </c>
      <c r="D9" s="16" t="s">
        <v>1120</v>
      </c>
      <c r="E9" s="216">
        <f>ROUND(data!J59,0)</f>
        <v>161</v>
      </c>
      <c r="F9" s="206">
        <f>ROUND(data!J60,2)</f>
        <v>1.7</v>
      </c>
      <c r="G9" s="216">
        <f>ROUND(data!J61,0)</f>
        <v>220142</v>
      </c>
      <c r="H9" s="216">
        <f>ROUND(data!J62,0)</f>
        <v>48446</v>
      </c>
      <c r="I9" s="216">
        <f>ROUND(data!J63,0)</f>
        <v>19847</v>
      </c>
      <c r="J9" s="216">
        <f>ROUND(data!J64,0)</f>
        <v>10764</v>
      </c>
      <c r="K9" s="216">
        <f>ROUND(data!J65,0)</f>
        <v>0</v>
      </c>
      <c r="L9" s="216">
        <f>ROUND(data!J66,0)</f>
        <v>1955</v>
      </c>
      <c r="M9" s="66">
        <f>ROUND(data!J67,0)</f>
        <v>13012</v>
      </c>
      <c r="N9" s="216">
        <f>ROUND(data!J68,0)</f>
        <v>21</v>
      </c>
      <c r="O9" s="216">
        <f>ROUND(data!J69,0)</f>
        <v>3122</v>
      </c>
      <c r="P9" s="216">
        <f>ROUND(data!J70,0)</f>
        <v>0</v>
      </c>
      <c r="Q9" s="216">
        <f>ROUND(data!J71,0)</f>
        <v>0</v>
      </c>
      <c r="R9" s="216">
        <f>ROUND(data!J72,0)</f>
        <v>0</v>
      </c>
      <c r="S9" s="216">
        <f>ROUND(data!J73,0)</f>
        <v>0</v>
      </c>
      <c r="T9" s="216">
        <f>ROUND(data!J74,0)</f>
        <v>0</v>
      </c>
      <c r="U9" s="216">
        <f>ROUND(data!J75,0)</f>
        <v>0</v>
      </c>
      <c r="V9" s="216">
        <f>ROUND(data!J76,0)</f>
        <v>0</v>
      </c>
      <c r="W9" s="216">
        <f>ROUND(data!J77,0)</f>
        <v>597</v>
      </c>
      <c r="X9" s="216">
        <f>ROUND(data!J78,0)</f>
        <v>0</v>
      </c>
      <c r="Y9" s="216">
        <f>ROUND(data!J79,0)</f>
        <v>0</v>
      </c>
      <c r="Z9" s="216">
        <f>ROUND(data!J80,0)</f>
        <v>0</v>
      </c>
      <c r="AA9" s="216">
        <f>ROUND(data!J81,0)</f>
        <v>0</v>
      </c>
      <c r="AB9" s="216">
        <f>ROUND(data!J82,0)</f>
        <v>0</v>
      </c>
      <c r="AC9" s="216">
        <f>ROUND(data!J83,0)</f>
        <v>2525</v>
      </c>
      <c r="AD9" s="216">
        <f>ROUND(data!J84,0)</f>
        <v>0</v>
      </c>
      <c r="AE9" s="216">
        <f>ROUND(data!J89,0)</f>
        <v>267750</v>
      </c>
      <c r="AF9" s="216">
        <f>ROUND(data!J87,0)</f>
        <v>266939</v>
      </c>
      <c r="AG9" s="216">
        <f>IF(data!J90&gt;0,ROUND(data!J90,0),0)</f>
        <v>388</v>
      </c>
      <c r="AH9" s="216">
        <f>IF(data!J91&gt;0,ROUND(data!J91,0),0)</f>
        <v>0</v>
      </c>
      <c r="AI9" s="216">
        <f>IF(data!J92&gt;0,ROUND(data!J92,0),0)</f>
        <v>26</v>
      </c>
      <c r="AJ9" s="216">
        <f>IF(data!J93&gt;0,ROUND(data!J93,0),0)</f>
        <v>1904</v>
      </c>
      <c r="AK9" s="206">
        <f>IF(data!J94&gt;0,ROUND(data!J94,2),0)</f>
        <v>1.42</v>
      </c>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row>
    <row r="10" spans="1:89" s="12" customFormat="1" ht="12.6" customHeight="1" x14ac:dyDescent="0.25">
      <c r="A10" s="16" t="str">
        <f>RIGHT(data!$C$97,3)</f>
        <v>085</v>
      </c>
      <c r="B10" s="218" t="str">
        <f>RIGHT(data!$C$96,4)</f>
        <v>2022</v>
      </c>
      <c r="C10" s="16" t="str">
        <f>data!K$55</f>
        <v>6200</v>
      </c>
      <c r="D10" s="16" t="s">
        <v>1120</v>
      </c>
      <c r="E10" s="216">
        <f>ROUND(data!K59,0)</f>
        <v>0</v>
      </c>
      <c r="F10" s="206">
        <f>ROUND(data!K60,2)</f>
        <v>0</v>
      </c>
      <c r="G10" s="216">
        <f>ROUND(data!K61,0)</f>
        <v>0</v>
      </c>
      <c r="H10" s="216">
        <f>ROUND(data!K62,0)</f>
        <v>0</v>
      </c>
      <c r="I10" s="216">
        <f>ROUND(data!K63,0)</f>
        <v>0</v>
      </c>
      <c r="J10" s="216">
        <f>ROUND(data!K64,0)</f>
        <v>0</v>
      </c>
      <c r="K10" s="216">
        <f>ROUND(data!K65,0)</f>
        <v>0</v>
      </c>
      <c r="L10" s="216">
        <f>ROUND(data!K66,0)</f>
        <v>0</v>
      </c>
      <c r="M10" s="66">
        <f>ROUND(data!K67,0)</f>
        <v>0</v>
      </c>
      <c r="N10" s="216">
        <f>ROUND(data!K68,0)</f>
        <v>0</v>
      </c>
      <c r="O10" s="216">
        <f>ROUND(data!K69,0)</f>
        <v>0</v>
      </c>
      <c r="P10" s="216">
        <f>ROUND(data!K70,0)</f>
        <v>0</v>
      </c>
      <c r="Q10" s="216">
        <f>ROUND(data!K71,0)</f>
        <v>0</v>
      </c>
      <c r="R10" s="216">
        <f>ROUND(data!K72,0)</f>
        <v>0</v>
      </c>
      <c r="S10" s="216">
        <f>ROUND(data!K73,0)</f>
        <v>0</v>
      </c>
      <c r="T10" s="216">
        <f>ROUND(data!K74,0)</f>
        <v>0</v>
      </c>
      <c r="U10" s="216">
        <f>ROUND(data!K75,0)</f>
        <v>0</v>
      </c>
      <c r="V10" s="216">
        <f>ROUND(data!K76,0)</f>
        <v>0</v>
      </c>
      <c r="W10" s="216">
        <f>ROUND(data!K77,0)</f>
        <v>0</v>
      </c>
      <c r="X10" s="216">
        <f>ROUND(data!K78,0)</f>
        <v>0</v>
      </c>
      <c r="Y10" s="216">
        <f>ROUND(data!K79,0)</f>
        <v>0</v>
      </c>
      <c r="Z10" s="216">
        <f>ROUND(data!K80,0)</f>
        <v>0</v>
      </c>
      <c r="AA10" s="216">
        <f>ROUND(data!K81,0)</f>
        <v>0</v>
      </c>
      <c r="AB10" s="216">
        <f>ROUND(data!K82,0)</f>
        <v>0</v>
      </c>
      <c r="AC10" s="216">
        <f>ROUND(data!K83,0)</f>
        <v>0</v>
      </c>
      <c r="AD10" s="216">
        <f>ROUND(data!K84,0)</f>
        <v>0</v>
      </c>
      <c r="AE10" s="216">
        <f>ROUND(data!K89,0)</f>
        <v>0</v>
      </c>
      <c r="AF10" s="216">
        <f>ROUND(data!K87,0)</f>
        <v>0</v>
      </c>
      <c r="AG10" s="216">
        <f>IF(data!K90&gt;0,ROUND(data!K90,0),0)</f>
        <v>0</v>
      </c>
      <c r="AH10" s="216">
        <f>IF(data!K91&gt;0,ROUND(data!K91,0),0)</f>
        <v>0</v>
      </c>
      <c r="AI10" s="216">
        <f>IF(data!K92&gt;0,ROUND(data!K92,0),0)</f>
        <v>0</v>
      </c>
      <c r="AJ10" s="216">
        <f>IF(data!K93&gt;0,ROUND(data!K93,0),0)</f>
        <v>0</v>
      </c>
      <c r="AK10" s="206">
        <f>IF(data!K94&gt;0,ROUND(data!K94,2),0)</f>
        <v>0</v>
      </c>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row>
    <row r="11" spans="1:89" s="12" customFormat="1" ht="12.6" customHeight="1" x14ac:dyDescent="0.25">
      <c r="A11" s="16" t="str">
        <f>RIGHT(data!$C$97,3)</f>
        <v>085</v>
      </c>
      <c r="B11" s="218" t="str">
        <f>RIGHT(data!$C$96,4)</f>
        <v>2022</v>
      </c>
      <c r="C11" s="16" t="str">
        <f>data!L$55</f>
        <v>6210</v>
      </c>
      <c r="D11" s="16" t="s">
        <v>1120</v>
      </c>
      <c r="E11" s="216">
        <f>ROUND(data!L59,0)</f>
        <v>94</v>
      </c>
      <c r="F11" s="206">
        <f>ROUND(data!L60,2)</f>
        <v>0.99</v>
      </c>
      <c r="G11" s="216">
        <f>ROUND(data!L61,0)</f>
        <v>128530</v>
      </c>
      <c r="H11" s="216">
        <f>ROUND(data!L62,0)</f>
        <v>28285</v>
      </c>
      <c r="I11" s="216">
        <f>ROUND(data!L63,0)</f>
        <v>11588</v>
      </c>
      <c r="J11" s="216">
        <f>ROUND(data!L64,0)</f>
        <v>6284</v>
      </c>
      <c r="K11" s="216">
        <f>ROUND(data!L65,0)</f>
        <v>0</v>
      </c>
      <c r="L11" s="216">
        <f>ROUND(data!L66,0)</f>
        <v>1141</v>
      </c>
      <c r="M11" s="66">
        <f>ROUND(data!L67,0)</f>
        <v>7613</v>
      </c>
      <c r="N11" s="216">
        <f>ROUND(data!L68,0)</f>
        <v>13</v>
      </c>
      <c r="O11" s="216">
        <f>ROUND(data!L69,0)</f>
        <v>1823</v>
      </c>
      <c r="P11" s="216">
        <f>ROUND(data!L70,0)</f>
        <v>0</v>
      </c>
      <c r="Q11" s="216">
        <f>ROUND(data!L71,0)</f>
        <v>0</v>
      </c>
      <c r="R11" s="216">
        <f>ROUND(data!L72,0)</f>
        <v>0</v>
      </c>
      <c r="S11" s="216">
        <f>ROUND(data!L73,0)</f>
        <v>0</v>
      </c>
      <c r="T11" s="216">
        <f>ROUND(data!L74,0)</f>
        <v>0</v>
      </c>
      <c r="U11" s="216">
        <f>ROUND(data!L75,0)</f>
        <v>0</v>
      </c>
      <c r="V11" s="216">
        <f>ROUND(data!L76,0)</f>
        <v>0</v>
      </c>
      <c r="W11" s="216">
        <f>ROUND(data!L77,0)</f>
        <v>349</v>
      </c>
      <c r="X11" s="216">
        <f>ROUND(data!L78,0)</f>
        <v>0</v>
      </c>
      <c r="Y11" s="216">
        <f>ROUND(data!L79,0)</f>
        <v>0</v>
      </c>
      <c r="Z11" s="216">
        <f>ROUND(data!L80,0)</f>
        <v>0</v>
      </c>
      <c r="AA11" s="216">
        <f>ROUND(data!L81,0)</f>
        <v>0</v>
      </c>
      <c r="AB11" s="216">
        <f>ROUND(data!L82,0)</f>
        <v>0</v>
      </c>
      <c r="AC11" s="216">
        <f>ROUND(data!L83,0)</f>
        <v>1474</v>
      </c>
      <c r="AD11" s="216">
        <f>ROUND(data!L84,0)</f>
        <v>0</v>
      </c>
      <c r="AE11" s="216">
        <f>ROUND(data!L89,0)</f>
        <v>171093</v>
      </c>
      <c r="AF11" s="216">
        <f>ROUND(data!L87,0)</f>
        <v>171093</v>
      </c>
      <c r="AG11" s="216">
        <f>IF(data!L90&gt;0,ROUND(data!L90,0),0)</f>
        <v>227</v>
      </c>
      <c r="AH11" s="216">
        <f>IF(data!L91&gt;0,ROUND(data!L91,0),0)</f>
        <v>355</v>
      </c>
      <c r="AI11" s="216">
        <f>IF(data!L92&gt;0,ROUND(data!L92,0),0)</f>
        <v>15</v>
      </c>
      <c r="AJ11" s="216">
        <f>IF(data!L93&gt;0,ROUND(data!L93,0),0)</f>
        <v>1112</v>
      </c>
      <c r="AK11" s="206">
        <f>IF(data!L94&gt;0,ROUND(data!L94,2),0)</f>
        <v>0.83</v>
      </c>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row>
    <row r="12" spans="1:89" s="12" customFormat="1" ht="12.6" customHeight="1" x14ac:dyDescent="0.25">
      <c r="A12" s="16" t="str">
        <f>RIGHT(data!$C$97,3)</f>
        <v>085</v>
      </c>
      <c r="B12" s="218" t="str">
        <f>RIGHT(data!$C$96,4)</f>
        <v>2022</v>
      </c>
      <c r="C12" s="16" t="str">
        <f>data!M$55</f>
        <v>6330</v>
      </c>
      <c r="D12" s="16" t="s">
        <v>1120</v>
      </c>
      <c r="E12" s="216">
        <f>ROUND(data!M59,0)</f>
        <v>16183</v>
      </c>
      <c r="F12" s="206">
        <f>ROUND(data!M60,2)</f>
        <v>10.63</v>
      </c>
      <c r="G12" s="216">
        <f>ROUND(data!M61,0)</f>
        <v>1100979</v>
      </c>
      <c r="H12" s="216">
        <f>ROUND(data!M62,0)</f>
        <v>242289</v>
      </c>
      <c r="I12" s="216">
        <f>ROUND(data!M63,0)</f>
        <v>0</v>
      </c>
      <c r="J12" s="216">
        <f>ROUND(data!M64,0)</f>
        <v>6376</v>
      </c>
      <c r="K12" s="216">
        <f>ROUND(data!M65,0)</f>
        <v>0</v>
      </c>
      <c r="L12" s="216">
        <f>ROUND(data!M66,0)</f>
        <v>228123</v>
      </c>
      <c r="M12" s="66">
        <f>ROUND(data!M67,0)</f>
        <v>0</v>
      </c>
      <c r="N12" s="216">
        <f>ROUND(data!M68,0)</f>
        <v>26814</v>
      </c>
      <c r="O12" s="216">
        <f>ROUND(data!M69,0)</f>
        <v>34354</v>
      </c>
      <c r="P12" s="216">
        <f>ROUND(data!M70,0)</f>
        <v>0</v>
      </c>
      <c r="Q12" s="216">
        <f>ROUND(data!M71,0)</f>
        <v>0</v>
      </c>
      <c r="R12" s="216">
        <f>ROUND(data!M72,0)</f>
        <v>0</v>
      </c>
      <c r="S12" s="216">
        <f>ROUND(data!M73,0)</f>
        <v>0</v>
      </c>
      <c r="T12" s="216">
        <f>ROUND(data!M74,0)</f>
        <v>0</v>
      </c>
      <c r="U12" s="216">
        <f>ROUND(data!M75,0)</f>
        <v>0</v>
      </c>
      <c r="V12" s="216">
        <f>ROUND(data!M76,0)</f>
        <v>0</v>
      </c>
      <c r="W12" s="216">
        <f>ROUND(data!M77,0)</f>
        <v>103</v>
      </c>
      <c r="X12" s="216">
        <f>ROUND(data!M78,0)</f>
        <v>0</v>
      </c>
      <c r="Y12" s="216">
        <f>ROUND(data!M79,0)</f>
        <v>0</v>
      </c>
      <c r="Z12" s="216">
        <f>ROUND(data!M80,0)</f>
        <v>0</v>
      </c>
      <c r="AA12" s="216">
        <f>ROUND(data!M81,0)</f>
        <v>0</v>
      </c>
      <c r="AB12" s="216">
        <f>ROUND(data!M82,0)</f>
        <v>0</v>
      </c>
      <c r="AC12" s="216">
        <f>ROUND(data!M83,0)</f>
        <v>34251</v>
      </c>
      <c r="AD12" s="216">
        <f>ROUND(data!M84,0)</f>
        <v>0</v>
      </c>
      <c r="AE12" s="216">
        <f>ROUND(data!M89,0)</f>
        <v>3316315</v>
      </c>
      <c r="AF12" s="216">
        <f>ROUND(data!M87,0)</f>
        <v>3316315</v>
      </c>
      <c r="AG12" s="216">
        <f>IF(data!M90&gt;0,ROUND(data!M90,0),0)</f>
        <v>0</v>
      </c>
      <c r="AH12" s="216">
        <f>IF(data!M91&gt;0,ROUND(data!M91,0),0)</f>
        <v>0</v>
      </c>
      <c r="AI12" s="216">
        <f>IF(data!M92&gt;0,ROUND(data!M92,0),0)</f>
        <v>0</v>
      </c>
      <c r="AJ12" s="216">
        <f>IF(data!M93&gt;0,ROUND(data!M93,0),0)</f>
        <v>0</v>
      </c>
      <c r="AK12" s="206">
        <f>IF(data!M94&gt;0,ROUND(data!M94,2),0)</f>
        <v>0</v>
      </c>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row>
    <row r="13" spans="1:89" s="12" customFormat="1" ht="12.6" customHeight="1" x14ac:dyDescent="0.25">
      <c r="A13" s="16" t="str">
        <f>RIGHT(data!$C$97,3)</f>
        <v>085</v>
      </c>
      <c r="B13" s="218" t="str">
        <f>RIGHT(data!$C$96,4)</f>
        <v>2022</v>
      </c>
      <c r="C13" s="16" t="str">
        <f>data!N$55</f>
        <v>6400</v>
      </c>
      <c r="D13" s="16" t="s">
        <v>1120</v>
      </c>
      <c r="E13" s="216">
        <f>ROUND(data!N59,0)</f>
        <v>0</v>
      </c>
      <c r="F13" s="206">
        <f>ROUND(data!N60,2)</f>
        <v>0</v>
      </c>
      <c r="G13" s="216">
        <f>ROUND(data!N61,0)</f>
        <v>0</v>
      </c>
      <c r="H13" s="216">
        <f>ROUND(data!N62,0)</f>
        <v>0</v>
      </c>
      <c r="I13" s="216">
        <f>ROUND(data!N63,0)</f>
        <v>0</v>
      </c>
      <c r="J13" s="216">
        <f>ROUND(data!N64,0)</f>
        <v>0</v>
      </c>
      <c r="K13" s="216">
        <f>ROUND(data!N65,0)</f>
        <v>0</v>
      </c>
      <c r="L13" s="216">
        <f>ROUND(data!N66,0)</f>
        <v>0</v>
      </c>
      <c r="M13" s="66">
        <f>ROUND(data!N67,0)</f>
        <v>0</v>
      </c>
      <c r="N13" s="216">
        <f>ROUND(data!N68,0)</f>
        <v>0</v>
      </c>
      <c r="O13" s="216">
        <f>ROUND(data!N69,0)</f>
        <v>0</v>
      </c>
      <c r="P13" s="216">
        <f>ROUND(data!N70,0)</f>
        <v>0</v>
      </c>
      <c r="Q13" s="216">
        <f>ROUND(data!N71,0)</f>
        <v>0</v>
      </c>
      <c r="R13" s="216">
        <f>ROUND(data!N72,0)</f>
        <v>0</v>
      </c>
      <c r="S13" s="216">
        <f>ROUND(data!N73,0)</f>
        <v>0</v>
      </c>
      <c r="T13" s="216">
        <f>ROUND(data!N74,0)</f>
        <v>0</v>
      </c>
      <c r="U13" s="216">
        <f>ROUND(data!N75,0)</f>
        <v>0</v>
      </c>
      <c r="V13" s="216">
        <f>ROUND(data!N76,0)</f>
        <v>0</v>
      </c>
      <c r="W13" s="216">
        <f>ROUND(data!N77,0)</f>
        <v>0</v>
      </c>
      <c r="X13" s="216">
        <f>ROUND(data!N78,0)</f>
        <v>0</v>
      </c>
      <c r="Y13" s="216">
        <f>ROUND(data!N79,0)</f>
        <v>0</v>
      </c>
      <c r="Z13" s="216">
        <f>ROUND(data!N80,0)</f>
        <v>0</v>
      </c>
      <c r="AA13" s="216">
        <f>ROUND(data!N81,0)</f>
        <v>0</v>
      </c>
      <c r="AB13" s="216">
        <f>ROUND(data!N82,0)</f>
        <v>0</v>
      </c>
      <c r="AC13" s="216">
        <f>ROUND(data!N83,0)</f>
        <v>0</v>
      </c>
      <c r="AD13" s="216">
        <f>ROUND(data!N84,0)</f>
        <v>0</v>
      </c>
      <c r="AE13" s="216">
        <f>ROUND(data!N89,0)</f>
        <v>0</v>
      </c>
      <c r="AF13" s="216">
        <f>ROUND(data!N87,0)</f>
        <v>0</v>
      </c>
      <c r="AG13" s="216">
        <f>IF(data!N90&gt;0,ROUND(data!N90,0),0)</f>
        <v>0</v>
      </c>
      <c r="AH13" s="216">
        <f>IF(data!N91&gt;0,ROUND(data!N91,0),0)</f>
        <v>0</v>
      </c>
      <c r="AI13" s="216">
        <f>IF(data!N92&gt;0,ROUND(data!N92,0),0)</f>
        <v>0</v>
      </c>
      <c r="AJ13" s="216">
        <f>IF(data!N93&gt;0,ROUND(data!N93,0),0)</f>
        <v>0</v>
      </c>
      <c r="AK13" s="206">
        <f>IF(data!N94&gt;0,ROUND(data!N94,2),0)</f>
        <v>0</v>
      </c>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row>
    <row r="14" spans="1:89" s="12" customFormat="1" ht="12.6" customHeight="1" x14ac:dyDescent="0.25">
      <c r="A14" s="16" t="str">
        <f>RIGHT(data!$C$97,3)</f>
        <v>085</v>
      </c>
      <c r="B14" s="218" t="str">
        <f>RIGHT(data!$C$96,4)</f>
        <v>2022</v>
      </c>
      <c r="C14" s="16" t="str">
        <f>data!O$55</f>
        <v>7010</v>
      </c>
      <c r="D14" s="16" t="s">
        <v>1120</v>
      </c>
      <c r="E14" s="216">
        <f>ROUND(data!O59,0)</f>
        <v>62</v>
      </c>
      <c r="F14" s="206">
        <f>ROUND(data!O60,2)</f>
        <v>0.65</v>
      </c>
      <c r="G14" s="216">
        <f>ROUND(data!O61,0)</f>
        <v>84775</v>
      </c>
      <c r="H14" s="216">
        <f>ROUND(data!O62,0)</f>
        <v>18656</v>
      </c>
      <c r="I14" s="216">
        <f>ROUND(data!O63,0)</f>
        <v>7643</v>
      </c>
      <c r="J14" s="216">
        <f>ROUND(data!O64,0)</f>
        <v>4145</v>
      </c>
      <c r="K14" s="216">
        <f>ROUND(data!O65,0)</f>
        <v>0</v>
      </c>
      <c r="L14" s="216">
        <f>ROUND(data!O66,0)</f>
        <v>753</v>
      </c>
      <c r="M14" s="66">
        <f>ROUND(data!O67,0)</f>
        <v>5030</v>
      </c>
      <c r="N14" s="216">
        <f>ROUND(data!O68,0)</f>
        <v>8</v>
      </c>
      <c r="O14" s="216">
        <f>ROUND(data!O69,0)</f>
        <v>1202</v>
      </c>
      <c r="P14" s="216">
        <f>ROUND(data!O70,0)</f>
        <v>0</v>
      </c>
      <c r="Q14" s="216">
        <f>ROUND(data!O71,0)</f>
        <v>0</v>
      </c>
      <c r="R14" s="216">
        <f>ROUND(data!O72,0)</f>
        <v>0</v>
      </c>
      <c r="S14" s="216">
        <f>ROUND(data!O73,0)</f>
        <v>0</v>
      </c>
      <c r="T14" s="216">
        <f>ROUND(data!O74,0)</f>
        <v>0</v>
      </c>
      <c r="U14" s="216">
        <f>ROUND(data!O75,0)</f>
        <v>0</v>
      </c>
      <c r="V14" s="216">
        <f>ROUND(data!O76,0)</f>
        <v>0</v>
      </c>
      <c r="W14" s="216">
        <f>ROUND(data!O77,0)</f>
        <v>230</v>
      </c>
      <c r="X14" s="216">
        <f>ROUND(data!O78,0)</f>
        <v>0</v>
      </c>
      <c r="Y14" s="216">
        <f>ROUND(data!O79,0)</f>
        <v>0</v>
      </c>
      <c r="Z14" s="216">
        <f>ROUND(data!O80,0)</f>
        <v>0</v>
      </c>
      <c r="AA14" s="216">
        <f>ROUND(data!O81,0)</f>
        <v>0</v>
      </c>
      <c r="AB14" s="216">
        <f>ROUND(data!O82,0)</f>
        <v>0</v>
      </c>
      <c r="AC14" s="216">
        <f>ROUND(data!O83,0)</f>
        <v>972</v>
      </c>
      <c r="AD14" s="216">
        <f>ROUND(data!O84,0)</f>
        <v>0</v>
      </c>
      <c r="AE14" s="216">
        <f>ROUND(data!O89,0)</f>
        <v>980016</v>
      </c>
      <c r="AF14" s="216">
        <f>ROUND(data!O87,0)</f>
        <v>820696</v>
      </c>
      <c r="AG14" s="216">
        <f>IF(data!O90&gt;0,ROUND(data!O90,0),0)</f>
        <v>150</v>
      </c>
      <c r="AH14" s="216">
        <f>IF(data!O91&gt;0,ROUND(data!O91,0),0)</f>
        <v>0</v>
      </c>
      <c r="AI14" s="216">
        <f>IF(data!O92&gt;0,ROUND(data!O92,0),0)</f>
        <v>10</v>
      </c>
      <c r="AJ14" s="216">
        <f>IF(data!O93&gt;0,ROUND(data!O93,0),0)</f>
        <v>733</v>
      </c>
      <c r="AK14" s="206">
        <f>IF(data!O94&gt;0,ROUND(data!O94,2),0)</f>
        <v>0.55000000000000004</v>
      </c>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row>
    <row r="15" spans="1:89" s="12" customFormat="1" ht="12.6" customHeight="1" x14ac:dyDescent="0.25">
      <c r="A15" s="16" t="str">
        <f>RIGHT(data!$C$97,3)</f>
        <v>085</v>
      </c>
      <c r="B15" s="218" t="str">
        <f>RIGHT(data!$C$96,4)</f>
        <v>2022</v>
      </c>
      <c r="C15" s="16" t="str">
        <f>data!P$55</f>
        <v>7020</v>
      </c>
      <c r="D15" s="16" t="s">
        <v>1120</v>
      </c>
      <c r="E15" s="216">
        <f>ROUND(data!P59,0)</f>
        <v>187173</v>
      </c>
      <c r="F15" s="206">
        <f>ROUND(data!P60,2)</f>
        <v>12.89</v>
      </c>
      <c r="G15" s="216">
        <f>ROUND(data!P61,0)</f>
        <v>1400867</v>
      </c>
      <c r="H15" s="216">
        <f>ROUND(data!P62,0)</f>
        <v>308285</v>
      </c>
      <c r="I15" s="216">
        <f>ROUND(data!P63,0)</f>
        <v>426648</v>
      </c>
      <c r="J15" s="216">
        <f>ROUND(data!P64,0)</f>
        <v>650362</v>
      </c>
      <c r="K15" s="216">
        <f>ROUND(data!P65,0)</f>
        <v>6179</v>
      </c>
      <c r="L15" s="216">
        <f>ROUND(data!P66,0)</f>
        <v>28877</v>
      </c>
      <c r="M15" s="66">
        <f>ROUND(data!P67,0)</f>
        <v>400829</v>
      </c>
      <c r="N15" s="216">
        <f>ROUND(data!P68,0)</f>
        <v>5094</v>
      </c>
      <c r="O15" s="216">
        <f>ROUND(data!P69,0)</f>
        <v>77742</v>
      </c>
      <c r="P15" s="216">
        <f>ROUND(data!P70,0)</f>
        <v>0</v>
      </c>
      <c r="Q15" s="216">
        <f>ROUND(data!P71,0)</f>
        <v>0</v>
      </c>
      <c r="R15" s="216">
        <f>ROUND(data!P72,0)</f>
        <v>0</v>
      </c>
      <c r="S15" s="216">
        <f>ROUND(data!P73,0)</f>
        <v>0</v>
      </c>
      <c r="T15" s="216">
        <f>ROUND(data!P74,0)</f>
        <v>0</v>
      </c>
      <c r="U15" s="216">
        <f>ROUND(data!P75,0)</f>
        <v>0</v>
      </c>
      <c r="V15" s="216">
        <f>ROUND(data!P76,0)</f>
        <v>0</v>
      </c>
      <c r="W15" s="216">
        <f>ROUND(data!P77,0)</f>
        <v>71944</v>
      </c>
      <c r="X15" s="216">
        <f>ROUND(data!P78,0)</f>
        <v>0</v>
      </c>
      <c r="Y15" s="216">
        <f>ROUND(data!P79,0)</f>
        <v>0</v>
      </c>
      <c r="Z15" s="216">
        <f>ROUND(data!P80,0)</f>
        <v>0</v>
      </c>
      <c r="AA15" s="216">
        <f>ROUND(data!P81,0)</f>
        <v>0</v>
      </c>
      <c r="AB15" s="216">
        <f>ROUND(data!P82,0)</f>
        <v>0</v>
      </c>
      <c r="AC15" s="216">
        <f>ROUND(data!P83,0)</f>
        <v>5798</v>
      </c>
      <c r="AD15" s="216">
        <f>ROUND(data!P84,0)</f>
        <v>0</v>
      </c>
      <c r="AE15" s="216">
        <f>ROUND(data!P89,0)</f>
        <v>32227515</v>
      </c>
      <c r="AF15" s="216">
        <f>ROUND(data!P87,0)</f>
        <v>6784779</v>
      </c>
      <c r="AG15" s="216">
        <f>IF(data!P90&gt;0,ROUND(data!P90,0),0)</f>
        <v>11952</v>
      </c>
      <c r="AH15" s="216">
        <f>IF(data!P91&gt;0,ROUND(data!P91,0),0)</f>
        <v>0</v>
      </c>
      <c r="AI15" s="216">
        <f>IF(data!P92&gt;0,ROUND(data!P92,0),0)</f>
        <v>440</v>
      </c>
      <c r="AJ15" s="216">
        <f>IF(data!P93&gt;0,ROUND(data!P93,0),0)</f>
        <v>37239</v>
      </c>
      <c r="AK15" s="206">
        <f>IF(data!P94&gt;0,ROUND(data!P94,2),0)</f>
        <v>7.22</v>
      </c>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row>
    <row r="16" spans="1:89" s="12" customFormat="1" ht="12.6" customHeight="1" x14ac:dyDescent="0.25">
      <c r="A16" s="16" t="str">
        <f>RIGHT(data!$C$97,3)</f>
        <v>085</v>
      </c>
      <c r="B16" s="218" t="str">
        <f>RIGHT(data!$C$96,4)</f>
        <v>2022</v>
      </c>
      <c r="C16" s="16" t="str">
        <f>data!Q$55</f>
        <v>7030</v>
      </c>
      <c r="D16" s="16" t="s">
        <v>1120</v>
      </c>
      <c r="E16" s="216">
        <f>ROUND(data!Q59,0)</f>
        <v>36897</v>
      </c>
      <c r="F16" s="206">
        <f>ROUND(data!Q60,2)</f>
        <v>5.0999999999999996</v>
      </c>
      <c r="G16" s="216">
        <f>ROUND(data!Q61,0)</f>
        <v>641193</v>
      </c>
      <c r="H16" s="216">
        <f>ROUND(data!Q62,0)</f>
        <v>141106</v>
      </c>
      <c r="I16" s="216">
        <f>ROUND(data!Q63,0)</f>
        <v>0</v>
      </c>
      <c r="J16" s="216">
        <f>ROUND(data!Q64,0)</f>
        <v>35861</v>
      </c>
      <c r="K16" s="216">
        <f>ROUND(data!Q65,0)</f>
        <v>0</v>
      </c>
      <c r="L16" s="216">
        <f>ROUND(data!Q66,0)</f>
        <v>0</v>
      </c>
      <c r="M16" s="66">
        <f>ROUND(data!Q67,0)</f>
        <v>19753</v>
      </c>
      <c r="N16" s="216">
        <f>ROUND(data!Q68,0)</f>
        <v>0</v>
      </c>
      <c r="O16" s="216">
        <f>ROUND(data!Q69,0)</f>
        <v>0</v>
      </c>
      <c r="P16" s="216">
        <f>ROUND(data!Q70,0)</f>
        <v>0</v>
      </c>
      <c r="Q16" s="216">
        <f>ROUND(data!Q71,0)</f>
        <v>0</v>
      </c>
      <c r="R16" s="216">
        <f>ROUND(data!Q72,0)</f>
        <v>0</v>
      </c>
      <c r="S16" s="216">
        <f>ROUND(data!Q73,0)</f>
        <v>0</v>
      </c>
      <c r="T16" s="216">
        <f>ROUND(data!Q74,0)</f>
        <v>0</v>
      </c>
      <c r="U16" s="216">
        <f>ROUND(data!Q75,0)</f>
        <v>0</v>
      </c>
      <c r="V16" s="216">
        <f>ROUND(data!Q76,0)</f>
        <v>0</v>
      </c>
      <c r="W16" s="216">
        <f>ROUND(data!Q77,0)</f>
        <v>0</v>
      </c>
      <c r="X16" s="216">
        <f>ROUND(data!Q78,0)</f>
        <v>0</v>
      </c>
      <c r="Y16" s="216">
        <f>ROUND(data!Q79,0)</f>
        <v>0</v>
      </c>
      <c r="Z16" s="216">
        <f>ROUND(data!Q80,0)</f>
        <v>0</v>
      </c>
      <c r="AA16" s="216">
        <f>ROUND(data!Q81,0)</f>
        <v>0</v>
      </c>
      <c r="AB16" s="216">
        <f>ROUND(data!Q82,0)</f>
        <v>0</v>
      </c>
      <c r="AC16" s="216">
        <f>ROUND(data!Q83,0)</f>
        <v>0</v>
      </c>
      <c r="AD16" s="216">
        <f>ROUND(data!Q84,0)</f>
        <v>0</v>
      </c>
      <c r="AE16" s="216">
        <f>ROUND(data!Q89,0)</f>
        <v>5468788</v>
      </c>
      <c r="AF16" s="216">
        <f>ROUND(data!Q87,0)</f>
        <v>458317</v>
      </c>
      <c r="AG16" s="216">
        <f>IF(data!Q90&gt;0,ROUND(data!Q90,0),0)</f>
        <v>589</v>
      </c>
      <c r="AH16" s="216">
        <f>IF(data!Q91&gt;0,ROUND(data!Q91,0),0)</f>
        <v>0</v>
      </c>
      <c r="AI16" s="216">
        <f>IF(data!Q92&gt;0,ROUND(data!Q92,0),0)</f>
        <v>107</v>
      </c>
      <c r="AJ16" s="216">
        <f>IF(data!Q93&gt;0,ROUND(data!Q93,0),0)</f>
        <v>8069</v>
      </c>
      <c r="AK16" s="206">
        <f>IF(data!Q94&gt;0,ROUND(data!Q94,2),0)</f>
        <v>5.0999999999999996</v>
      </c>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row>
    <row r="17" spans="1:89" s="12" customFormat="1" ht="12.6" customHeight="1" x14ac:dyDescent="0.25">
      <c r="A17" s="16" t="str">
        <f>RIGHT(data!$C$97,3)</f>
        <v>085</v>
      </c>
      <c r="B17" s="218" t="str">
        <f>RIGHT(data!$C$96,4)</f>
        <v>2022</v>
      </c>
      <c r="C17" s="16" t="str">
        <f>data!R$55</f>
        <v>7040</v>
      </c>
      <c r="D17" s="16" t="s">
        <v>1120</v>
      </c>
      <c r="E17" s="216">
        <f>ROUND(data!R59,0)</f>
        <v>187173</v>
      </c>
      <c r="F17" s="206">
        <f>ROUND(data!R60,2)</f>
        <v>23.02</v>
      </c>
      <c r="G17" s="216">
        <f>ROUND(data!R61,0)</f>
        <v>1261905</v>
      </c>
      <c r="H17" s="216">
        <f>ROUND(data!R62,0)</f>
        <v>277704</v>
      </c>
      <c r="I17" s="216">
        <f>ROUND(data!R63,0)</f>
        <v>0</v>
      </c>
      <c r="J17" s="216">
        <f>ROUND(data!R64,0)</f>
        <v>79722</v>
      </c>
      <c r="K17" s="216">
        <f>ROUND(data!R65,0)</f>
        <v>0</v>
      </c>
      <c r="L17" s="216">
        <f>ROUND(data!R66,0)</f>
        <v>5478</v>
      </c>
      <c r="M17" s="66">
        <f>ROUND(data!R67,0)</f>
        <v>4561</v>
      </c>
      <c r="N17" s="216">
        <f>ROUND(data!R68,0)</f>
        <v>2071</v>
      </c>
      <c r="O17" s="216">
        <f>ROUND(data!R69,0)</f>
        <v>44778</v>
      </c>
      <c r="P17" s="216">
        <f>ROUND(data!R70,0)</f>
        <v>0</v>
      </c>
      <c r="Q17" s="216">
        <f>ROUND(data!R71,0)</f>
        <v>0</v>
      </c>
      <c r="R17" s="216">
        <f>ROUND(data!R72,0)</f>
        <v>0</v>
      </c>
      <c r="S17" s="216">
        <f>ROUND(data!R73,0)</f>
        <v>0</v>
      </c>
      <c r="T17" s="216">
        <f>ROUND(data!R74,0)</f>
        <v>0</v>
      </c>
      <c r="U17" s="216">
        <f>ROUND(data!R75,0)</f>
        <v>0</v>
      </c>
      <c r="V17" s="216">
        <f>ROUND(data!R76,0)</f>
        <v>0</v>
      </c>
      <c r="W17" s="216">
        <f>ROUND(data!R77,0)</f>
        <v>7184</v>
      </c>
      <c r="X17" s="216">
        <f>ROUND(data!R78,0)</f>
        <v>0</v>
      </c>
      <c r="Y17" s="216">
        <f>ROUND(data!R79,0)</f>
        <v>0</v>
      </c>
      <c r="Z17" s="216">
        <f>ROUND(data!R80,0)</f>
        <v>0</v>
      </c>
      <c r="AA17" s="216">
        <f>ROUND(data!R81,0)</f>
        <v>0</v>
      </c>
      <c r="AB17" s="216">
        <f>ROUND(data!R82,0)</f>
        <v>0</v>
      </c>
      <c r="AC17" s="216">
        <f>ROUND(data!R83,0)</f>
        <v>37594</v>
      </c>
      <c r="AD17" s="216">
        <f>ROUND(data!R84,0)</f>
        <v>0</v>
      </c>
      <c r="AE17" s="216">
        <f>ROUND(data!R89,0)</f>
        <v>11510957</v>
      </c>
      <c r="AF17" s="216">
        <f>ROUND(data!R87,0)</f>
        <v>2390611</v>
      </c>
      <c r="AG17" s="216">
        <f>IF(data!R90&gt;0,ROUND(data!R90,0),0)</f>
        <v>136</v>
      </c>
      <c r="AH17" s="216">
        <f>IF(data!R91&gt;0,ROUND(data!R91,0),0)</f>
        <v>0</v>
      </c>
      <c r="AI17" s="216">
        <f>IF(data!R92&gt;0,ROUND(data!R92,0),0)</f>
        <v>0</v>
      </c>
      <c r="AJ17" s="216">
        <f>IF(data!R93&gt;0,ROUND(data!R93,0),0)</f>
        <v>8381</v>
      </c>
      <c r="AK17" s="206">
        <f>IF(data!R94&gt;0,ROUND(data!R94,2),0)</f>
        <v>11.05</v>
      </c>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row>
    <row r="18" spans="1:89" s="12" customFormat="1" ht="12.6" customHeight="1" x14ac:dyDescent="0.25">
      <c r="A18" s="16" t="str">
        <f>RIGHT(data!$C$97,3)</f>
        <v>085</v>
      </c>
      <c r="B18" s="218" t="str">
        <f>RIGHT(data!$C$96,4)</f>
        <v>2022</v>
      </c>
      <c r="C18" s="16" t="str">
        <f>data!S$55</f>
        <v>7050</v>
      </c>
      <c r="D18" s="16" t="s">
        <v>1120</v>
      </c>
      <c r="E18" s="216"/>
      <c r="F18" s="206">
        <f>ROUND(data!S60,2)</f>
        <v>10.47</v>
      </c>
      <c r="G18" s="216">
        <f>ROUND(data!S61,0)</f>
        <v>175696</v>
      </c>
      <c r="H18" s="216">
        <f>ROUND(data!S62,0)</f>
        <v>38665</v>
      </c>
      <c r="I18" s="216">
        <f>ROUND(data!S63,0)</f>
        <v>16302</v>
      </c>
      <c r="J18" s="216">
        <f>ROUND(data!S64,0)</f>
        <v>3522620</v>
      </c>
      <c r="K18" s="216">
        <f>ROUND(data!S65,0)</f>
        <v>3456</v>
      </c>
      <c r="L18" s="216">
        <f>ROUND(data!S66,0)</f>
        <v>312</v>
      </c>
      <c r="M18" s="66">
        <f>ROUND(data!S67,0)</f>
        <v>107585</v>
      </c>
      <c r="N18" s="216">
        <f>ROUND(data!S68,0)</f>
        <v>4379</v>
      </c>
      <c r="O18" s="216">
        <f>ROUND(data!S69,0)</f>
        <v>87822</v>
      </c>
      <c r="P18" s="216">
        <f>ROUND(data!S70,0)</f>
        <v>0</v>
      </c>
      <c r="Q18" s="216">
        <f>ROUND(data!S71,0)</f>
        <v>0</v>
      </c>
      <c r="R18" s="216">
        <f>ROUND(data!S72,0)</f>
        <v>0</v>
      </c>
      <c r="S18" s="216">
        <f>ROUND(data!S73,0)</f>
        <v>0</v>
      </c>
      <c r="T18" s="216">
        <f>ROUND(data!S74,0)</f>
        <v>0</v>
      </c>
      <c r="U18" s="216">
        <f>ROUND(data!S75,0)</f>
        <v>0</v>
      </c>
      <c r="V18" s="216">
        <f>ROUND(data!S76,0)</f>
        <v>0</v>
      </c>
      <c r="W18" s="216">
        <f>ROUND(data!S77,0)</f>
        <v>35932</v>
      </c>
      <c r="X18" s="216">
        <f>ROUND(data!S78,0)</f>
        <v>0</v>
      </c>
      <c r="Y18" s="216">
        <f>ROUND(data!S79,0)</f>
        <v>0</v>
      </c>
      <c r="Z18" s="216">
        <f>ROUND(data!S80,0)</f>
        <v>0</v>
      </c>
      <c r="AA18" s="216">
        <f>ROUND(data!S81,0)</f>
        <v>0</v>
      </c>
      <c r="AB18" s="216">
        <f>ROUND(data!S82,0)</f>
        <v>0</v>
      </c>
      <c r="AC18" s="216">
        <f>ROUND(data!S83,0)</f>
        <v>51890</v>
      </c>
      <c r="AD18" s="216">
        <f>ROUND(data!S84,0)</f>
        <v>0</v>
      </c>
      <c r="AE18" s="216">
        <f>ROUND(data!S89,0)</f>
        <v>550395</v>
      </c>
      <c r="AF18" s="216">
        <f>ROUND(data!S87,0)</f>
        <v>3775</v>
      </c>
      <c r="AG18" s="216">
        <f>IF(data!S90&gt;0,ROUND(data!S90,0),0)</f>
        <v>3208</v>
      </c>
      <c r="AH18" s="216">
        <f>IF(data!S91&gt;0,ROUND(data!S91,0),0)</f>
        <v>0</v>
      </c>
      <c r="AI18" s="216">
        <f>IF(data!S92&gt;0,ROUND(data!S92,0),0)</f>
        <v>30</v>
      </c>
      <c r="AJ18" s="216">
        <f>IF(data!S93&gt;0,ROUND(data!S93,0),0)</f>
        <v>0</v>
      </c>
      <c r="AK18" s="206">
        <f>IF(data!S94&gt;0,ROUND(data!S94,2),0)</f>
        <v>0</v>
      </c>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row>
    <row r="19" spans="1:89" s="12" customFormat="1" ht="12.6" customHeight="1" x14ac:dyDescent="0.25">
      <c r="A19" s="16" t="str">
        <f>RIGHT(data!$C$97,3)</f>
        <v>085</v>
      </c>
      <c r="B19" s="218" t="str">
        <f>RIGHT(data!$C$96,4)</f>
        <v>2022</v>
      </c>
      <c r="C19" s="16" t="str">
        <f>data!T$55</f>
        <v>7060</v>
      </c>
      <c r="D19" s="16" t="s">
        <v>1120</v>
      </c>
      <c r="E19" s="216"/>
      <c r="F19" s="206">
        <f>ROUND(data!T60,2)</f>
        <v>0</v>
      </c>
      <c r="G19" s="216">
        <f>ROUND(data!T61,0)</f>
        <v>0</v>
      </c>
      <c r="H19" s="216">
        <f>ROUND(data!T62,0)</f>
        <v>0</v>
      </c>
      <c r="I19" s="216">
        <f>ROUND(data!T63,0)</f>
        <v>0</v>
      </c>
      <c r="J19" s="216">
        <f>ROUND(data!T64,0)</f>
        <v>0</v>
      </c>
      <c r="K19" s="216">
        <f>ROUND(data!T65,0)</f>
        <v>0</v>
      </c>
      <c r="L19" s="216">
        <f>ROUND(data!T66,0)</f>
        <v>0</v>
      </c>
      <c r="M19" s="66">
        <f>ROUND(data!T67,0)</f>
        <v>0</v>
      </c>
      <c r="N19" s="216">
        <f>ROUND(data!T68,0)</f>
        <v>0</v>
      </c>
      <c r="O19" s="216">
        <f>ROUND(data!T69,0)</f>
        <v>0</v>
      </c>
      <c r="P19" s="216">
        <f>ROUND(data!T70,0)</f>
        <v>0</v>
      </c>
      <c r="Q19" s="216">
        <f>ROUND(data!T71,0)</f>
        <v>0</v>
      </c>
      <c r="R19" s="216">
        <f>ROUND(data!T72,0)</f>
        <v>0</v>
      </c>
      <c r="S19" s="216">
        <f>ROUND(data!T73,0)</f>
        <v>0</v>
      </c>
      <c r="T19" s="216">
        <f>ROUND(data!T74,0)</f>
        <v>0</v>
      </c>
      <c r="U19" s="216">
        <f>ROUND(data!T75,0)</f>
        <v>0</v>
      </c>
      <c r="V19" s="216">
        <f>ROUND(data!T76,0)</f>
        <v>0</v>
      </c>
      <c r="W19" s="216">
        <f>ROUND(data!T77,0)</f>
        <v>0</v>
      </c>
      <c r="X19" s="216">
        <f>ROUND(data!T78,0)</f>
        <v>0</v>
      </c>
      <c r="Y19" s="216">
        <f>ROUND(data!T79,0)</f>
        <v>0</v>
      </c>
      <c r="Z19" s="216">
        <f>ROUND(data!T80,0)</f>
        <v>0</v>
      </c>
      <c r="AA19" s="216">
        <f>ROUND(data!T81,0)</f>
        <v>0</v>
      </c>
      <c r="AB19" s="216">
        <f>ROUND(data!T82,0)</f>
        <v>0</v>
      </c>
      <c r="AC19" s="216">
        <f>ROUND(data!T83,0)</f>
        <v>0</v>
      </c>
      <c r="AD19" s="216">
        <f>ROUND(data!T84,0)</f>
        <v>0</v>
      </c>
      <c r="AE19" s="216">
        <f>ROUND(data!T89,0)</f>
        <v>0</v>
      </c>
      <c r="AF19" s="216">
        <f>ROUND(data!T87,0)</f>
        <v>0</v>
      </c>
      <c r="AG19" s="216">
        <f>IF(data!T90&gt;0,ROUND(data!T90,0),0)</f>
        <v>0</v>
      </c>
      <c r="AH19" s="216">
        <f>IF(data!T91&gt;0,ROUND(data!T91,0),0)</f>
        <v>0</v>
      </c>
      <c r="AI19" s="216">
        <f>IF(data!T92&gt;0,ROUND(data!T92,0),0)</f>
        <v>0</v>
      </c>
      <c r="AJ19" s="216">
        <f>IF(data!T93&gt;0,ROUND(data!T93,0),0)</f>
        <v>0</v>
      </c>
      <c r="AK19" s="206">
        <f>IF(data!T94&gt;0,ROUND(data!T94,2),0)</f>
        <v>0</v>
      </c>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row>
    <row r="20" spans="1:89" s="12" customFormat="1" ht="12.6" customHeight="1" x14ac:dyDescent="0.25">
      <c r="A20" s="16" t="str">
        <f>RIGHT(data!$C$97,3)</f>
        <v>085</v>
      </c>
      <c r="B20" s="218" t="str">
        <f>RIGHT(data!$C$96,4)</f>
        <v>2022</v>
      </c>
      <c r="C20" s="16" t="str">
        <f>data!U$55</f>
        <v>7070</v>
      </c>
      <c r="D20" s="16" t="s">
        <v>1120</v>
      </c>
      <c r="E20" s="216">
        <f>ROUND(data!U59,0)</f>
        <v>249460</v>
      </c>
      <c r="F20" s="206">
        <f>ROUND(data!U60,2)</f>
        <v>24.9</v>
      </c>
      <c r="G20" s="216">
        <f>ROUND(data!U61,0)</f>
        <v>1865091</v>
      </c>
      <c r="H20" s="216">
        <f>ROUND(data!U62,0)</f>
        <v>410445</v>
      </c>
      <c r="I20" s="216">
        <f>ROUND(data!U63,0)</f>
        <v>360400</v>
      </c>
      <c r="J20" s="216">
        <f>ROUND(data!U64,0)</f>
        <v>2349575</v>
      </c>
      <c r="K20" s="216">
        <f>ROUND(data!U65,0)</f>
        <v>2056</v>
      </c>
      <c r="L20" s="216">
        <f>ROUND(data!U66,0)</f>
        <v>1702743</v>
      </c>
      <c r="M20" s="66">
        <f>ROUND(data!U67,0)</f>
        <v>132034</v>
      </c>
      <c r="N20" s="216">
        <f>ROUND(data!U68,0)</f>
        <v>76763</v>
      </c>
      <c r="O20" s="216">
        <f>ROUND(data!U69,0)</f>
        <v>165248</v>
      </c>
      <c r="P20" s="216">
        <f>ROUND(data!U70,0)</f>
        <v>0</v>
      </c>
      <c r="Q20" s="216">
        <f>ROUND(data!U71,0)</f>
        <v>0</v>
      </c>
      <c r="R20" s="216">
        <f>ROUND(data!U72,0)</f>
        <v>0</v>
      </c>
      <c r="S20" s="216">
        <f>ROUND(data!U73,0)</f>
        <v>0</v>
      </c>
      <c r="T20" s="216">
        <f>ROUND(data!U74,0)</f>
        <v>0</v>
      </c>
      <c r="U20" s="216">
        <f>ROUND(data!U75,0)</f>
        <v>0</v>
      </c>
      <c r="V20" s="216">
        <f>ROUND(data!U76,0)</f>
        <v>0</v>
      </c>
      <c r="W20" s="216">
        <f>ROUND(data!U77,0)</f>
        <v>129817</v>
      </c>
      <c r="X20" s="216">
        <f>ROUND(data!U78,0)</f>
        <v>0</v>
      </c>
      <c r="Y20" s="216">
        <f>ROUND(data!U79,0)</f>
        <v>0</v>
      </c>
      <c r="Z20" s="216">
        <f>ROUND(data!U80,0)</f>
        <v>0</v>
      </c>
      <c r="AA20" s="216">
        <f>ROUND(data!U81,0)</f>
        <v>0</v>
      </c>
      <c r="AB20" s="216">
        <f>ROUND(data!U82,0)</f>
        <v>0</v>
      </c>
      <c r="AC20" s="216">
        <f>ROUND(data!U83,0)</f>
        <v>35431</v>
      </c>
      <c r="AD20" s="216">
        <f>ROUND(data!U84,0)</f>
        <v>0</v>
      </c>
      <c r="AE20" s="216">
        <f>ROUND(data!U89,0)</f>
        <v>23561232</v>
      </c>
      <c r="AF20" s="216">
        <f>ROUND(data!U87,0)</f>
        <v>2185967</v>
      </c>
      <c r="AG20" s="216">
        <f>IF(data!U90&gt;0,ROUND(data!U90,0),0)</f>
        <v>3937</v>
      </c>
      <c r="AH20" s="216">
        <f>IF(data!U91&gt;0,ROUND(data!U91,0),0)</f>
        <v>0</v>
      </c>
      <c r="AI20" s="216">
        <f>IF(data!U92&gt;0,ROUND(data!U92,0),0)</f>
        <v>105</v>
      </c>
      <c r="AJ20" s="216">
        <f>IF(data!U93&gt;0,ROUND(data!U93,0),0)</f>
        <v>52</v>
      </c>
      <c r="AK20" s="206">
        <f>IF(data!U94&gt;0,ROUND(data!U94,2),0)</f>
        <v>0</v>
      </c>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row>
    <row r="21" spans="1:89" s="12" customFormat="1" ht="12.6" customHeight="1" x14ac:dyDescent="0.25">
      <c r="A21" s="16" t="str">
        <f>RIGHT(data!$C$97,3)</f>
        <v>085</v>
      </c>
      <c r="B21" s="218" t="str">
        <f>RIGHT(data!$C$96,4)</f>
        <v>2022</v>
      </c>
      <c r="C21" s="16" t="str">
        <f>data!V$55</f>
        <v>7110</v>
      </c>
      <c r="D21" s="16" t="s">
        <v>1120</v>
      </c>
      <c r="E21" s="216">
        <f>ROUND(data!V59,0)</f>
        <v>0</v>
      </c>
      <c r="F21" s="206">
        <f>ROUND(data!V60,2)</f>
        <v>0</v>
      </c>
      <c r="G21" s="216">
        <f>ROUND(data!V61,0)</f>
        <v>0</v>
      </c>
      <c r="H21" s="216">
        <f>ROUND(data!V62,0)</f>
        <v>0</v>
      </c>
      <c r="I21" s="216">
        <f>ROUND(data!V63,0)</f>
        <v>0</v>
      </c>
      <c r="J21" s="216">
        <f>ROUND(data!V64,0)</f>
        <v>0</v>
      </c>
      <c r="K21" s="216">
        <f>ROUND(data!V65,0)</f>
        <v>0</v>
      </c>
      <c r="L21" s="216">
        <f>ROUND(data!V66,0)</f>
        <v>0</v>
      </c>
      <c r="M21" s="66">
        <f>ROUND(data!V67,0)</f>
        <v>0</v>
      </c>
      <c r="N21" s="216">
        <f>ROUND(data!V68,0)</f>
        <v>0</v>
      </c>
      <c r="O21" s="216">
        <f>ROUND(data!V69,0)</f>
        <v>0</v>
      </c>
      <c r="P21" s="216">
        <f>ROUND(data!V70,0)</f>
        <v>0</v>
      </c>
      <c r="Q21" s="216">
        <f>ROUND(data!V71,0)</f>
        <v>0</v>
      </c>
      <c r="R21" s="216">
        <f>ROUND(data!V72,0)</f>
        <v>0</v>
      </c>
      <c r="S21" s="216">
        <f>ROUND(data!V73,0)</f>
        <v>0</v>
      </c>
      <c r="T21" s="216">
        <f>ROUND(data!V74,0)</f>
        <v>0</v>
      </c>
      <c r="U21" s="216">
        <f>ROUND(data!V75,0)</f>
        <v>0</v>
      </c>
      <c r="V21" s="216">
        <f>ROUND(data!V76,0)</f>
        <v>0</v>
      </c>
      <c r="W21" s="216">
        <f>ROUND(data!V77,0)</f>
        <v>0</v>
      </c>
      <c r="X21" s="216">
        <f>ROUND(data!V78,0)</f>
        <v>0</v>
      </c>
      <c r="Y21" s="216">
        <f>ROUND(data!V79,0)</f>
        <v>0</v>
      </c>
      <c r="Z21" s="216">
        <f>ROUND(data!V80,0)</f>
        <v>0</v>
      </c>
      <c r="AA21" s="216">
        <f>ROUND(data!V81,0)</f>
        <v>0</v>
      </c>
      <c r="AB21" s="216">
        <f>ROUND(data!V82,0)</f>
        <v>0</v>
      </c>
      <c r="AC21" s="216">
        <f>ROUND(data!V83,0)</f>
        <v>0</v>
      </c>
      <c r="AD21" s="216">
        <f>ROUND(data!V84,0)</f>
        <v>0</v>
      </c>
      <c r="AE21" s="216">
        <f>ROUND(data!V89,0)</f>
        <v>0</v>
      </c>
      <c r="AF21" s="216">
        <f>ROUND(data!V87,0)</f>
        <v>0</v>
      </c>
      <c r="AG21" s="216">
        <f>IF(data!V90&gt;0,ROUND(data!V90,0),0)</f>
        <v>0</v>
      </c>
      <c r="AH21" s="216">
        <f>IF(data!V91&gt;0,ROUND(data!V91,0),0)</f>
        <v>0</v>
      </c>
      <c r="AI21" s="216">
        <f>IF(data!V92&gt;0,ROUND(data!V92,0),0)</f>
        <v>0</v>
      </c>
      <c r="AJ21" s="216">
        <f>IF(data!V93&gt;0,ROUND(data!V93,0),0)</f>
        <v>0</v>
      </c>
      <c r="AK21" s="206">
        <f>IF(data!V94&gt;0,ROUND(data!V94,2),0)</f>
        <v>0</v>
      </c>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row>
    <row r="22" spans="1:89" s="12" customFormat="1" ht="12.6" customHeight="1" x14ac:dyDescent="0.25">
      <c r="A22" s="16" t="str">
        <f>RIGHT(data!$C$97,3)</f>
        <v>085</v>
      </c>
      <c r="B22" s="218" t="str">
        <f>RIGHT(data!$C$96,4)</f>
        <v>2022</v>
      </c>
      <c r="C22" s="16" t="str">
        <f>data!W$55</f>
        <v>7120</v>
      </c>
      <c r="D22" s="16" t="s">
        <v>1120</v>
      </c>
      <c r="E22" s="216">
        <f>ROUND(data!W59,0)</f>
        <v>2448</v>
      </c>
      <c r="F22" s="206">
        <f>ROUND(data!W60,2)</f>
        <v>1.5</v>
      </c>
      <c r="G22" s="216">
        <f>ROUND(data!W61,0)</f>
        <v>160110</v>
      </c>
      <c r="H22" s="216">
        <f>ROUND(data!W62,0)</f>
        <v>35235</v>
      </c>
      <c r="I22" s="216">
        <f>ROUND(data!W63,0)</f>
        <v>50423</v>
      </c>
      <c r="J22" s="216">
        <f>ROUND(data!W64,0)</f>
        <v>23468</v>
      </c>
      <c r="K22" s="216">
        <f>ROUND(data!W65,0)</f>
        <v>0</v>
      </c>
      <c r="L22" s="216">
        <f>ROUND(data!W66,0)</f>
        <v>43805</v>
      </c>
      <c r="M22" s="66">
        <f>ROUND(data!W67,0)</f>
        <v>14723</v>
      </c>
      <c r="N22" s="216">
        <f>ROUND(data!W68,0)</f>
        <v>13715</v>
      </c>
      <c r="O22" s="216">
        <f>ROUND(data!W69,0)</f>
        <v>40267</v>
      </c>
      <c r="P22" s="216">
        <f>ROUND(data!W70,0)</f>
        <v>0</v>
      </c>
      <c r="Q22" s="216">
        <f>ROUND(data!W71,0)</f>
        <v>0</v>
      </c>
      <c r="R22" s="216">
        <f>ROUND(data!W72,0)</f>
        <v>0</v>
      </c>
      <c r="S22" s="216">
        <f>ROUND(data!W73,0)</f>
        <v>0</v>
      </c>
      <c r="T22" s="216">
        <f>ROUND(data!W74,0)</f>
        <v>0</v>
      </c>
      <c r="U22" s="216">
        <f>ROUND(data!W75,0)</f>
        <v>0</v>
      </c>
      <c r="V22" s="216">
        <f>ROUND(data!W76,0)</f>
        <v>0</v>
      </c>
      <c r="W22" s="216">
        <f>ROUND(data!W77,0)</f>
        <v>38422</v>
      </c>
      <c r="X22" s="216">
        <f>ROUND(data!W78,0)</f>
        <v>0</v>
      </c>
      <c r="Y22" s="216">
        <f>ROUND(data!W79,0)</f>
        <v>0</v>
      </c>
      <c r="Z22" s="216">
        <f>ROUND(data!W80,0)</f>
        <v>0</v>
      </c>
      <c r="AA22" s="216">
        <f>ROUND(data!W81,0)</f>
        <v>0</v>
      </c>
      <c r="AB22" s="216">
        <f>ROUND(data!W82,0)</f>
        <v>0</v>
      </c>
      <c r="AC22" s="216">
        <f>ROUND(data!W83,0)</f>
        <v>1845</v>
      </c>
      <c r="AD22" s="216">
        <f>ROUND(data!W84,0)</f>
        <v>0</v>
      </c>
      <c r="AE22" s="216">
        <f>ROUND(data!W89,0)</f>
        <v>6345989</v>
      </c>
      <c r="AF22" s="216">
        <f>ROUND(data!W87,0)</f>
        <v>339763</v>
      </c>
      <c r="AG22" s="216">
        <f>IF(data!W90&gt;0,ROUND(data!W90,0),0)</f>
        <v>439</v>
      </c>
      <c r="AH22" s="216">
        <f>IF(data!W91&gt;0,ROUND(data!W91,0),0)</f>
        <v>0</v>
      </c>
      <c r="AI22" s="216">
        <f>IF(data!W92&gt;0,ROUND(data!W92,0),0)</f>
        <v>10</v>
      </c>
      <c r="AJ22" s="216">
        <f>IF(data!W93&gt;0,ROUND(data!W93,0),0)</f>
        <v>2193</v>
      </c>
      <c r="AK22" s="206">
        <f>IF(data!W94&gt;0,ROUND(data!W94,2),0)</f>
        <v>0</v>
      </c>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row>
    <row r="23" spans="1:89" s="12" customFormat="1" ht="12.6" customHeight="1" x14ac:dyDescent="0.25">
      <c r="A23" s="16" t="str">
        <f>RIGHT(data!$C$97,3)</f>
        <v>085</v>
      </c>
      <c r="B23" s="218" t="str">
        <f>RIGHT(data!$C$96,4)</f>
        <v>2022</v>
      </c>
      <c r="C23" s="16" t="str">
        <f>data!X$55</f>
        <v>7130</v>
      </c>
      <c r="D23" s="16" t="s">
        <v>1120</v>
      </c>
      <c r="E23" s="216">
        <f>ROUND(data!X59,0)</f>
        <v>7011</v>
      </c>
      <c r="F23" s="206">
        <f>ROUND(data!X60,2)</f>
        <v>4.29</v>
      </c>
      <c r="G23" s="216">
        <f>ROUND(data!X61,0)</f>
        <v>458550</v>
      </c>
      <c r="H23" s="216">
        <f>ROUND(data!X62,0)</f>
        <v>100912</v>
      </c>
      <c r="I23" s="216">
        <f>ROUND(data!X63,0)</f>
        <v>144411</v>
      </c>
      <c r="J23" s="216">
        <f>ROUND(data!X64,0)</f>
        <v>67211</v>
      </c>
      <c r="K23" s="216">
        <f>ROUND(data!X65,0)</f>
        <v>0</v>
      </c>
      <c r="L23" s="216">
        <f>ROUND(data!X66,0)</f>
        <v>125458</v>
      </c>
      <c r="M23" s="66">
        <f>ROUND(data!X67,0)</f>
        <v>42189</v>
      </c>
      <c r="N23" s="216">
        <f>ROUND(data!X68,0)</f>
        <v>39279</v>
      </c>
      <c r="O23" s="216">
        <f>ROUND(data!X69,0)</f>
        <v>115324</v>
      </c>
      <c r="P23" s="216">
        <f>ROUND(data!X70,0)</f>
        <v>0</v>
      </c>
      <c r="Q23" s="216">
        <f>ROUND(data!X71,0)</f>
        <v>0</v>
      </c>
      <c r="R23" s="216">
        <f>ROUND(data!X72,0)</f>
        <v>0</v>
      </c>
      <c r="S23" s="216">
        <f>ROUND(data!X73,0)</f>
        <v>0</v>
      </c>
      <c r="T23" s="216">
        <f>ROUND(data!X74,0)</f>
        <v>0</v>
      </c>
      <c r="U23" s="216">
        <f>ROUND(data!X75,0)</f>
        <v>0</v>
      </c>
      <c r="V23" s="216">
        <f>ROUND(data!X76,0)</f>
        <v>0</v>
      </c>
      <c r="W23" s="216">
        <f>ROUND(data!X77,0)</f>
        <v>110040</v>
      </c>
      <c r="X23" s="216">
        <f>ROUND(data!X78,0)</f>
        <v>0</v>
      </c>
      <c r="Y23" s="216">
        <f>ROUND(data!X79,0)</f>
        <v>0</v>
      </c>
      <c r="Z23" s="216">
        <f>ROUND(data!X80,0)</f>
        <v>0</v>
      </c>
      <c r="AA23" s="216">
        <f>ROUND(data!X81,0)</f>
        <v>0</v>
      </c>
      <c r="AB23" s="216">
        <f>ROUND(data!X82,0)</f>
        <v>0</v>
      </c>
      <c r="AC23" s="216">
        <f>ROUND(data!X83,0)</f>
        <v>5284</v>
      </c>
      <c r="AD23" s="216">
        <f>ROUND(data!X84,0)</f>
        <v>0</v>
      </c>
      <c r="AE23" s="216">
        <f>ROUND(data!X89,0)</f>
        <v>18881680</v>
      </c>
      <c r="AF23" s="216">
        <f>ROUND(data!X87,0)</f>
        <v>1454051</v>
      </c>
      <c r="AG23" s="216">
        <f>IF(data!X90&gt;0,ROUND(data!X90,0),0)</f>
        <v>1258</v>
      </c>
      <c r="AH23" s="216">
        <f>IF(data!X91&gt;0,ROUND(data!X91,0),0)</f>
        <v>0</v>
      </c>
      <c r="AI23" s="216">
        <f>IF(data!X92&gt;0,ROUND(data!X92,0),0)</f>
        <v>29</v>
      </c>
      <c r="AJ23" s="216">
        <f>IF(data!X93&gt;0,ROUND(data!X93,0),0)</f>
        <v>6282</v>
      </c>
      <c r="AK23" s="206">
        <f>IF(data!X94&gt;0,ROUND(data!X94,2),0)</f>
        <v>0</v>
      </c>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row>
    <row r="24" spans="1:89" s="12" customFormat="1" ht="12.6" customHeight="1" x14ac:dyDescent="0.25">
      <c r="A24" s="16" t="str">
        <f>RIGHT(data!$C$97,3)</f>
        <v>085</v>
      </c>
      <c r="B24" s="218" t="str">
        <f>RIGHT(data!$C$96,4)</f>
        <v>2022</v>
      </c>
      <c r="C24" s="16" t="str">
        <f>data!Y$55</f>
        <v>7140</v>
      </c>
      <c r="D24" s="16" t="s">
        <v>1120</v>
      </c>
      <c r="E24" s="216">
        <f>ROUND(data!Y59,0)</f>
        <v>26867</v>
      </c>
      <c r="F24" s="206">
        <f>ROUND(data!Y60,2)</f>
        <v>16.45</v>
      </c>
      <c r="G24" s="216">
        <f>ROUND(data!Y61,0)</f>
        <v>1757218</v>
      </c>
      <c r="H24" s="216">
        <f>ROUND(data!Y62,0)</f>
        <v>386706</v>
      </c>
      <c r="I24" s="216">
        <f>ROUND(data!Y63,0)</f>
        <v>553402</v>
      </c>
      <c r="J24" s="216">
        <f>ROUND(data!Y64,0)</f>
        <v>257562</v>
      </c>
      <c r="K24" s="216">
        <f>ROUND(data!Y65,0)</f>
        <v>0</v>
      </c>
      <c r="L24" s="216">
        <f>ROUND(data!Y66,0)</f>
        <v>480769</v>
      </c>
      <c r="M24" s="66">
        <f>ROUND(data!Y67,0)</f>
        <v>161680</v>
      </c>
      <c r="N24" s="216">
        <f>ROUND(data!Y68,0)</f>
        <v>150524</v>
      </c>
      <c r="O24" s="216">
        <f>ROUND(data!Y69,0)</f>
        <v>441935</v>
      </c>
      <c r="P24" s="216">
        <f>ROUND(data!Y70,0)</f>
        <v>0</v>
      </c>
      <c r="Q24" s="216">
        <f>ROUND(data!Y71,0)</f>
        <v>0</v>
      </c>
      <c r="R24" s="216">
        <f>ROUND(data!Y72,0)</f>
        <v>0</v>
      </c>
      <c r="S24" s="216">
        <f>ROUND(data!Y73,0)</f>
        <v>0</v>
      </c>
      <c r="T24" s="216">
        <f>ROUND(data!Y74,0)</f>
        <v>0</v>
      </c>
      <c r="U24" s="216">
        <f>ROUND(data!Y75,0)</f>
        <v>0</v>
      </c>
      <c r="V24" s="216">
        <f>ROUND(data!Y76,0)</f>
        <v>0</v>
      </c>
      <c r="W24" s="216">
        <f>ROUND(data!Y77,0)</f>
        <v>421686</v>
      </c>
      <c r="X24" s="216">
        <f>ROUND(data!Y78,0)</f>
        <v>0</v>
      </c>
      <c r="Y24" s="216">
        <f>ROUND(data!Y79,0)</f>
        <v>0</v>
      </c>
      <c r="Z24" s="216">
        <f>ROUND(data!Y80,0)</f>
        <v>0</v>
      </c>
      <c r="AA24" s="216">
        <f>ROUND(data!Y81,0)</f>
        <v>0</v>
      </c>
      <c r="AB24" s="216">
        <f>ROUND(data!Y82,0)</f>
        <v>0</v>
      </c>
      <c r="AC24" s="216">
        <f>ROUND(data!Y83,0)</f>
        <v>20249</v>
      </c>
      <c r="AD24" s="216">
        <f>ROUND(data!Y84,0)</f>
        <v>0</v>
      </c>
      <c r="AE24" s="216">
        <f>ROUND(data!Y89,0)</f>
        <v>18312987</v>
      </c>
      <c r="AF24" s="216">
        <f>ROUND(data!Y87,0)</f>
        <v>1408086</v>
      </c>
      <c r="AG24" s="216">
        <f>IF(data!Y90&gt;0,ROUND(data!Y90,0),0)</f>
        <v>4821</v>
      </c>
      <c r="AH24" s="216">
        <f>IF(data!Y91&gt;0,ROUND(data!Y91,0),0)</f>
        <v>0</v>
      </c>
      <c r="AI24" s="216">
        <f>IF(data!Y92&gt;0,ROUND(data!Y92,0),0)</f>
        <v>112</v>
      </c>
      <c r="AJ24" s="216">
        <f>IF(data!Y93&gt;0,ROUND(data!Y93,0),0)</f>
        <v>24073</v>
      </c>
      <c r="AK24" s="206">
        <f>IF(data!Y94&gt;0,ROUND(data!Y94,2),0)</f>
        <v>0</v>
      </c>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row>
    <row r="25" spans="1:89" s="12" customFormat="1" ht="12.6" customHeight="1" x14ac:dyDescent="0.25">
      <c r="A25" s="16" t="str">
        <f>RIGHT(data!$C$97,3)</f>
        <v>085</v>
      </c>
      <c r="B25" s="218" t="str">
        <f>RIGHT(data!$C$96,4)</f>
        <v>2022</v>
      </c>
      <c r="C25" s="16" t="str">
        <f>data!Z$55</f>
        <v>7150</v>
      </c>
      <c r="D25" s="16" t="s">
        <v>1120</v>
      </c>
      <c r="E25" s="216">
        <f>ROUND(data!Z59,0)</f>
        <v>0</v>
      </c>
      <c r="F25" s="206">
        <f>ROUND(data!Z60,2)</f>
        <v>0</v>
      </c>
      <c r="G25" s="216">
        <f>ROUND(data!Z61,0)</f>
        <v>0</v>
      </c>
      <c r="H25" s="216">
        <f>ROUND(data!Z62,0)</f>
        <v>0</v>
      </c>
      <c r="I25" s="216">
        <f>ROUND(data!Z63,0)</f>
        <v>0</v>
      </c>
      <c r="J25" s="216">
        <f>ROUND(data!Z64,0)</f>
        <v>0</v>
      </c>
      <c r="K25" s="216">
        <f>ROUND(data!Z65,0)</f>
        <v>0</v>
      </c>
      <c r="L25" s="216">
        <f>ROUND(data!Z66,0)</f>
        <v>0</v>
      </c>
      <c r="M25" s="66">
        <f>ROUND(data!Z67,0)</f>
        <v>0</v>
      </c>
      <c r="N25" s="216">
        <f>ROUND(data!Z68,0)</f>
        <v>0</v>
      </c>
      <c r="O25" s="216">
        <f>ROUND(data!Z69,0)</f>
        <v>0</v>
      </c>
      <c r="P25" s="216">
        <f>ROUND(data!Z70,0)</f>
        <v>0</v>
      </c>
      <c r="Q25" s="216">
        <f>ROUND(data!Z71,0)</f>
        <v>0</v>
      </c>
      <c r="R25" s="216">
        <f>ROUND(data!Z72,0)</f>
        <v>0</v>
      </c>
      <c r="S25" s="216">
        <f>ROUND(data!Z73,0)</f>
        <v>0</v>
      </c>
      <c r="T25" s="216">
        <f>ROUND(data!Z74,0)</f>
        <v>0</v>
      </c>
      <c r="U25" s="216">
        <f>ROUND(data!Z75,0)</f>
        <v>0</v>
      </c>
      <c r="V25" s="216">
        <f>ROUND(data!Z76,0)</f>
        <v>0</v>
      </c>
      <c r="W25" s="216">
        <f>ROUND(data!Z77,0)</f>
        <v>0</v>
      </c>
      <c r="X25" s="216">
        <f>ROUND(data!Z78,0)</f>
        <v>0</v>
      </c>
      <c r="Y25" s="216">
        <f>ROUND(data!Z79,0)</f>
        <v>0</v>
      </c>
      <c r="Z25" s="216">
        <f>ROUND(data!Z80,0)</f>
        <v>0</v>
      </c>
      <c r="AA25" s="216">
        <f>ROUND(data!Z81,0)</f>
        <v>0</v>
      </c>
      <c r="AB25" s="216">
        <f>ROUND(data!Z82,0)</f>
        <v>0</v>
      </c>
      <c r="AC25" s="216">
        <f>ROUND(data!Z83,0)</f>
        <v>0</v>
      </c>
      <c r="AD25" s="216">
        <f>ROUND(data!Z84,0)</f>
        <v>0</v>
      </c>
      <c r="AE25" s="216">
        <f>ROUND(data!Z89,0)</f>
        <v>0</v>
      </c>
      <c r="AF25" s="216">
        <f>ROUND(data!Z87,0)</f>
        <v>0</v>
      </c>
      <c r="AG25" s="216">
        <f>IF(data!Z90&gt;0,ROUND(data!Z90,0),0)</f>
        <v>0</v>
      </c>
      <c r="AH25" s="216">
        <f>IF(data!Z91&gt;0,ROUND(data!Z91,0),0)</f>
        <v>0</v>
      </c>
      <c r="AI25" s="216">
        <f>IF(data!Z92&gt;0,ROUND(data!Z92,0),0)</f>
        <v>0</v>
      </c>
      <c r="AJ25" s="216">
        <f>IF(data!Z93&gt;0,ROUND(data!Z93,0),0)</f>
        <v>0</v>
      </c>
      <c r="AK25" s="206">
        <f>IF(data!Z94&gt;0,ROUND(data!Z94,2),0)</f>
        <v>0</v>
      </c>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row>
    <row r="26" spans="1:89" s="12" customFormat="1" ht="12.6" customHeight="1" x14ac:dyDescent="0.25">
      <c r="A26" s="16" t="str">
        <f>RIGHT(data!$C$97,3)</f>
        <v>085</v>
      </c>
      <c r="B26" s="218" t="str">
        <f>RIGHT(data!$C$96,4)</f>
        <v>2022</v>
      </c>
      <c r="C26" s="16" t="str">
        <f>data!AA$55</f>
        <v>7160</v>
      </c>
      <c r="D26" s="16" t="s">
        <v>1120</v>
      </c>
      <c r="E26" s="216">
        <f>ROUND(data!AA59,0)</f>
        <v>483</v>
      </c>
      <c r="F26" s="206">
        <f>ROUND(data!AA60,2)</f>
        <v>0.3</v>
      </c>
      <c r="G26" s="216">
        <f>ROUND(data!AA61,0)</f>
        <v>31590</v>
      </c>
      <c r="H26" s="216">
        <f>ROUND(data!AA62,0)</f>
        <v>6952</v>
      </c>
      <c r="I26" s="216">
        <f>ROUND(data!AA63,0)</f>
        <v>9949</v>
      </c>
      <c r="J26" s="216">
        <f>ROUND(data!AA64,0)</f>
        <v>4630</v>
      </c>
      <c r="K26" s="216">
        <f>ROUND(data!AA65,0)</f>
        <v>0</v>
      </c>
      <c r="L26" s="216">
        <f>ROUND(data!AA66,0)</f>
        <v>8643</v>
      </c>
      <c r="M26" s="66">
        <f>ROUND(data!AA67,0)</f>
        <v>2918</v>
      </c>
      <c r="N26" s="216">
        <f>ROUND(data!AA68,0)</f>
        <v>2706</v>
      </c>
      <c r="O26" s="216">
        <f>ROUND(data!AA69,0)</f>
        <v>7945</v>
      </c>
      <c r="P26" s="216">
        <f>ROUND(data!AA70,0)</f>
        <v>0</v>
      </c>
      <c r="Q26" s="216">
        <f>ROUND(data!AA71,0)</f>
        <v>0</v>
      </c>
      <c r="R26" s="216">
        <f>ROUND(data!AA72,0)</f>
        <v>0</v>
      </c>
      <c r="S26" s="216">
        <f>ROUND(data!AA73,0)</f>
        <v>0</v>
      </c>
      <c r="T26" s="216">
        <f>ROUND(data!AA74,0)</f>
        <v>0</v>
      </c>
      <c r="U26" s="216">
        <f>ROUND(data!AA75,0)</f>
        <v>0</v>
      </c>
      <c r="V26" s="216">
        <f>ROUND(data!AA76,0)</f>
        <v>0</v>
      </c>
      <c r="W26" s="216">
        <f>ROUND(data!AA77,0)</f>
        <v>7581</v>
      </c>
      <c r="X26" s="216">
        <f>ROUND(data!AA78,0)</f>
        <v>0</v>
      </c>
      <c r="Y26" s="216">
        <f>ROUND(data!AA79,0)</f>
        <v>0</v>
      </c>
      <c r="Z26" s="216">
        <f>ROUND(data!AA80,0)</f>
        <v>0</v>
      </c>
      <c r="AA26" s="216">
        <f>ROUND(data!AA81,0)</f>
        <v>0</v>
      </c>
      <c r="AB26" s="216">
        <f>ROUND(data!AA82,0)</f>
        <v>0</v>
      </c>
      <c r="AC26" s="216">
        <f>ROUND(data!AA83,0)</f>
        <v>364</v>
      </c>
      <c r="AD26" s="216">
        <f>ROUND(data!AA84,0)</f>
        <v>0</v>
      </c>
      <c r="AE26" s="216">
        <f>ROUND(data!AA89,0)</f>
        <v>0</v>
      </c>
      <c r="AF26" s="216">
        <f>ROUND(data!AA87,0)</f>
        <v>0</v>
      </c>
      <c r="AG26" s="216">
        <f>IF(data!AA90&gt;0,ROUND(data!AA90,0),0)</f>
        <v>87</v>
      </c>
      <c r="AH26" s="216">
        <f>IF(data!AA91&gt;0,ROUND(data!AA91,0),0)</f>
        <v>0</v>
      </c>
      <c r="AI26" s="216">
        <f>IF(data!AA92&gt;0,ROUND(data!AA92,0),0)</f>
        <v>2</v>
      </c>
      <c r="AJ26" s="216">
        <f>IF(data!AA93&gt;0,ROUND(data!AA93,0),0)</f>
        <v>433</v>
      </c>
      <c r="AK26" s="206">
        <f>IF(data!AA94&gt;0,ROUND(data!AA94,2),0)</f>
        <v>0</v>
      </c>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row>
    <row r="27" spans="1:89" s="12" customFormat="1" ht="12.6" customHeight="1" x14ac:dyDescent="0.25">
      <c r="A27" s="16" t="str">
        <f>RIGHT(data!$C$97,3)</f>
        <v>085</v>
      </c>
      <c r="B27" s="218" t="str">
        <f>RIGHT(data!$C$96,4)</f>
        <v>2022</v>
      </c>
      <c r="C27" s="16" t="str">
        <f>data!AB$55</f>
        <v>7170</v>
      </c>
      <c r="D27" s="16" t="s">
        <v>1120</v>
      </c>
      <c r="E27" s="216"/>
      <c r="F27" s="206">
        <f>ROUND(data!AB60,2)</f>
        <v>12.18</v>
      </c>
      <c r="G27" s="216">
        <f>ROUND(data!AB61,0)</f>
        <v>1437217</v>
      </c>
      <c r="H27" s="216">
        <f>ROUND(data!AB62,0)</f>
        <v>316284</v>
      </c>
      <c r="I27" s="216">
        <f>ROUND(data!AB63,0)</f>
        <v>769834</v>
      </c>
      <c r="J27" s="216">
        <f>ROUND(data!AB64,0)</f>
        <v>19824455</v>
      </c>
      <c r="K27" s="216">
        <f>ROUND(data!AB65,0)</f>
        <v>10764</v>
      </c>
      <c r="L27" s="216">
        <f>ROUND(data!AB66,0)</f>
        <v>175850</v>
      </c>
      <c r="M27" s="66">
        <f>ROUND(data!AB67,0)</f>
        <v>50540</v>
      </c>
      <c r="N27" s="216">
        <f>ROUND(data!AB68,0)</f>
        <v>24984</v>
      </c>
      <c r="O27" s="216">
        <f>ROUND(data!AB69,0)</f>
        <v>102761</v>
      </c>
      <c r="P27" s="216">
        <f>ROUND(data!AB70,0)</f>
        <v>0</v>
      </c>
      <c r="Q27" s="216">
        <f>ROUND(data!AB71,0)</f>
        <v>0</v>
      </c>
      <c r="R27" s="216">
        <f>ROUND(data!AB72,0)</f>
        <v>0</v>
      </c>
      <c r="S27" s="216">
        <f>ROUND(data!AB73,0)</f>
        <v>0</v>
      </c>
      <c r="T27" s="216">
        <f>ROUND(data!AB74,0)</f>
        <v>0</v>
      </c>
      <c r="U27" s="216">
        <f>ROUND(data!AB75,0)</f>
        <v>0</v>
      </c>
      <c r="V27" s="216">
        <f>ROUND(data!AB76,0)</f>
        <v>0</v>
      </c>
      <c r="W27" s="216">
        <f>ROUND(data!AB77,0)</f>
        <v>1517</v>
      </c>
      <c r="X27" s="216">
        <f>ROUND(data!AB78,0)</f>
        <v>0</v>
      </c>
      <c r="Y27" s="216">
        <f>ROUND(data!AB79,0)</f>
        <v>0</v>
      </c>
      <c r="Z27" s="216">
        <f>ROUND(data!AB80,0)</f>
        <v>0</v>
      </c>
      <c r="AA27" s="216">
        <f>ROUND(data!AB81,0)</f>
        <v>0</v>
      </c>
      <c r="AB27" s="216">
        <f>ROUND(data!AB82,0)</f>
        <v>0</v>
      </c>
      <c r="AC27" s="216">
        <f>ROUND(data!AB83,0)</f>
        <v>101244</v>
      </c>
      <c r="AD27" s="216">
        <f>ROUND(data!AB84,0)</f>
        <v>0</v>
      </c>
      <c r="AE27" s="216">
        <f>ROUND(data!AB89,0)</f>
        <v>60264150</v>
      </c>
      <c r="AF27" s="216">
        <f>ROUND(data!AB87,0)</f>
        <v>4247800</v>
      </c>
      <c r="AG27" s="216">
        <f>IF(data!AB90&gt;0,ROUND(data!AB90,0),0)</f>
        <v>1507</v>
      </c>
      <c r="AH27" s="216">
        <f>IF(data!AB91&gt;0,ROUND(data!AB91,0),0)</f>
        <v>0</v>
      </c>
      <c r="AI27" s="216">
        <f>IF(data!AB92&gt;0,ROUND(data!AB92,0),0)</f>
        <v>80</v>
      </c>
      <c r="AJ27" s="216">
        <f>IF(data!AB93&gt;0,ROUND(data!AB93,0),0)</f>
        <v>0</v>
      </c>
      <c r="AK27" s="206">
        <f>IF(data!AB94&gt;0,ROUND(data!AB94,2),0)</f>
        <v>0</v>
      </c>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row>
    <row r="28" spans="1:89" s="12" customFormat="1" ht="12.6" customHeight="1" x14ac:dyDescent="0.25">
      <c r="A28" s="16" t="str">
        <f>RIGHT(data!$C$97,3)</f>
        <v>085</v>
      </c>
      <c r="B28" s="218" t="str">
        <f>RIGHT(data!$C$96,4)</f>
        <v>2022</v>
      </c>
      <c r="C28" s="16" t="str">
        <f>data!AC$55</f>
        <v>7180</v>
      </c>
      <c r="D28" s="16" t="s">
        <v>1120</v>
      </c>
      <c r="E28" s="216">
        <f>ROUND(data!AC59,0)</f>
        <v>37190</v>
      </c>
      <c r="F28" s="206">
        <f>ROUND(data!AC60,2)</f>
        <v>16.809999999999999</v>
      </c>
      <c r="G28" s="216">
        <f>ROUND(data!AC61,0)</f>
        <v>1342313</v>
      </c>
      <c r="H28" s="216">
        <f>ROUND(data!AC62,0)</f>
        <v>295399</v>
      </c>
      <c r="I28" s="216">
        <f>ROUND(data!AC63,0)</f>
        <v>419233</v>
      </c>
      <c r="J28" s="216">
        <f>ROUND(data!AC64,0)</f>
        <v>112110</v>
      </c>
      <c r="K28" s="216">
        <f>ROUND(data!AC65,0)</f>
        <v>75</v>
      </c>
      <c r="L28" s="216">
        <f>ROUND(data!AC66,0)</f>
        <v>4419</v>
      </c>
      <c r="M28" s="66">
        <f>ROUND(data!AC67,0)</f>
        <v>128110</v>
      </c>
      <c r="N28" s="216">
        <f>ROUND(data!AC68,0)</f>
        <v>37963</v>
      </c>
      <c r="O28" s="216">
        <f>ROUND(data!AC69,0)</f>
        <v>47677</v>
      </c>
      <c r="P28" s="216">
        <f>ROUND(data!AC70,0)</f>
        <v>0</v>
      </c>
      <c r="Q28" s="216">
        <f>ROUND(data!AC71,0)</f>
        <v>0</v>
      </c>
      <c r="R28" s="216">
        <f>ROUND(data!AC72,0)</f>
        <v>0</v>
      </c>
      <c r="S28" s="216">
        <f>ROUND(data!AC73,0)</f>
        <v>0</v>
      </c>
      <c r="T28" s="216">
        <f>ROUND(data!AC74,0)</f>
        <v>0</v>
      </c>
      <c r="U28" s="216">
        <f>ROUND(data!AC75,0)</f>
        <v>0</v>
      </c>
      <c r="V28" s="216">
        <f>ROUND(data!AC76,0)</f>
        <v>0</v>
      </c>
      <c r="W28" s="216">
        <f>ROUND(data!AC77,0)</f>
        <v>19385</v>
      </c>
      <c r="X28" s="216">
        <f>ROUND(data!AC78,0)</f>
        <v>0</v>
      </c>
      <c r="Y28" s="216">
        <f>ROUND(data!AC79,0)</f>
        <v>0</v>
      </c>
      <c r="Z28" s="216">
        <f>ROUND(data!AC80,0)</f>
        <v>0</v>
      </c>
      <c r="AA28" s="216">
        <f>ROUND(data!AC81,0)</f>
        <v>0</v>
      </c>
      <c r="AB28" s="216">
        <f>ROUND(data!AC82,0)</f>
        <v>0</v>
      </c>
      <c r="AC28" s="216">
        <f>ROUND(data!AC83,0)</f>
        <v>28292</v>
      </c>
      <c r="AD28" s="216">
        <f>ROUND(data!AC84,0)</f>
        <v>0</v>
      </c>
      <c r="AE28" s="216">
        <f>ROUND(data!AC89,0)</f>
        <v>7344221</v>
      </c>
      <c r="AF28" s="216">
        <f>ROUND(data!AC87,0)</f>
        <v>2333502</v>
      </c>
      <c r="AG28" s="216">
        <f>IF(data!AC90&gt;0,ROUND(data!AC90,0),0)</f>
        <v>3820</v>
      </c>
      <c r="AH28" s="216">
        <f>IF(data!AC91&gt;0,ROUND(data!AC91,0),0)</f>
        <v>0</v>
      </c>
      <c r="AI28" s="216">
        <f>IF(data!AC92&gt;0,ROUND(data!AC92,0),0)</f>
        <v>125</v>
      </c>
      <c r="AJ28" s="216">
        <f>IF(data!AC93&gt;0,ROUND(data!AC93,0),0)</f>
        <v>4915</v>
      </c>
      <c r="AK28" s="206">
        <f>IF(data!AC94&gt;0,ROUND(data!AC94,2),0)</f>
        <v>0.39</v>
      </c>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row>
    <row r="29" spans="1:89" s="12" customFormat="1" ht="12.6" customHeight="1" x14ac:dyDescent="0.25">
      <c r="A29" s="16" t="str">
        <f>RIGHT(data!$C$97,3)</f>
        <v>085</v>
      </c>
      <c r="B29" s="218" t="str">
        <f>RIGHT(data!$C$96,4)</f>
        <v>2022</v>
      </c>
      <c r="C29" s="16" t="str">
        <f>data!AD$55</f>
        <v>7190</v>
      </c>
      <c r="D29" s="16" t="s">
        <v>1120</v>
      </c>
      <c r="E29" s="216">
        <f>ROUND(data!AD59,0)</f>
        <v>0</v>
      </c>
      <c r="F29" s="206">
        <f>ROUND(data!AD60,2)</f>
        <v>0</v>
      </c>
      <c r="G29" s="216">
        <f>ROUND(data!AD61,0)</f>
        <v>0</v>
      </c>
      <c r="H29" s="216">
        <f>ROUND(data!AD62,0)</f>
        <v>0</v>
      </c>
      <c r="I29" s="216">
        <f>ROUND(data!AD63,0)</f>
        <v>0</v>
      </c>
      <c r="J29" s="216">
        <f>ROUND(data!AD64,0)</f>
        <v>0</v>
      </c>
      <c r="K29" s="216">
        <f>ROUND(data!AD65,0)</f>
        <v>0</v>
      </c>
      <c r="L29" s="216">
        <f>ROUND(data!AD66,0)</f>
        <v>0</v>
      </c>
      <c r="M29" s="66">
        <f>ROUND(data!AD67,0)</f>
        <v>0</v>
      </c>
      <c r="N29" s="216">
        <f>ROUND(data!AD68,0)</f>
        <v>0</v>
      </c>
      <c r="O29" s="216">
        <f>ROUND(data!AD69,0)</f>
        <v>0</v>
      </c>
      <c r="P29" s="216">
        <f>ROUND(data!AD70,0)</f>
        <v>0</v>
      </c>
      <c r="Q29" s="216">
        <f>ROUND(data!AD71,0)</f>
        <v>0</v>
      </c>
      <c r="R29" s="216">
        <f>ROUND(data!AD72,0)</f>
        <v>0</v>
      </c>
      <c r="S29" s="216">
        <f>ROUND(data!AD73,0)</f>
        <v>0</v>
      </c>
      <c r="T29" s="216">
        <f>ROUND(data!AD74,0)</f>
        <v>0</v>
      </c>
      <c r="U29" s="216">
        <f>ROUND(data!AD75,0)</f>
        <v>0</v>
      </c>
      <c r="V29" s="216">
        <f>ROUND(data!AD76,0)</f>
        <v>0</v>
      </c>
      <c r="W29" s="216">
        <f>ROUND(data!AD77,0)</f>
        <v>0</v>
      </c>
      <c r="X29" s="216">
        <f>ROUND(data!AD78,0)</f>
        <v>0</v>
      </c>
      <c r="Y29" s="216">
        <f>ROUND(data!AD79,0)</f>
        <v>0</v>
      </c>
      <c r="Z29" s="216">
        <f>ROUND(data!AD80,0)</f>
        <v>0</v>
      </c>
      <c r="AA29" s="216">
        <f>ROUND(data!AD81,0)</f>
        <v>0</v>
      </c>
      <c r="AB29" s="216">
        <f>ROUND(data!AD82,0)</f>
        <v>0</v>
      </c>
      <c r="AC29" s="216">
        <f>ROUND(data!AD83,0)</f>
        <v>0</v>
      </c>
      <c r="AD29" s="216">
        <f>ROUND(data!AD84,0)</f>
        <v>0</v>
      </c>
      <c r="AE29" s="216">
        <f>ROUND(data!AD89,0)</f>
        <v>0</v>
      </c>
      <c r="AF29" s="216">
        <f>ROUND(data!AD87,0)</f>
        <v>0</v>
      </c>
      <c r="AG29" s="216">
        <f>IF(data!AD90&gt;0,ROUND(data!AD90,0),0)</f>
        <v>0</v>
      </c>
      <c r="AH29" s="216">
        <f>IF(data!AD91&gt;0,ROUND(data!AD91,0),0)</f>
        <v>0</v>
      </c>
      <c r="AI29" s="216">
        <f>IF(data!AD92&gt;0,ROUND(data!AD92,0),0)</f>
        <v>0</v>
      </c>
      <c r="AJ29" s="216">
        <f>IF(data!AD93&gt;0,ROUND(data!AD93,0),0)</f>
        <v>0</v>
      </c>
      <c r="AK29" s="206">
        <f>IF(data!AD94&gt;0,ROUND(data!AD94,2),0)</f>
        <v>0</v>
      </c>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row>
    <row r="30" spans="1:89" s="12" customFormat="1" ht="12.6" customHeight="1" x14ac:dyDescent="0.25">
      <c r="A30" s="16" t="str">
        <f>RIGHT(data!$C$97,3)</f>
        <v>085</v>
      </c>
      <c r="B30" s="218" t="str">
        <f>RIGHT(data!$C$96,4)</f>
        <v>2022</v>
      </c>
      <c r="C30" s="16" t="str">
        <f>data!AE$55</f>
        <v>7200</v>
      </c>
      <c r="D30" s="16" t="s">
        <v>1120</v>
      </c>
      <c r="E30" s="216">
        <f>ROUND(data!AE59,0)</f>
        <v>94355</v>
      </c>
      <c r="F30" s="206">
        <f>ROUND(data!AE60,2)</f>
        <v>33.67</v>
      </c>
      <c r="G30" s="216">
        <f>ROUND(data!AE61,0)</f>
        <v>3148540</v>
      </c>
      <c r="H30" s="216">
        <f>ROUND(data!AE62,0)</f>
        <v>692890</v>
      </c>
      <c r="I30" s="216">
        <f>ROUND(data!AE63,0)</f>
        <v>-5500</v>
      </c>
      <c r="J30" s="216">
        <f>ROUND(data!AE64,0)</f>
        <v>90697</v>
      </c>
      <c r="K30" s="216">
        <f>ROUND(data!AE65,0)</f>
        <v>0</v>
      </c>
      <c r="L30" s="216">
        <f>ROUND(data!AE66,0)</f>
        <v>6888</v>
      </c>
      <c r="M30" s="66">
        <f>ROUND(data!AE67,0)</f>
        <v>217585</v>
      </c>
      <c r="N30" s="216">
        <f>ROUND(data!AE68,0)</f>
        <v>0</v>
      </c>
      <c r="O30" s="216">
        <f>ROUND(data!AE69,0)</f>
        <v>26032</v>
      </c>
      <c r="P30" s="216">
        <f>ROUND(data!AE70,0)</f>
        <v>0</v>
      </c>
      <c r="Q30" s="216">
        <f>ROUND(data!AE71,0)</f>
        <v>0</v>
      </c>
      <c r="R30" s="216">
        <f>ROUND(data!AE72,0)</f>
        <v>0</v>
      </c>
      <c r="S30" s="216">
        <f>ROUND(data!AE73,0)</f>
        <v>0</v>
      </c>
      <c r="T30" s="216">
        <f>ROUND(data!AE74,0)</f>
        <v>0</v>
      </c>
      <c r="U30" s="216">
        <f>ROUND(data!AE75,0)</f>
        <v>0</v>
      </c>
      <c r="V30" s="216">
        <f>ROUND(data!AE76,0)</f>
        <v>0</v>
      </c>
      <c r="W30" s="216">
        <f>ROUND(data!AE77,0)</f>
        <v>3147</v>
      </c>
      <c r="X30" s="216">
        <f>ROUND(data!AE78,0)</f>
        <v>0</v>
      </c>
      <c r="Y30" s="216">
        <f>ROUND(data!AE79,0)</f>
        <v>0</v>
      </c>
      <c r="Z30" s="216">
        <f>ROUND(data!AE80,0)</f>
        <v>0</v>
      </c>
      <c r="AA30" s="216">
        <f>ROUND(data!AE81,0)</f>
        <v>0</v>
      </c>
      <c r="AB30" s="216">
        <f>ROUND(data!AE82,0)</f>
        <v>0</v>
      </c>
      <c r="AC30" s="216">
        <f>ROUND(data!AE83,0)</f>
        <v>22885</v>
      </c>
      <c r="AD30" s="216">
        <f>ROUND(data!AE84,0)</f>
        <v>0</v>
      </c>
      <c r="AE30" s="216">
        <f>ROUND(data!AE89,0)</f>
        <v>11205556</v>
      </c>
      <c r="AF30" s="216">
        <f>ROUND(data!AE87,0)</f>
        <v>595538</v>
      </c>
      <c r="AG30" s="216">
        <f>IF(data!AE90&gt;0,ROUND(data!AE90,0),0)</f>
        <v>6488</v>
      </c>
      <c r="AH30" s="216">
        <f>IF(data!AE91&gt;0,ROUND(data!AE91,0),0)</f>
        <v>0</v>
      </c>
      <c r="AI30" s="216">
        <f>IF(data!AE92&gt;0,ROUND(data!AE92,0),0)</f>
        <v>160</v>
      </c>
      <c r="AJ30" s="216">
        <f>IF(data!AE93&gt;0,ROUND(data!AE93,0),0)</f>
        <v>25647</v>
      </c>
      <c r="AK30" s="206">
        <f>IF(data!AE94&gt;0,ROUND(data!AE94,2),0)</f>
        <v>0</v>
      </c>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row>
    <row r="31" spans="1:89" s="12" customFormat="1" ht="12.6" customHeight="1" x14ac:dyDescent="0.25">
      <c r="A31" s="16" t="str">
        <f>RIGHT(data!$C$97,3)</f>
        <v>085</v>
      </c>
      <c r="B31" s="218" t="str">
        <f>RIGHT(data!$C$96,4)</f>
        <v>2022</v>
      </c>
      <c r="C31" s="16" t="str">
        <f>data!AF$55</f>
        <v>7220</v>
      </c>
      <c r="D31" s="16" t="s">
        <v>1120</v>
      </c>
      <c r="E31" s="216">
        <f>ROUND(data!AF59,0)</f>
        <v>0</v>
      </c>
      <c r="F31" s="206">
        <f>ROUND(data!AF60,2)</f>
        <v>0</v>
      </c>
      <c r="G31" s="216">
        <f>ROUND(data!AF61,0)</f>
        <v>0</v>
      </c>
      <c r="H31" s="216">
        <f>ROUND(data!AF62,0)</f>
        <v>0</v>
      </c>
      <c r="I31" s="216">
        <f>ROUND(data!AF63,0)</f>
        <v>0</v>
      </c>
      <c r="J31" s="216">
        <f>ROUND(data!AF64,0)</f>
        <v>0</v>
      </c>
      <c r="K31" s="216">
        <f>ROUND(data!AF65,0)</f>
        <v>0</v>
      </c>
      <c r="L31" s="216">
        <f>ROUND(data!AF66,0)</f>
        <v>0</v>
      </c>
      <c r="M31" s="66">
        <f>ROUND(data!AF67,0)</f>
        <v>0</v>
      </c>
      <c r="N31" s="216">
        <f>ROUND(data!AF68,0)</f>
        <v>0</v>
      </c>
      <c r="O31" s="216">
        <f>ROUND(data!AF69,0)</f>
        <v>0</v>
      </c>
      <c r="P31" s="216">
        <f>ROUND(data!AF70,0)</f>
        <v>0</v>
      </c>
      <c r="Q31" s="216">
        <f>ROUND(data!AF71,0)</f>
        <v>0</v>
      </c>
      <c r="R31" s="216">
        <f>ROUND(data!AF72,0)</f>
        <v>0</v>
      </c>
      <c r="S31" s="216">
        <f>ROUND(data!AF73,0)</f>
        <v>0</v>
      </c>
      <c r="T31" s="216">
        <f>ROUND(data!AF74,0)</f>
        <v>0</v>
      </c>
      <c r="U31" s="216">
        <f>ROUND(data!AF75,0)</f>
        <v>0</v>
      </c>
      <c r="V31" s="216">
        <f>ROUND(data!AF76,0)</f>
        <v>0</v>
      </c>
      <c r="W31" s="216">
        <f>ROUND(data!AF77,0)</f>
        <v>0</v>
      </c>
      <c r="X31" s="216">
        <f>ROUND(data!AF78,0)</f>
        <v>0</v>
      </c>
      <c r="Y31" s="216">
        <f>ROUND(data!AF79,0)</f>
        <v>0</v>
      </c>
      <c r="Z31" s="216">
        <f>ROUND(data!AF80,0)</f>
        <v>0</v>
      </c>
      <c r="AA31" s="216">
        <f>ROUND(data!AF81,0)</f>
        <v>0</v>
      </c>
      <c r="AB31" s="216">
        <f>ROUND(data!AF82,0)</f>
        <v>0</v>
      </c>
      <c r="AC31" s="216">
        <f>ROUND(data!AF83,0)</f>
        <v>0</v>
      </c>
      <c r="AD31" s="216">
        <f>ROUND(data!AF84,0)</f>
        <v>0</v>
      </c>
      <c r="AE31" s="216">
        <f>ROUND(data!AF89,0)</f>
        <v>0</v>
      </c>
      <c r="AF31" s="216">
        <f>ROUND(data!AF87,0)</f>
        <v>0</v>
      </c>
      <c r="AG31" s="216">
        <f>IF(data!AF90&gt;0,ROUND(data!AF90,0),0)</f>
        <v>0</v>
      </c>
      <c r="AH31" s="216">
        <f>IF(data!AF91&gt;0,ROUND(data!AF91,0),0)</f>
        <v>0</v>
      </c>
      <c r="AI31" s="216">
        <f>IF(data!AF92&gt;0,ROUND(data!AF92,0),0)</f>
        <v>0</v>
      </c>
      <c r="AJ31" s="216">
        <f>IF(data!AF93&gt;0,ROUND(data!AF93,0),0)</f>
        <v>0</v>
      </c>
      <c r="AK31" s="206">
        <f>IF(data!AF94&gt;0,ROUND(data!AF94,2),0)</f>
        <v>0</v>
      </c>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row>
    <row r="32" spans="1:89" s="12" customFormat="1" ht="12.6" customHeight="1" x14ac:dyDescent="0.25">
      <c r="A32" s="16" t="str">
        <f>RIGHT(data!$C$97,3)</f>
        <v>085</v>
      </c>
      <c r="B32" s="218" t="str">
        <f>RIGHT(data!$C$96,4)</f>
        <v>2022</v>
      </c>
      <c r="C32" s="16" t="str">
        <f>data!AG$55</f>
        <v>7230</v>
      </c>
      <c r="D32" s="16" t="s">
        <v>1120</v>
      </c>
      <c r="E32" s="216">
        <f>ROUND(data!AG59,0)</f>
        <v>12941</v>
      </c>
      <c r="F32" s="206">
        <f>ROUND(data!AG60,2)</f>
        <v>36.090000000000003</v>
      </c>
      <c r="G32" s="216">
        <f>ROUND(data!AG61,0)</f>
        <v>5248843</v>
      </c>
      <c r="H32" s="216">
        <f>ROUND(data!AG62,0)</f>
        <v>1155098</v>
      </c>
      <c r="I32" s="216">
        <f>ROUND(data!AG63,0)</f>
        <v>390106</v>
      </c>
      <c r="J32" s="216">
        <f>ROUND(data!AG64,0)</f>
        <v>318707</v>
      </c>
      <c r="K32" s="216">
        <f>ROUND(data!AG65,0)</f>
        <v>0</v>
      </c>
      <c r="L32" s="216">
        <f>ROUND(data!AG66,0)</f>
        <v>61809</v>
      </c>
      <c r="M32" s="66">
        <f>ROUND(data!AG67,0)</f>
        <v>212957</v>
      </c>
      <c r="N32" s="216">
        <f>ROUND(data!AG68,0)</f>
        <v>953</v>
      </c>
      <c r="O32" s="216">
        <f>ROUND(data!AG69,0)</f>
        <v>56474</v>
      </c>
      <c r="P32" s="216">
        <f>ROUND(data!AG70,0)</f>
        <v>0</v>
      </c>
      <c r="Q32" s="216">
        <f>ROUND(data!AG71,0)</f>
        <v>0</v>
      </c>
      <c r="R32" s="216">
        <f>ROUND(data!AG72,0)</f>
        <v>0</v>
      </c>
      <c r="S32" s="216">
        <f>ROUND(data!AG73,0)</f>
        <v>0</v>
      </c>
      <c r="T32" s="216">
        <f>ROUND(data!AG74,0)</f>
        <v>0</v>
      </c>
      <c r="U32" s="216">
        <f>ROUND(data!AG75,0)</f>
        <v>0</v>
      </c>
      <c r="V32" s="216">
        <f>ROUND(data!AG76,0)</f>
        <v>0</v>
      </c>
      <c r="W32" s="216">
        <f>ROUND(data!AG77,0)</f>
        <v>14508</v>
      </c>
      <c r="X32" s="216">
        <f>ROUND(data!AG78,0)</f>
        <v>0</v>
      </c>
      <c r="Y32" s="216">
        <f>ROUND(data!AG79,0)</f>
        <v>0</v>
      </c>
      <c r="Z32" s="216">
        <f>ROUND(data!AG80,0)</f>
        <v>0</v>
      </c>
      <c r="AA32" s="216">
        <f>ROUND(data!AG81,0)</f>
        <v>0</v>
      </c>
      <c r="AB32" s="216">
        <f>ROUND(data!AG82,0)</f>
        <v>0</v>
      </c>
      <c r="AC32" s="216">
        <f>ROUND(data!AG83,0)</f>
        <v>41966</v>
      </c>
      <c r="AD32" s="216">
        <f>ROUND(data!AG84,0)</f>
        <v>0</v>
      </c>
      <c r="AE32" s="216">
        <f>ROUND(data!AG89,0)</f>
        <v>41507886</v>
      </c>
      <c r="AF32" s="216">
        <f>ROUND(data!AG87,0)</f>
        <v>1552035</v>
      </c>
      <c r="AG32" s="216">
        <f>IF(data!AG90&gt;0,ROUND(data!AG90,0),0)</f>
        <v>6350</v>
      </c>
      <c r="AH32" s="216">
        <f>IF(data!AG91&gt;0,ROUND(data!AG91,0),0)</f>
        <v>0</v>
      </c>
      <c r="AI32" s="216">
        <f>IF(data!AG92&gt;0,ROUND(data!AG92,0),0)</f>
        <v>240</v>
      </c>
      <c r="AJ32" s="216">
        <f>IF(data!AG93&gt;0,ROUND(data!AG93,0),0)</f>
        <v>63339</v>
      </c>
      <c r="AK32" s="206">
        <f>IF(data!AG94&gt;0,ROUND(data!AG94,2),0)</f>
        <v>15.57</v>
      </c>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row>
    <row r="33" spans="1:89" s="12" customFormat="1" ht="12.6" customHeight="1" x14ac:dyDescent="0.25">
      <c r="A33" s="16" t="str">
        <f>RIGHT(data!$C$97,3)</f>
        <v>085</v>
      </c>
      <c r="B33" s="218" t="str">
        <f>RIGHT(data!$C$96,4)</f>
        <v>2022</v>
      </c>
      <c r="C33" s="16" t="str">
        <f>data!AH$55</f>
        <v>7240</v>
      </c>
      <c r="D33" s="16" t="s">
        <v>1120</v>
      </c>
      <c r="E33" s="216">
        <f>ROUND(data!AH59,0)</f>
        <v>0</v>
      </c>
      <c r="F33" s="206">
        <f>ROUND(data!AH60,2)</f>
        <v>0</v>
      </c>
      <c r="G33" s="216">
        <f>ROUND(data!AH61,0)</f>
        <v>0</v>
      </c>
      <c r="H33" s="216">
        <f>ROUND(data!AH62,0)</f>
        <v>0</v>
      </c>
      <c r="I33" s="216">
        <f>ROUND(data!AH63,0)</f>
        <v>0</v>
      </c>
      <c r="J33" s="216">
        <f>ROUND(data!AH64,0)</f>
        <v>0</v>
      </c>
      <c r="K33" s="216">
        <f>ROUND(data!AH65,0)</f>
        <v>0</v>
      </c>
      <c r="L33" s="216">
        <f>ROUND(data!AH66,0)</f>
        <v>0</v>
      </c>
      <c r="M33" s="66">
        <f>ROUND(data!AH67,0)</f>
        <v>0</v>
      </c>
      <c r="N33" s="216">
        <f>ROUND(data!AH68,0)</f>
        <v>0</v>
      </c>
      <c r="O33" s="216">
        <f>ROUND(data!AH69,0)</f>
        <v>0</v>
      </c>
      <c r="P33" s="216">
        <f>ROUND(data!AH70,0)</f>
        <v>0</v>
      </c>
      <c r="Q33" s="216">
        <f>ROUND(data!AH71,0)</f>
        <v>0</v>
      </c>
      <c r="R33" s="216">
        <f>ROUND(data!AH72,0)</f>
        <v>0</v>
      </c>
      <c r="S33" s="216">
        <f>ROUND(data!AH73,0)</f>
        <v>0</v>
      </c>
      <c r="T33" s="216">
        <f>ROUND(data!AH74,0)</f>
        <v>0</v>
      </c>
      <c r="U33" s="216">
        <f>ROUND(data!AH75,0)</f>
        <v>0</v>
      </c>
      <c r="V33" s="216">
        <f>ROUND(data!AH76,0)</f>
        <v>0</v>
      </c>
      <c r="W33" s="216">
        <f>ROUND(data!AH77,0)</f>
        <v>0</v>
      </c>
      <c r="X33" s="216">
        <f>ROUND(data!AH78,0)</f>
        <v>0</v>
      </c>
      <c r="Y33" s="216">
        <f>ROUND(data!AH79,0)</f>
        <v>0</v>
      </c>
      <c r="Z33" s="216">
        <f>ROUND(data!AH80,0)</f>
        <v>0</v>
      </c>
      <c r="AA33" s="216">
        <f>ROUND(data!AH81,0)</f>
        <v>0</v>
      </c>
      <c r="AB33" s="216">
        <f>ROUND(data!AH82,0)</f>
        <v>0</v>
      </c>
      <c r="AC33" s="216">
        <f>ROUND(data!AH83,0)</f>
        <v>0</v>
      </c>
      <c r="AD33" s="216">
        <f>ROUND(data!AH84,0)</f>
        <v>0</v>
      </c>
      <c r="AE33" s="216">
        <f>ROUND(data!AH89,0)</f>
        <v>0</v>
      </c>
      <c r="AF33" s="216">
        <f>ROUND(data!AH87,0)</f>
        <v>0</v>
      </c>
      <c r="AG33" s="216">
        <f>IF(data!AH90&gt;0,ROUND(data!AH90,0),0)</f>
        <v>0</v>
      </c>
      <c r="AH33" s="216">
        <f>IF(data!AH91&gt;0,ROUND(data!AH91,0),0)</f>
        <v>0</v>
      </c>
      <c r="AI33" s="216">
        <f>IF(data!AH92&gt;0,ROUND(data!AH92,0),0)</f>
        <v>0</v>
      </c>
      <c r="AJ33" s="216">
        <f>IF(data!AH93&gt;0,ROUND(data!AH93,0),0)</f>
        <v>0</v>
      </c>
      <c r="AK33" s="206">
        <f>IF(data!AH94&gt;0,ROUND(data!AH94,2),0)</f>
        <v>0</v>
      </c>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row>
    <row r="34" spans="1:89" s="12" customFormat="1" ht="12.6" customHeight="1" x14ac:dyDescent="0.25">
      <c r="A34" s="16" t="str">
        <f>RIGHT(data!$C$97,3)</f>
        <v>085</v>
      </c>
      <c r="B34" s="218" t="str">
        <f>RIGHT(data!$C$96,4)</f>
        <v>2022</v>
      </c>
      <c r="C34" s="16" t="str">
        <f>data!AI$55</f>
        <v>7250</v>
      </c>
      <c r="D34" s="16" t="s">
        <v>1120</v>
      </c>
      <c r="E34" s="216">
        <f>ROUND(data!AI59,0)</f>
        <v>0</v>
      </c>
      <c r="F34" s="206">
        <f>ROUND(data!AI60,2)</f>
        <v>0</v>
      </c>
      <c r="G34" s="216">
        <f>ROUND(data!AI61,0)</f>
        <v>0</v>
      </c>
      <c r="H34" s="216">
        <f>ROUND(data!AI62,0)</f>
        <v>0</v>
      </c>
      <c r="I34" s="216">
        <f>ROUND(data!AI63,0)</f>
        <v>0</v>
      </c>
      <c r="J34" s="216">
        <f>ROUND(data!AI64,0)</f>
        <v>0</v>
      </c>
      <c r="K34" s="216">
        <f>ROUND(data!AI65,0)</f>
        <v>0</v>
      </c>
      <c r="L34" s="216">
        <f>ROUND(data!AI66,0)</f>
        <v>0</v>
      </c>
      <c r="M34" s="66">
        <f>ROUND(data!AI67,0)</f>
        <v>0</v>
      </c>
      <c r="N34" s="216">
        <f>ROUND(data!AI68,0)</f>
        <v>0</v>
      </c>
      <c r="O34" s="216">
        <f>ROUND(data!AI69,0)</f>
        <v>0</v>
      </c>
      <c r="P34" s="216">
        <f>ROUND(data!AI70,0)</f>
        <v>0</v>
      </c>
      <c r="Q34" s="216">
        <f>ROUND(data!AI71,0)</f>
        <v>0</v>
      </c>
      <c r="R34" s="216">
        <f>ROUND(data!AI72,0)</f>
        <v>0</v>
      </c>
      <c r="S34" s="216">
        <f>ROUND(data!AI73,0)</f>
        <v>0</v>
      </c>
      <c r="T34" s="216">
        <f>ROUND(data!AI74,0)</f>
        <v>0</v>
      </c>
      <c r="U34" s="216">
        <f>ROUND(data!AI75,0)</f>
        <v>0</v>
      </c>
      <c r="V34" s="216">
        <f>ROUND(data!AI76,0)</f>
        <v>0</v>
      </c>
      <c r="W34" s="216">
        <f>ROUND(data!AI77,0)</f>
        <v>0</v>
      </c>
      <c r="X34" s="216">
        <f>ROUND(data!AI78,0)</f>
        <v>0</v>
      </c>
      <c r="Y34" s="216">
        <f>ROUND(data!AI79,0)</f>
        <v>0</v>
      </c>
      <c r="Z34" s="216">
        <f>ROUND(data!AI80,0)</f>
        <v>0</v>
      </c>
      <c r="AA34" s="216">
        <f>ROUND(data!AI81,0)</f>
        <v>0</v>
      </c>
      <c r="AB34" s="216">
        <f>ROUND(data!AI82,0)</f>
        <v>0</v>
      </c>
      <c r="AC34" s="216">
        <f>ROUND(data!AI83,0)</f>
        <v>0</v>
      </c>
      <c r="AD34" s="216">
        <f>ROUND(data!AI84,0)</f>
        <v>0</v>
      </c>
      <c r="AE34" s="216">
        <f>ROUND(data!AI89,0)</f>
        <v>0</v>
      </c>
      <c r="AF34" s="216">
        <f>ROUND(data!AI87,0)</f>
        <v>0</v>
      </c>
      <c r="AG34" s="216">
        <f>IF(data!AI90&gt;0,ROUND(data!AI90,0),0)</f>
        <v>0</v>
      </c>
      <c r="AH34" s="216">
        <f>IF(data!AI91&gt;0,ROUND(data!AI91,0),0)</f>
        <v>0</v>
      </c>
      <c r="AI34" s="216">
        <f>IF(data!AI92&gt;0,ROUND(data!AI92,0),0)</f>
        <v>0</v>
      </c>
      <c r="AJ34" s="216">
        <f>IF(data!AI93&gt;0,ROUND(data!AI93,0),0)</f>
        <v>0</v>
      </c>
      <c r="AK34" s="206">
        <f>IF(data!AI94&gt;0,ROUND(data!AI94,2),0)</f>
        <v>0</v>
      </c>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row>
    <row r="35" spans="1:89" s="12" customFormat="1" ht="12.6" customHeight="1" x14ac:dyDescent="0.25">
      <c r="A35" s="16" t="str">
        <f>RIGHT(data!$C$97,3)</f>
        <v>085</v>
      </c>
      <c r="B35" s="218" t="str">
        <f>RIGHT(data!$C$96,4)</f>
        <v>2022</v>
      </c>
      <c r="C35" s="16" t="str">
        <f>data!AJ$55</f>
        <v>7260</v>
      </c>
      <c r="D35" s="16" t="s">
        <v>1120</v>
      </c>
      <c r="E35" s="216">
        <f>ROUND(data!AJ59,0)</f>
        <v>111252</v>
      </c>
      <c r="F35" s="206">
        <f>ROUND(data!AJ60,2)</f>
        <v>223.98</v>
      </c>
      <c r="G35" s="216">
        <f>ROUND(data!AJ61,0)</f>
        <v>25734150</v>
      </c>
      <c r="H35" s="216">
        <f>ROUND(data!AJ62,0)</f>
        <v>5663241</v>
      </c>
      <c r="I35" s="216">
        <f>ROUND(data!AJ63,0)</f>
        <v>1071816</v>
      </c>
      <c r="J35" s="216">
        <f>ROUND(data!AJ64,0)</f>
        <v>1945692</v>
      </c>
      <c r="K35" s="216">
        <f>ROUND(data!AJ65,0)</f>
        <v>127047</v>
      </c>
      <c r="L35" s="216">
        <f>ROUND(data!AJ66,0)</f>
        <v>430702</v>
      </c>
      <c r="M35" s="66">
        <f>ROUND(data!AJ67,0)</f>
        <v>1287905</v>
      </c>
      <c r="N35" s="216">
        <f>ROUND(data!AJ68,0)</f>
        <v>27349</v>
      </c>
      <c r="O35" s="216">
        <f>ROUND(data!AJ69,0)</f>
        <v>339753</v>
      </c>
      <c r="P35" s="216">
        <f>ROUND(data!AJ70,0)</f>
        <v>0</v>
      </c>
      <c r="Q35" s="216">
        <f>ROUND(data!AJ71,0)</f>
        <v>0</v>
      </c>
      <c r="R35" s="216">
        <f>ROUND(data!AJ72,0)</f>
        <v>0</v>
      </c>
      <c r="S35" s="216">
        <f>ROUND(data!AJ73,0)</f>
        <v>0</v>
      </c>
      <c r="T35" s="216">
        <f>ROUND(data!AJ74,0)</f>
        <v>0</v>
      </c>
      <c r="U35" s="216">
        <f>ROUND(data!AJ75,0)</f>
        <v>0</v>
      </c>
      <c r="V35" s="216">
        <f>ROUND(data!AJ76,0)</f>
        <v>0</v>
      </c>
      <c r="W35" s="216">
        <f>ROUND(data!AJ77,0)</f>
        <v>27489</v>
      </c>
      <c r="X35" s="216">
        <f>ROUND(data!AJ78,0)</f>
        <v>0</v>
      </c>
      <c r="Y35" s="216">
        <f>ROUND(data!AJ79,0)</f>
        <v>0</v>
      </c>
      <c r="Z35" s="216">
        <f>ROUND(data!AJ80,0)</f>
        <v>0</v>
      </c>
      <c r="AA35" s="216">
        <f>ROUND(data!AJ81,0)</f>
        <v>0</v>
      </c>
      <c r="AB35" s="216">
        <f>ROUND(data!AJ82,0)</f>
        <v>0</v>
      </c>
      <c r="AC35" s="216">
        <f>ROUND(data!AJ83,0)</f>
        <v>312264</v>
      </c>
      <c r="AD35" s="216">
        <f>ROUND(data!AJ84,0)</f>
        <v>0</v>
      </c>
      <c r="AE35" s="216">
        <f>ROUND(data!AJ89,0)</f>
        <v>46194673</v>
      </c>
      <c r="AF35" s="216">
        <f>ROUND(data!AJ87,0)</f>
        <v>1689049</v>
      </c>
      <c r="AG35" s="216">
        <f>IF(data!AJ90&gt;0,ROUND(data!AJ90,0),0)</f>
        <v>38403</v>
      </c>
      <c r="AH35" s="216">
        <f>IF(data!AJ91&gt;0,ROUND(data!AJ91,0),0)</f>
        <v>0</v>
      </c>
      <c r="AI35" s="216">
        <f>IF(data!AJ92&gt;0,ROUND(data!AJ92,0),0)</f>
        <v>433</v>
      </c>
      <c r="AJ35" s="216">
        <f>IF(data!AJ93&gt;0,ROUND(data!AJ93,0),0)</f>
        <v>25122</v>
      </c>
      <c r="AK35" s="206">
        <f>IF(data!AJ94&gt;0,ROUND(data!AJ94,2),0)</f>
        <v>3.02</v>
      </c>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row>
    <row r="36" spans="1:89" s="12" customFormat="1" ht="12.6" customHeight="1" x14ac:dyDescent="0.25">
      <c r="A36" s="16" t="str">
        <f>RIGHT(data!$C$97,3)</f>
        <v>085</v>
      </c>
      <c r="B36" s="218" t="str">
        <f>RIGHT(data!$C$96,4)</f>
        <v>2022</v>
      </c>
      <c r="C36" s="16" t="str">
        <f>data!AK$55</f>
        <v>7310</v>
      </c>
      <c r="D36" s="16" t="s">
        <v>1120</v>
      </c>
      <c r="E36" s="216">
        <f>ROUND(data!AK59,0)</f>
        <v>0</v>
      </c>
      <c r="F36" s="206">
        <f>ROUND(data!AK60,2)</f>
        <v>0</v>
      </c>
      <c r="G36" s="216">
        <f>ROUND(data!AK61,0)</f>
        <v>0</v>
      </c>
      <c r="H36" s="216">
        <f>ROUND(data!AK62,0)</f>
        <v>0</v>
      </c>
      <c r="I36" s="216">
        <f>ROUND(data!AK63,0)</f>
        <v>0</v>
      </c>
      <c r="J36" s="216">
        <f>ROUND(data!AK64,0)</f>
        <v>0</v>
      </c>
      <c r="K36" s="216">
        <f>ROUND(data!AK65,0)</f>
        <v>0</v>
      </c>
      <c r="L36" s="216">
        <f>ROUND(data!AK66,0)</f>
        <v>0</v>
      </c>
      <c r="M36" s="66">
        <f>ROUND(data!AK67,0)</f>
        <v>0</v>
      </c>
      <c r="N36" s="216">
        <f>ROUND(data!AK68,0)</f>
        <v>0</v>
      </c>
      <c r="O36" s="216">
        <f>ROUND(data!AK69,0)</f>
        <v>0</v>
      </c>
      <c r="P36" s="216">
        <f>ROUND(data!AK70,0)</f>
        <v>0</v>
      </c>
      <c r="Q36" s="216">
        <f>ROUND(data!AK71,0)</f>
        <v>0</v>
      </c>
      <c r="R36" s="216">
        <f>ROUND(data!AK72,0)</f>
        <v>0</v>
      </c>
      <c r="S36" s="216">
        <f>ROUND(data!AK73,0)</f>
        <v>0</v>
      </c>
      <c r="T36" s="216">
        <f>ROUND(data!AK74,0)</f>
        <v>0</v>
      </c>
      <c r="U36" s="216">
        <f>ROUND(data!AK75,0)</f>
        <v>0</v>
      </c>
      <c r="V36" s="216">
        <f>ROUND(data!AK76,0)</f>
        <v>0</v>
      </c>
      <c r="W36" s="216">
        <f>ROUND(data!AK77,0)</f>
        <v>0</v>
      </c>
      <c r="X36" s="216">
        <f>ROUND(data!AK78,0)</f>
        <v>0</v>
      </c>
      <c r="Y36" s="216">
        <f>ROUND(data!AK79,0)</f>
        <v>0</v>
      </c>
      <c r="Z36" s="216">
        <f>ROUND(data!AK80,0)</f>
        <v>0</v>
      </c>
      <c r="AA36" s="216">
        <f>ROUND(data!AK81,0)</f>
        <v>0</v>
      </c>
      <c r="AB36" s="216">
        <f>ROUND(data!AK82,0)</f>
        <v>0</v>
      </c>
      <c r="AC36" s="216">
        <f>ROUND(data!AK83,0)</f>
        <v>0</v>
      </c>
      <c r="AD36" s="216">
        <f>ROUND(data!AK84,0)</f>
        <v>0</v>
      </c>
      <c r="AE36" s="216">
        <f>ROUND(data!AK89,0)</f>
        <v>0</v>
      </c>
      <c r="AF36" s="216">
        <f>ROUND(data!AK87,0)</f>
        <v>0</v>
      </c>
      <c r="AG36" s="216">
        <f>IF(data!AK90&gt;0,ROUND(data!AK90,0),0)</f>
        <v>0</v>
      </c>
      <c r="AH36" s="216">
        <f>IF(data!AK91&gt;0,ROUND(data!AK91,0),0)</f>
        <v>0</v>
      </c>
      <c r="AI36" s="216">
        <f>IF(data!AK92&gt;0,ROUND(data!AK92,0),0)</f>
        <v>0</v>
      </c>
      <c r="AJ36" s="216">
        <f>IF(data!AK93&gt;0,ROUND(data!AK93,0),0)</f>
        <v>0</v>
      </c>
      <c r="AK36" s="206">
        <f>IF(data!AK94&gt;0,ROUND(data!AK94,2),0)</f>
        <v>0</v>
      </c>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row>
    <row r="37" spans="1:89" s="12" customFormat="1" ht="12.6" customHeight="1" x14ac:dyDescent="0.25">
      <c r="A37" s="16" t="str">
        <f>RIGHT(data!$C$97,3)</f>
        <v>085</v>
      </c>
      <c r="B37" s="218" t="str">
        <f>RIGHT(data!$C$96,4)</f>
        <v>2022</v>
      </c>
      <c r="C37" s="16" t="str">
        <f>data!AL$55</f>
        <v>7320</v>
      </c>
      <c r="D37" s="16" t="s">
        <v>1120</v>
      </c>
      <c r="E37" s="216">
        <f>ROUND(data!AL59,0)</f>
        <v>0</v>
      </c>
      <c r="F37" s="206">
        <f>ROUND(data!AL60,2)</f>
        <v>0</v>
      </c>
      <c r="G37" s="216">
        <f>ROUND(data!AL61,0)</f>
        <v>0</v>
      </c>
      <c r="H37" s="216">
        <f>ROUND(data!AL62,0)</f>
        <v>0</v>
      </c>
      <c r="I37" s="216">
        <f>ROUND(data!AL63,0)</f>
        <v>0</v>
      </c>
      <c r="J37" s="216">
        <f>ROUND(data!AL64,0)</f>
        <v>0</v>
      </c>
      <c r="K37" s="216">
        <f>ROUND(data!AL65,0)</f>
        <v>0</v>
      </c>
      <c r="L37" s="216">
        <f>ROUND(data!AL66,0)</f>
        <v>0</v>
      </c>
      <c r="M37" s="66">
        <f>ROUND(data!AL67,0)</f>
        <v>0</v>
      </c>
      <c r="N37" s="216">
        <f>ROUND(data!AL68,0)</f>
        <v>0</v>
      </c>
      <c r="O37" s="216">
        <f>ROUND(data!AL69,0)</f>
        <v>0</v>
      </c>
      <c r="P37" s="216">
        <f>ROUND(data!AL70,0)</f>
        <v>0</v>
      </c>
      <c r="Q37" s="216">
        <f>ROUND(data!AL71,0)</f>
        <v>0</v>
      </c>
      <c r="R37" s="216">
        <f>ROUND(data!AL72,0)</f>
        <v>0</v>
      </c>
      <c r="S37" s="216">
        <f>ROUND(data!AL73,0)</f>
        <v>0</v>
      </c>
      <c r="T37" s="216">
        <f>ROUND(data!AL74,0)</f>
        <v>0</v>
      </c>
      <c r="U37" s="216">
        <f>ROUND(data!AL75,0)</f>
        <v>0</v>
      </c>
      <c r="V37" s="216">
        <f>ROUND(data!AL76,0)</f>
        <v>0</v>
      </c>
      <c r="W37" s="216">
        <f>ROUND(data!AL77,0)</f>
        <v>0</v>
      </c>
      <c r="X37" s="216">
        <f>ROUND(data!AL78,0)</f>
        <v>0</v>
      </c>
      <c r="Y37" s="216">
        <f>ROUND(data!AL79,0)</f>
        <v>0</v>
      </c>
      <c r="Z37" s="216">
        <f>ROUND(data!AL80,0)</f>
        <v>0</v>
      </c>
      <c r="AA37" s="216">
        <f>ROUND(data!AL81,0)</f>
        <v>0</v>
      </c>
      <c r="AB37" s="216">
        <f>ROUND(data!AL82,0)</f>
        <v>0</v>
      </c>
      <c r="AC37" s="216">
        <f>ROUND(data!AL83,0)</f>
        <v>0</v>
      </c>
      <c r="AD37" s="216">
        <f>ROUND(data!AL84,0)</f>
        <v>0</v>
      </c>
      <c r="AE37" s="216">
        <f>ROUND(data!AL89,0)</f>
        <v>0</v>
      </c>
      <c r="AF37" s="216">
        <f>ROUND(data!AL87,0)</f>
        <v>0</v>
      </c>
      <c r="AG37" s="216">
        <f>IF(data!AL90&gt;0,ROUND(data!AL90,0),0)</f>
        <v>0</v>
      </c>
      <c r="AH37" s="216">
        <f>IF(data!AL91&gt;0,ROUND(data!AL91,0),0)</f>
        <v>0</v>
      </c>
      <c r="AI37" s="216">
        <f>IF(data!AL92&gt;0,ROUND(data!AL92,0),0)</f>
        <v>0</v>
      </c>
      <c r="AJ37" s="216">
        <f>IF(data!AL93&gt;0,ROUND(data!AL93,0),0)</f>
        <v>0</v>
      </c>
      <c r="AK37" s="206">
        <f>IF(data!AL94&gt;0,ROUND(data!AL94,2),0)</f>
        <v>0</v>
      </c>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row>
    <row r="38" spans="1:89" s="12" customFormat="1" ht="12.6" customHeight="1" x14ac:dyDescent="0.25">
      <c r="A38" s="16" t="str">
        <f>RIGHT(data!$C$97,3)</f>
        <v>085</v>
      </c>
      <c r="B38" s="218" t="str">
        <f>RIGHT(data!$C$96,4)</f>
        <v>2022</v>
      </c>
      <c r="C38" s="16" t="str">
        <f>data!AM$55</f>
        <v>7330</v>
      </c>
      <c r="D38" s="16" t="s">
        <v>1120</v>
      </c>
      <c r="E38" s="216">
        <f>ROUND(data!AM59,0)</f>
        <v>0</v>
      </c>
      <c r="F38" s="206">
        <f>ROUND(data!AM60,2)</f>
        <v>0</v>
      </c>
      <c r="G38" s="216">
        <f>ROUND(data!AM61,0)</f>
        <v>0</v>
      </c>
      <c r="H38" s="216">
        <f>ROUND(data!AM62,0)</f>
        <v>0</v>
      </c>
      <c r="I38" s="216">
        <f>ROUND(data!AM63,0)</f>
        <v>0</v>
      </c>
      <c r="J38" s="216">
        <f>ROUND(data!AM64,0)</f>
        <v>0</v>
      </c>
      <c r="K38" s="216">
        <f>ROUND(data!AM65,0)</f>
        <v>0</v>
      </c>
      <c r="L38" s="216">
        <f>ROUND(data!AM66,0)</f>
        <v>0</v>
      </c>
      <c r="M38" s="66">
        <f>ROUND(data!AM67,0)</f>
        <v>0</v>
      </c>
      <c r="N38" s="216">
        <f>ROUND(data!AM68,0)</f>
        <v>0</v>
      </c>
      <c r="O38" s="216">
        <f>ROUND(data!AM69,0)</f>
        <v>0</v>
      </c>
      <c r="P38" s="216">
        <f>ROUND(data!AM70,0)</f>
        <v>0</v>
      </c>
      <c r="Q38" s="216">
        <f>ROUND(data!AM71,0)</f>
        <v>0</v>
      </c>
      <c r="R38" s="216">
        <f>ROUND(data!AM72,0)</f>
        <v>0</v>
      </c>
      <c r="S38" s="216">
        <f>ROUND(data!AM73,0)</f>
        <v>0</v>
      </c>
      <c r="T38" s="216">
        <f>ROUND(data!AM74,0)</f>
        <v>0</v>
      </c>
      <c r="U38" s="216">
        <f>ROUND(data!AM75,0)</f>
        <v>0</v>
      </c>
      <c r="V38" s="216">
        <f>ROUND(data!AM76,0)</f>
        <v>0</v>
      </c>
      <c r="W38" s="216">
        <f>ROUND(data!AM77,0)</f>
        <v>0</v>
      </c>
      <c r="X38" s="216">
        <f>ROUND(data!AM78,0)</f>
        <v>0</v>
      </c>
      <c r="Y38" s="216">
        <f>ROUND(data!AM79,0)</f>
        <v>0</v>
      </c>
      <c r="Z38" s="216">
        <f>ROUND(data!AM80,0)</f>
        <v>0</v>
      </c>
      <c r="AA38" s="216">
        <f>ROUND(data!AM81,0)</f>
        <v>0</v>
      </c>
      <c r="AB38" s="216">
        <f>ROUND(data!AM82,0)</f>
        <v>0</v>
      </c>
      <c r="AC38" s="216">
        <f>ROUND(data!AM83,0)</f>
        <v>0</v>
      </c>
      <c r="AD38" s="216">
        <f>ROUND(data!AM84,0)</f>
        <v>0</v>
      </c>
      <c r="AE38" s="216">
        <f>ROUND(data!AM89,0)</f>
        <v>0</v>
      </c>
      <c r="AF38" s="216">
        <f>ROUND(data!AM87,0)</f>
        <v>0</v>
      </c>
      <c r="AG38" s="216">
        <f>IF(data!AM90&gt;0,ROUND(data!AM90,0),0)</f>
        <v>0</v>
      </c>
      <c r="AH38" s="216">
        <f>IF(data!AM91&gt;0,ROUND(data!AM91,0),0)</f>
        <v>0</v>
      </c>
      <c r="AI38" s="216">
        <f>IF(data!AM92&gt;0,ROUND(data!AM92,0),0)</f>
        <v>0</v>
      </c>
      <c r="AJ38" s="216">
        <f>IF(data!AM93&gt;0,ROUND(data!AM93,0),0)</f>
        <v>0</v>
      </c>
      <c r="AK38" s="206">
        <f>IF(data!AM94&gt;0,ROUND(data!AM94,2),0)</f>
        <v>0</v>
      </c>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row>
    <row r="39" spans="1:89" s="12" customFormat="1" ht="12.6" customHeight="1" x14ac:dyDescent="0.25">
      <c r="A39" s="16" t="str">
        <f>RIGHT(data!$C$97,3)</f>
        <v>085</v>
      </c>
      <c r="B39" s="218" t="str">
        <f>RIGHT(data!$C$96,4)</f>
        <v>2022</v>
      </c>
      <c r="C39" s="16" t="str">
        <f>data!AN$55</f>
        <v>7340</v>
      </c>
      <c r="D39" s="16" t="s">
        <v>1120</v>
      </c>
      <c r="E39" s="216">
        <f>ROUND(data!AN59,0)</f>
        <v>0</v>
      </c>
      <c r="F39" s="206">
        <f>ROUND(data!AN60,2)</f>
        <v>0</v>
      </c>
      <c r="G39" s="216">
        <f>ROUND(data!AN61,0)</f>
        <v>0</v>
      </c>
      <c r="H39" s="216">
        <f>ROUND(data!AN62,0)</f>
        <v>0</v>
      </c>
      <c r="I39" s="216">
        <f>ROUND(data!AN63,0)</f>
        <v>0</v>
      </c>
      <c r="J39" s="216">
        <f>ROUND(data!AN64,0)</f>
        <v>0</v>
      </c>
      <c r="K39" s="216">
        <f>ROUND(data!AN65,0)</f>
        <v>0</v>
      </c>
      <c r="L39" s="216">
        <f>ROUND(data!AN66,0)</f>
        <v>0</v>
      </c>
      <c r="M39" s="66">
        <f>ROUND(data!AN67,0)</f>
        <v>0</v>
      </c>
      <c r="N39" s="216">
        <f>ROUND(data!AN68,0)</f>
        <v>0</v>
      </c>
      <c r="O39" s="216">
        <f>ROUND(data!AN69,0)</f>
        <v>0</v>
      </c>
      <c r="P39" s="216">
        <f>ROUND(data!AN70,0)</f>
        <v>0</v>
      </c>
      <c r="Q39" s="216">
        <f>ROUND(data!AN71,0)</f>
        <v>0</v>
      </c>
      <c r="R39" s="216">
        <f>ROUND(data!AN72,0)</f>
        <v>0</v>
      </c>
      <c r="S39" s="216">
        <f>ROUND(data!AN73,0)</f>
        <v>0</v>
      </c>
      <c r="T39" s="216">
        <f>ROUND(data!AN74,0)</f>
        <v>0</v>
      </c>
      <c r="U39" s="216">
        <f>ROUND(data!AN75,0)</f>
        <v>0</v>
      </c>
      <c r="V39" s="216">
        <f>ROUND(data!AN76,0)</f>
        <v>0</v>
      </c>
      <c r="W39" s="216">
        <f>ROUND(data!AN77,0)</f>
        <v>0</v>
      </c>
      <c r="X39" s="216">
        <f>ROUND(data!AN78,0)</f>
        <v>0</v>
      </c>
      <c r="Y39" s="216">
        <f>ROUND(data!AN79,0)</f>
        <v>0</v>
      </c>
      <c r="Z39" s="216">
        <f>ROUND(data!AN80,0)</f>
        <v>0</v>
      </c>
      <c r="AA39" s="216">
        <f>ROUND(data!AN81,0)</f>
        <v>0</v>
      </c>
      <c r="AB39" s="216">
        <f>ROUND(data!AN82,0)</f>
        <v>0</v>
      </c>
      <c r="AC39" s="216">
        <f>ROUND(data!AN83,0)</f>
        <v>0</v>
      </c>
      <c r="AD39" s="216">
        <f>ROUND(data!AN84,0)</f>
        <v>0</v>
      </c>
      <c r="AE39" s="216">
        <f>ROUND(data!AN89,0)</f>
        <v>0</v>
      </c>
      <c r="AF39" s="216">
        <f>ROUND(data!AN87,0)</f>
        <v>0</v>
      </c>
      <c r="AG39" s="216">
        <f>IF(data!AN90&gt;0,ROUND(data!AN90,0),0)</f>
        <v>0</v>
      </c>
      <c r="AH39" s="216">
        <f>IF(data!AN91&gt;0,ROUND(data!AN91,0),0)</f>
        <v>0</v>
      </c>
      <c r="AI39" s="216">
        <f>IF(data!AN92&gt;0,ROUND(data!AN92,0),0)</f>
        <v>0</v>
      </c>
      <c r="AJ39" s="216">
        <f>IF(data!AN93&gt;0,ROUND(data!AN93,0),0)</f>
        <v>0</v>
      </c>
      <c r="AK39" s="206">
        <f>IF(data!AN94&gt;0,ROUND(data!AN94,2),0)</f>
        <v>0</v>
      </c>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row>
    <row r="40" spans="1:89" s="12" customFormat="1" ht="12.6" customHeight="1" x14ac:dyDescent="0.25">
      <c r="A40" s="16" t="str">
        <f>RIGHT(data!$C$97,3)</f>
        <v>085</v>
      </c>
      <c r="B40" s="218" t="str">
        <f>RIGHT(data!$C$96,4)</f>
        <v>2022</v>
      </c>
      <c r="C40" s="16" t="str">
        <f>data!AO$55</f>
        <v>7350</v>
      </c>
      <c r="D40" s="16" t="s">
        <v>1120</v>
      </c>
      <c r="E40" s="216">
        <f>ROUND(data!AO59,0)</f>
        <v>9888</v>
      </c>
      <c r="F40" s="206">
        <f>ROUND(data!AO60,2)</f>
        <v>4.3499999999999996</v>
      </c>
      <c r="G40" s="216">
        <f>ROUND(data!AO61,0)</f>
        <v>563345</v>
      </c>
      <c r="H40" s="216">
        <f>ROUND(data!AO62,0)</f>
        <v>123974</v>
      </c>
      <c r="I40" s="216">
        <f>ROUND(data!AO63,0)</f>
        <v>50788</v>
      </c>
      <c r="J40" s="216">
        <f>ROUND(data!AO64,0)</f>
        <v>27544</v>
      </c>
      <c r="K40" s="216">
        <f>ROUND(data!AO65,0)</f>
        <v>0</v>
      </c>
      <c r="L40" s="216">
        <f>ROUND(data!AO66,0)</f>
        <v>5003</v>
      </c>
      <c r="M40" s="66">
        <f>ROUND(data!AO67,0)</f>
        <v>33335</v>
      </c>
      <c r="N40" s="216">
        <f>ROUND(data!AO68,0)</f>
        <v>55</v>
      </c>
      <c r="O40" s="216">
        <f>ROUND(data!AO69,0)</f>
        <v>7990</v>
      </c>
      <c r="P40" s="216">
        <f>ROUND(data!AO70,0)</f>
        <v>0</v>
      </c>
      <c r="Q40" s="216">
        <f>ROUND(data!AO71,0)</f>
        <v>0</v>
      </c>
      <c r="R40" s="216">
        <f>ROUND(data!AO72,0)</f>
        <v>0</v>
      </c>
      <c r="S40" s="216">
        <f>ROUND(data!AO73,0)</f>
        <v>0</v>
      </c>
      <c r="T40" s="216">
        <f>ROUND(data!AO74,0)</f>
        <v>0</v>
      </c>
      <c r="U40" s="216">
        <f>ROUND(data!AO75,0)</f>
        <v>0</v>
      </c>
      <c r="V40" s="216">
        <f>ROUND(data!AO76,0)</f>
        <v>0</v>
      </c>
      <c r="W40" s="216">
        <f>ROUND(data!AO77,0)</f>
        <v>1528</v>
      </c>
      <c r="X40" s="216">
        <f>ROUND(data!AO78,0)</f>
        <v>0</v>
      </c>
      <c r="Y40" s="216">
        <f>ROUND(data!AO79,0)</f>
        <v>0</v>
      </c>
      <c r="Z40" s="216">
        <f>ROUND(data!AO80,0)</f>
        <v>0</v>
      </c>
      <c r="AA40" s="216">
        <f>ROUND(data!AO81,0)</f>
        <v>0</v>
      </c>
      <c r="AB40" s="216">
        <f>ROUND(data!AO82,0)</f>
        <v>0</v>
      </c>
      <c r="AC40" s="216">
        <f>ROUND(data!AO83,0)</f>
        <v>6462</v>
      </c>
      <c r="AD40" s="216">
        <f>ROUND(data!AO84,0)</f>
        <v>0</v>
      </c>
      <c r="AE40" s="216">
        <f>ROUND(data!AO89,0)</f>
        <v>1201042</v>
      </c>
      <c r="AF40" s="216">
        <f>ROUND(data!AO87,0)</f>
        <v>175950</v>
      </c>
      <c r="AG40" s="216">
        <f>IF(data!AO90&gt;0,ROUND(data!AO90,0),0)</f>
        <v>994</v>
      </c>
      <c r="AH40" s="216">
        <f>IF(data!AO91&gt;0,ROUND(data!AO91,0),0)</f>
        <v>0</v>
      </c>
      <c r="AI40" s="216">
        <f>IF(data!AO92&gt;0,ROUND(data!AO92,0),0)</f>
        <v>67</v>
      </c>
      <c r="AJ40" s="216">
        <f>IF(data!AO93&gt;0,ROUND(data!AO93,0),0)</f>
        <v>4872</v>
      </c>
      <c r="AK40" s="206">
        <f>IF(data!AO94&gt;0,ROUND(data!AO94,2),0)</f>
        <v>3.63</v>
      </c>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row>
    <row r="41" spans="1:89" s="12" customFormat="1" ht="12.6" customHeight="1" x14ac:dyDescent="0.25">
      <c r="A41" s="16" t="str">
        <f>RIGHT(data!$C$97,3)</f>
        <v>085</v>
      </c>
      <c r="B41" s="218" t="str">
        <f>RIGHT(data!$C$96,4)</f>
        <v>2022</v>
      </c>
      <c r="C41" s="16" t="str">
        <f>data!AP$55</f>
        <v>7380</v>
      </c>
      <c r="D41" s="16" t="s">
        <v>1120</v>
      </c>
      <c r="E41" s="216">
        <f>ROUND(data!AP59,0)</f>
        <v>1920</v>
      </c>
      <c r="F41" s="206">
        <f>ROUND(data!AP60,2)</f>
        <v>1.72</v>
      </c>
      <c r="G41" s="216">
        <f>ROUND(data!AP61,0)</f>
        <v>293189</v>
      </c>
      <c r="H41" s="216">
        <f>ROUND(data!AP62,0)</f>
        <v>64521</v>
      </c>
      <c r="I41" s="216">
        <f>ROUND(data!AP63,0)</f>
        <v>447872</v>
      </c>
      <c r="J41" s="216">
        <f>ROUND(data!AP64,0)</f>
        <v>1187614</v>
      </c>
      <c r="K41" s="216">
        <f>ROUND(data!AP65,0)</f>
        <v>10786</v>
      </c>
      <c r="L41" s="216">
        <f>ROUND(data!AP66,0)</f>
        <v>476962</v>
      </c>
      <c r="M41" s="66">
        <f>ROUND(data!AP67,0)</f>
        <v>0</v>
      </c>
      <c r="N41" s="216">
        <f>ROUND(data!AP68,0)</f>
        <v>7370</v>
      </c>
      <c r="O41" s="216">
        <f>ROUND(data!AP69,0)</f>
        <v>35685</v>
      </c>
      <c r="P41" s="216">
        <f>ROUND(data!AP70,0)</f>
        <v>0</v>
      </c>
      <c r="Q41" s="216">
        <f>ROUND(data!AP71,0)</f>
        <v>0</v>
      </c>
      <c r="R41" s="216">
        <f>ROUND(data!AP72,0)</f>
        <v>0</v>
      </c>
      <c r="S41" s="216">
        <f>ROUND(data!AP73,0)</f>
        <v>0</v>
      </c>
      <c r="T41" s="216">
        <f>ROUND(data!AP74,0)</f>
        <v>0</v>
      </c>
      <c r="U41" s="216">
        <f>ROUND(data!AP75,0)</f>
        <v>0</v>
      </c>
      <c r="V41" s="216">
        <f>ROUND(data!AP76,0)</f>
        <v>0</v>
      </c>
      <c r="W41" s="216">
        <f>ROUND(data!AP77,0)</f>
        <v>12219</v>
      </c>
      <c r="X41" s="216">
        <f>ROUND(data!AP78,0)</f>
        <v>0</v>
      </c>
      <c r="Y41" s="216">
        <f>ROUND(data!AP79,0)</f>
        <v>0</v>
      </c>
      <c r="Z41" s="216">
        <f>ROUND(data!AP80,0)</f>
        <v>0</v>
      </c>
      <c r="AA41" s="216">
        <f>ROUND(data!AP81,0)</f>
        <v>0</v>
      </c>
      <c r="AB41" s="216">
        <f>ROUND(data!AP82,0)</f>
        <v>0</v>
      </c>
      <c r="AC41" s="216">
        <f>ROUND(data!AP83,0)</f>
        <v>23466</v>
      </c>
      <c r="AD41" s="216">
        <f>ROUND(data!AP84,0)</f>
        <v>0</v>
      </c>
      <c r="AE41" s="216">
        <f>ROUND(data!AP89,0)</f>
        <v>3358972</v>
      </c>
      <c r="AF41" s="216">
        <f>ROUND(data!AP87,0)</f>
        <v>29500</v>
      </c>
      <c r="AG41" s="216">
        <f>IF(data!AP90&gt;0,ROUND(data!AP90,0),0)</f>
        <v>0</v>
      </c>
      <c r="AH41" s="216">
        <f>IF(data!AP91&gt;0,ROUND(data!AP91,0),0)</f>
        <v>0</v>
      </c>
      <c r="AI41" s="216">
        <f>IF(data!AP92&gt;0,ROUND(data!AP92,0),0)</f>
        <v>0</v>
      </c>
      <c r="AJ41" s="216">
        <f>IF(data!AP93&gt;0,ROUND(data!AP93,0),0)</f>
        <v>0</v>
      </c>
      <c r="AK41" s="206">
        <f>IF(data!AP94&gt;0,ROUND(data!AP94,2),0)</f>
        <v>0</v>
      </c>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row>
    <row r="42" spans="1:89" s="12" customFormat="1" ht="12.6" customHeight="1" x14ac:dyDescent="0.25">
      <c r="A42" s="16" t="str">
        <f>RIGHT(data!$C$97,3)</f>
        <v>085</v>
      </c>
      <c r="B42" s="218" t="str">
        <f>RIGHT(data!$C$96,4)</f>
        <v>2022</v>
      </c>
      <c r="C42" s="16" t="str">
        <f>data!AQ$55</f>
        <v>7390</v>
      </c>
      <c r="D42" s="16" t="s">
        <v>1120</v>
      </c>
      <c r="E42" s="216">
        <f>ROUND(data!AQ59,0)</f>
        <v>0</v>
      </c>
      <c r="F42" s="206">
        <f>ROUND(data!AQ60,2)</f>
        <v>0</v>
      </c>
      <c r="G42" s="216">
        <f>ROUND(data!AQ61,0)</f>
        <v>0</v>
      </c>
      <c r="H42" s="216">
        <f>ROUND(data!AQ62,0)</f>
        <v>0</v>
      </c>
      <c r="I42" s="216">
        <f>ROUND(data!AQ63,0)</f>
        <v>0</v>
      </c>
      <c r="J42" s="216">
        <f>ROUND(data!AQ64,0)</f>
        <v>0</v>
      </c>
      <c r="K42" s="216">
        <f>ROUND(data!AQ65,0)</f>
        <v>0</v>
      </c>
      <c r="L42" s="216">
        <f>ROUND(data!AQ66,0)</f>
        <v>0</v>
      </c>
      <c r="M42" s="66">
        <f>ROUND(data!AQ67,0)</f>
        <v>0</v>
      </c>
      <c r="N42" s="216">
        <f>ROUND(data!AQ68,0)</f>
        <v>0</v>
      </c>
      <c r="O42" s="216">
        <f>ROUND(data!AQ69,0)</f>
        <v>0</v>
      </c>
      <c r="P42" s="216">
        <f>ROUND(data!AQ70,0)</f>
        <v>0</v>
      </c>
      <c r="Q42" s="216">
        <f>ROUND(data!AQ71,0)</f>
        <v>0</v>
      </c>
      <c r="R42" s="216">
        <f>ROUND(data!AQ72,0)</f>
        <v>0</v>
      </c>
      <c r="S42" s="216">
        <f>ROUND(data!AQ73,0)</f>
        <v>0</v>
      </c>
      <c r="T42" s="216">
        <f>ROUND(data!AQ74,0)</f>
        <v>0</v>
      </c>
      <c r="U42" s="216">
        <f>ROUND(data!AQ75,0)</f>
        <v>0</v>
      </c>
      <c r="V42" s="216">
        <f>ROUND(data!AQ76,0)</f>
        <v>0</v>
      </c>
      <c r="W42" s="216">
        <f>ROUND(data!AQ77,0)</f>
        <v>0</v>
      </c>
      <c r="X42" s="216">
        <f>ROUND(data!AQ78,0)</f>
        <v>0</v>
      </c>
      <c r="Y42" s="216">
        <f>ROUND(data!AQ79,0)</f>
        <v>0</v>
      </c>
      <c r="Z42" s="216">
        <f>ROUND(data!AQ80,0)</f>
        <v>0</v>
      </c>
      <c r="AA42" s="216">
        <f>ROUND(data!AQ81,0)</f>
        <v>0</v>
      </c>
      <c r="AB42" s="216">
        <f>ROUND(data!AQ82,0)</f>
        <v>0</v>
      </c>
      <c r="AC42" s="216">
        <f>ROUND(data!AQ83,0)</f>
        <v>0</v>
      </c>
      <c r="AD42" s="216">
        <f>ROUND(data!AQ84,0)</f>
        <v>0</v>
      </c>
      <c r="AE42" s="216">
        <f>ROUND(data!AQ89,0)</f>
        <v>0</v>
      </c>
      <c r="AF42" s="216">
        <f>ROUND(data!AQ87,0)</f>
        <v>0</v>
      </c>
      <c r="AG42" s="216">
        <f>IF(data!AQ90&gt;0,ROUND(data!AQ90,0),0)</f>
        <v>0</v>
      </c>
      <c r="AH42" s="216">
        <f>IF(data!AQ91&gt;0,ROUND(data!AQ91,0),0)</f>
        <v>0</v>
      </c>
      <c r="AI42" s="216">
        <f>IF(data!AQ92&gt;0,ROUND(data!AQ92,0),0)</f>
        <v>0</v>
      </c>
      <c r="AJ42" s="216">
        <f>IF(data!AQ93&gt;0,ROUND(data!AQ93,0),0)</f>
        <v>0</v>
      </c>
      <c r="AK42" s="206">
        <f>IF(data!AQ94&gt;0,ROUND(data!AQ94,2),0)</f>
        <v>0</v>
      </c>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row>
    <row r="43" spans="1:89" s="12" customFormat="1" ht="12.6" customHeight="1" x14ac:dyDescent="0.25">
      <c r="A43" s="16" t="str">
        <f>RIGHT(data!$C$97,3)</f>
        <v>085</v>
      </c>
      <c r="B43" s="218" t="str">
        <f>RIGHT(data!$C$96,4)</f>
        <v>2022</v>
      </c>
      <c r="C43" s="16" t="str">
        <f>data!AR$55</f>
        <v>7400</v>
      </c>
      <c r="D43" s="16" t="s">
        <v>1120</v>
      </c>
      <c r="E43" s="216">
        <f>ROUND(data!AR59,0)</f>
        <v>6986</v>
      </c>
      <c r="F43" s="206">
        <f>ROUND(data!AR60,2)</f>
        <v>23.34</v>
      </c>
      <c r="G43" s="216">
        <f>ROUND(data!AR61,0)</f>
        <v>2504401</v>
      </c>
      <c r="H43" s="216">
        <f>ROUND(data!AR62,0)</f>
        <v>551136</v>
      </c>
      <c r="I43" s="216">
        <f>ROUND(data!AR63,0)</f>
        <v>38291</v>
      </c>
      <c r="J43" s="216">
        <f>ROUND(data!AR64,0)</f>
        <v>70549</v>
      </c>
      <c r="K43" s="216">
        <f>ROUND(data!AR65,0)</f>
        <v>1745</v>
      </c>
      <c r="L43" s="216">
        <f>ROUND(data!AR66,0)</f>
        <v>47676</v>
      </c>
      <c r="M43" s="66">
        <f>ROUND(data!AR67,0)</f>
        <v>0</v>
      </c>
      <c r="N43" s="216">
        <f>ROUND(data!AR68,0)</f>
        <v>11422</v>
      </c>
      <c r="O43" s="216">
        <f>ROUND(data!AR69,0)</f>
        <v>61499</v>
      </c>
      <c r="P43" s="216">
        <f>ROUND(data!AR70,0)</f>
        <v>0</v>
      </c>
      <c r="Q43" s="216">
        <f>ROUND(data!AR71,0)</f>
        <v>0</v>
      </c>
      <c r="R43" s="216">
        <f>ROUND(data!AR72,0)</f>
        <v>0</v>
      </c>
      <c r="S43" s="216">
        <f>ROUND(data!AR73,0)</f>
        <v>0</v>
      </c>
      <c r="T43" s="216">
        <f>ROUND(data!AR74,0)</f>
        <v>0</v>
      </c>
      <c r="U43" s="216">
        <f>ROUND(data!AR75,0)</f>
        <v>0</v>
      </c>
      <c r="V43" s="216">
        <f>ROUND(data!AR76,0)</f>
        <v>0</v>
      </c>
      <c r="W43" s="216">
        <f>ROUND(data!AR77,0)</f>
        <v>0</v>
      </c>
      <c r="X43" s="216">
        <f>ROUND(data!AR78,0)</f>
        <v>0</v>
      </c>
      <c r="Y43" s="216">
        <f>ROUND(data!AR79,0)</f>
        <v>0</v>
      </c>
      <c r="Z43" s="216">
        <f>ROUND(data!AR80,0)</f>
        <v>0</v>
      </c>
      <c r="AA43" s="216">
        <f>ROUND(data!AR81,0)</f>
        <v>0</v>
      </c>
      <c r="AB43" s="216">
        <f>ROUND(data!AR82,0)</f>
        <v>0</v>
      </c>
      <c r="AC43" s="216">
        <f>ROUND(data!AR83,0)</f>
        <v>61499</v>
      </c>
      <c r="AD43" s="216">
        <f>ROUND(data!AR84,0)</f>
        <v>0</v>
      </c>
      <c r="AE43" s="216">
        <f>ROUND(data!AR89,0)</f>
        <v>2584946</v>
      </c>
      <c r="AF43" s="216">
        <f>ROUND(data!AR87,0)</f>
        <v>0</v>
      </c>
      <c r="AG43" s="216">
        <f>IF(data!AR90&gt;0,ROUND(data!AR90,0),0)</f>
        <v>0</v>
      </c>
      <c r="AH43" s="216">
        <f>IF(data!AR91&gt;0,ROUND(data!AR91,0),0)</f>
        <v>0</v>
      </c>
      <c r="AI43" s="216">
        <f>IF(data!AR92&gt;0,ROUND(data!AR92,0),0)</f>
        <v>0</v>
      </c>
      <c r="AJ43" s="216">
        <f>IF(data!AR93&gt;0,ROUND(data!AR93,0),0)</f>
        <v>0</v>
      </c>
      <c r="AK43" s="206">
        <f>IF(data!AR94&gt;0,ROUND(data!AR94,2),0)</f>
        <v>0</v>
      </c>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row>
    <row r="44" spans="1:89" s="12" customFormat="1" ht="12.6" customHeight="1" x14ac:dyDescent="0.25">
      <c r="A44" s="16" t="str">
        <f>RIGHT(data!$C$97,3)</f>
        <v>085</v>
      </c>
      <c r="B44" s="218" t="str">
        <f>RIGHT(data!$C$96,4)</f>
        <v>2022</v>
      </c>
      <c r="C44" s="16" t="str">
        <f>data!AS$55</f>
        <v>7410</v>
      </c>
      <c r="D44" s="16" t="s">
        <v>1120</v>
      </c>
      <c r="E44" s="216">
        <f>ROUND(data!AS59,0)</f>
        <v>0</v>
      </c>
      <c r="F44" s="206">
        <f>ROUND(data!AS60,2)</f>
        <v>0</v>
      </c>
      <c r="G44" s="216">
        <f>ROUND(data!AS61,0)</f>
        <v>0</v>
      </c>
      <c r="H44" s="216">
        <f>ROUND(data!AS62,0)</f>
        <v>0</v>
      </c>
      <c r="I44" s="216">
        <f>ROUND(data!AS63,0)</f>
        <v>0</v>
      </c>
      <c r="J44" s="216">
        <f>ROUND(data!AS64,0)</f>
        <v>0</v>
      </c>
      <c r="K44" s="216">
        <f>ROUND(data!AS65,0)</f>
        <v>0</v>
      </c>
      <c r="L44" s="216">
        <f>ROUND(data!AS66,0)</f>
        <v>0</v>
      </c>
      <c r="M44" s="66">
        <f>ROUND(data!AS67,0)</f>
        <v>0</v>
      </c>
      <c r="N44" s="216">
        <f>ROUND(data!AS68,0)</f>
        <v>0</v>
      </c>
      <c r="O44" s="216">
        <f>ROUND(data!AS69,0)</f>
        <v>0</v>
      </c>
      <c r="P44" s="216">
        <f>ROUND(data!AS70,0)</f>
        <v>0</v>
      </c>
      <c r="Q44" s="216">
        <f>ROUND(data!AS71,0)</f>
        <v>0</v>
      </c>
      <c r="R44" s="216">
        <f>ROUND(data!AS72,0)</f>
        <v>0</v>
      </c>
      <c r="S44" s="216">
        <f>ROUND(data!AS73,0)</f>
        <v>0</v>
      </c>
      <c r="T44" s="216">
        <f>ROUND(data!AS74,0)</f>
        <v>0</v>
      </c>
      <c r="U44" s="216">
        <f>ROUND(data!AS75,0)</f>
        <v>0</v>
      </c>
      <c r="V44" s="216">
        <f>ROUND(data!AS76,0)</f>
        <v>0</v>
      </c>
      <c r="W44" s="216">
        <f>ROUND(data!AS77,0)</f>
        <v>0</v>
      </c>
      <c r="X44" s="216">
        <f>ROUND(data!AS78,0)</f>
        <v>0</v>
      </c>
      <c r="Y44" s="216">
        <f>ROUND(data!AS79,0)</f>
        <v>0</v>
      </c>
      <c r="Z44" s="216">
        <f>ROUND(data!AS80,0)</f>
        <v>0</v>
      </c>
      <c r="AA44" s="216">
        <f>ROUND(data!AS81,0)</f>
        <v>0</v>
      </c>
      <c r="AB44" s="216">
        <f>ROUND(data!AS82,0)</f>
        <v>0</v>
      </c>
      <c r="AC44" s="216">
        <f>ROUND(data!AS83,0)</f>
        <v>0</v>
      </c>
      <c r="AD44" s="216">
        <f>ROUND(data!AS84,0)</f>
        <v>0</v>
      </c>
      <c r="AE44" s="216">
        <f>ROUND(data!AS89,0)</f>
        <v>0</v>
      </c>
      <c r="AF44" s="216">
        <f>ROUND(data!AS87,0)</f>
        <v>0</v>
      </c>
      <c r="AG44" s="216">
        <f>IF(data!AS90&gt;0,ROUND(data!AS90,0),0)</f>
        <v>0</v>
      </c>
      <c r="AH44" s="216">
        <f>IF(data!AS91&gt;0,ROUND(data!AS91,0),0)</f>
        <v>0</v>
      </c>
      <c r="AI44" s="216">
        <f>IF(data!AS92&gt;0,ROUND(data!AS92,0),0)</f>
        <v>0</v>
      </c>
      <c r="AJ44" s="216">
        <f>IF(data!AS93&gt;0,ROUND(data!AS93,0),0)</f>
        <v>0</v>
      </c>
      <c r="AK44" s="206">
        <f>IF(data!AS94&gt;0,ROUND(data!AS94,2),0)</f>
        <v>0</v>
      </c>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row>
    <row r="45" spans="1:89" s="12" customFormat="1" ht="12.6" customHeight="1" x14ac:dyDescent="0.25">
      <c r="A45" s="16" t="str">
        <f>RIGHT(data!$C$97,3)</f>
        <v>085</v>
      </c>
      <c r="B45" s="218" t="str">
        <f>RIGHT(data!$C$96,4)</f>
        <v>2022</v>
      </c>
      <c r="C45" s="16" t="str">
        <f>data!AT$55</f>
        <v>7420</v>
      </c>
      <c r="D45" s="16" t="s">
        <v>1120</v>
      </c>
      <c r="E45" s="216">
        <f>ROUND(data!AT59,0)</f>
        <v>0</v>
      </c>
      <c r="F45" s="206">
        <f>ROUND(data!AT60,2)</f>
        <v>0</v>
      </c>
      <c r="G45" s="216">
        <f>ROUND(data!AT61,0)</f>
        <v>0</v>
      </c>
      <c r="H45" s="216">
        <f>ROUND(data!AT62,0)</f>
        <v>0</v>
      </c>
      <c r="I45" s="216">
        <f>ROUND(data!AT63,0)</f>
        <v>0</v>
      </c>
      <c r="J45" s="216">
        <f>ROUND(data!AT64,0)</f>
        <v>0</v>
      </c>
      <c r="K45" s="216">
        <f>ROUND(data!AT65,0)</f>
        <v>0</v>
      </c>
      <c r="L45" s="216">
        <f>ROUND(data!AT66,0)</f>
        <v>0</v>
      </c>
      <c r="M45" s="66">
        <f>ROUND(data!AT67,0)</f>
        <v>0</v>
      </c>
      <c r="N45" s="216">
        <f>ROUND(data!AT68,0)</f>
        <v>0</v>
      </c>
      <c r="O45" s="216">
        <f>ROUND(data!AT69,0)</f>
        <v>0</v>
      </c>
      <c r="P45" s="216">
        <f>ROUND(data!AT70,0)</f>
        <v>0</v>
      </c>
      <c r="Q45" s="216">
        <f>ROUND(data!AT71,0)</f>
        <v>0</v>
      </c>
      <c r="R45" s="216">
        <f>ROUND(data!AT72,0)</f>
        <v>0</v>
      </c>
      <c r="S45" s="216">
        <f>ROUND(data!AT73,0)</f>
        <v>0</v>
      </c>
      <c r="T45" s="216">
        <f>ROUND(data!AT74,0)</f>
        <v>0</v>
      </c>
      <c r="U45" s="216">
        <f>ROUND(data!AT75,0)</f>
        <v>0</v>
      </c>
      <c r="V45" s="216">
        <f>ROUND(data!AT76,0)</f>
        <v>0</v>
      </c>
      <c r="W45" s="216">
        <f>ROUND(data!AT77,0)</f>
        <v>0</v>
      </c>
      <c r="X45" s="216">
        <f>ROUND(data!AT78,0)</f>
        <v>0</v>
      </c>
      <c r="Y45" s="216">
        <f>ROUND(data!AT79,0)</f>
        <v>0</v>
      </c>
      <c r="Z45" s="216">
        <f>ROUND(data!AT80,0)</f>
        <v>0</v>
      </c>
      <c r="AA45" s="216">
        <f>ROUND(data!AT81,0)</f>
        <v>0</v>
      </c>
      <c r="AB45" s="216">
        <f>ROUND(data!AT82,0)</f>
        <v>0</v>
      </c>
      <c r="AC45" s="216">
        <f>ROUND(data!AT83,0)</f>
        <v>0</v>
      </c>
      <c r="AD45" s="216">
        <f>ROUND(data!AT84,0)</f>
        <v>0</v>
      </c>
      <c r="AE45" s="216">
        <f>ROUND(data!AT89,0)</f>
        <v>0</v>
      </c>
      <c r="AF45" s="216">
        <f>ROUND(data!AT87,0)</f>
        <v>0</v>
      </c>
      <c r="AG45" s="216">
        <f>IF(data!AT90&gt;0,ROUND(data!AT90,0),0)</f>
        <v>0</v>
      </c>
      <c r="AH45" s="216">
        <f>IF(data!AT91&gt;0,ROUND(data!AT91,0),0)</f>
        <v>0</v>
      </c>
      <c r="AI45" s="216">
        <f>IF(data!AT92&gt;0,ROUND(data!AT92,0),0)</f>
        <v>0</v>
      </c>
      <c r="AJ45" s="216">
        <f>IF(data!AT93&gt;0,ROUND(data!AT93,0),0)</f>
        <v>0</v>
      </c>
      <c r="AK45" s="206">
        <f>IF(data!AT94&gt;0,ROUND(data!AT94,2),0)</f>
        <v>0</v>
      </c>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row>
    <row r="46" spans="1:89" s="12" customFormat="1" ht="12.6" customHeight="1" x14ac:dyDescent="0.25">
      <c r="A46" s="16" t="str">
        <f>RIGHT(data!$C$97,3)</f>
        <v>085</v>
      </c>
      <c r="B46" s="218" t="str">
        <f>RIGHT(data!$C$96,4)</f>
        <v>2022</v>
      </c>
      <c r="C46" s="16" t="str">
        <f>data!AU$55</f>
        <v>7430</v>
      </c>
      <c r="D46" s="16" t="s">
        <v>1120</v>
      </c>
      <c r="E46" s="216">
        <f>ROUND(data!AU59,0)</f>
        <v>0</v>
      </c>
      <c r="F46" s="206">
        <f>ROUND(data!AU60,2)</f>
        <v>0</v>
      </c>
      <c r="G46" s="216">
        <f>ROUND(data!AU61,0)</f>
        <v>0</v>
      </c>
      <c r="H46" s="216">
        <f>ROUND(data!AU62,0)</f>
        <v>0</v>
      </c>
      <c r="I46" s="216">
        <f>ROUND(data!AU63,0)</f>
        <v>0</v>
      </c>
      <c r="J46" s="216">
        <f>ROUND(data!AU64,0)</f>
        <v>0</v>
      </c>
      <c r="K46" s="216">
        <f>ROUND(data!AU65,0)</f>
        <v>0</v>
      </c>
      <c r="L46" s="216">
        <f>ROUND(data!AU66,0)</f>
        <v>0</v>
      </c>
      <c r="M46" s="66">
        <f>ROUND(data!AU67,0)</f>
        <v>0</v>
      </c>
      <c r="N46" s="216">
        <f>ROUND(data!AU68,0)</f>
        <v>0</v>
      </c>
      <c r="O46" s="216">
        <f>ROUND(data!AU69,0)</f>
        <v>0</v>
      </c>
      <c r="P46" s="216">
        <f>ROUND(data!AU70,0)</f>
        <v>0</v>
      </c>
      <c r="Q46" s="216">
        <f>ROUND(data!AU71,0)</f>
        <v>0</v>
      </c>
      <c r="R46" s="216">
        <f>ROUND(data!AU72,0)</f>
        <v>0</v>
      </c>
      <c r="S46" s="216">
        <f>ROUND(data!AU73,0)</f>
        <v>0</v>
      </c>
      <c r="T46" s="216">
        <f>ROUND(data!AU74,0)</f>
        <v>0</v>
      </c>
      <c r="U46" s="216">
        <f>ROUND(data!AU75,0)</f>
        <v>0</v>
      </c>
      <c r="V46" s="216">
        <f>ROUND(data!AU76,0)</f>
        <v>0</v>
      </c>
      <c r="W46" s="216">
        <f>ROUND(data!AU77,0)</f>
        <v>0</v>
      </c>
      <c r="X46" s="216">
        <f>ROUND(data!AU78,0)</f>
        <v>0</v>
      </c>
      <c r="Y46" s="216">
        <f>ROUND(data!AU79,0)</f>
        <v>0</v>
      </c>
      <c r="Z46" s="216">
        <f>ROUND(data!AU80,0)</f>
        <v>0</v>
      </c>
      <c r="AA46" s="216">
        <f>ROUND(data!AU81,0)</f>
        <v>0</v>
      </c>
      <c r="AB46" s="216">
        <f>ROUND(data!AU82,0)</f>
        <v>0</v>
      </c>
      <c r="AC46" s="216">
        <f>ROUND(data!AU83,0)</f>
        <v>0</v>
      </c>
      <c r="AD46" s="216">
        <f>ROUND(data!AU84,0)</f>
        <v>0</v>
      </c>
      <c r="AE46" s="216">
        <f>ROUND(data!AU89,0)</f>
        <v>0</v>
      </c>
      <c r="AF46" s="216">
        <f>ROUND(data!AU87,0)</f>
        <v>0</v>
      </c>
      <c r="AG46" s="216">
        <f>IF(data!AU90&gt;0,ROUND(data!AU90,0),0)</f>
        <v>0</v>
      </c>
      <c r="AH46" s="216">
        <f>IF(data!AU91&gt;0,ROUND(data!AU91,0),0)</f>
        <v>0</v>
      </c>
      <c r="AI46" s="216">
        <f>IF(data!AU92&gt;0,ROUND(data!AU92,0),0)</f>
        <v>0</v>
      </c>
      <c r="AJ46" s="216">
        <f>IF(data!AU93&gt;0,ROUND(data!AU93,0),0)</f>
        <v>0</v>
      </c>
      <c r="AK46" s="206">
        <f>IF(data!AU94&gt;0,ROUND(data!AU94,2),0)</f>
        <v>0</v>
      </c>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row>
    <row r="47" spans="1:89" s="12" customFormat="1" ht="12.6" customHeight="1" x14ac:dyDescent="0.25">
      <c r="A47" s="16" t="str">
        <f>RIGHT(data!$C$97,3)</f>
        <v>085</v>
      </c>
      <c r="B47" s="218" t="str">
        <f>RIGHT(data!$C$96,4)</f>
        <v>2022</v>
      </c>
      <c r="C47" s="16" t="str">
        <f>data!AV$55</f>
        <v>7490</v>
      </c>
      <c r="D47" s="16" t="s">
        <v>1120</v>
      </c>
      <c r="E47" s="216"/>
      <c r="F47" s="206">
        <f>ROUND(data!AV60,2)</f>
        <v>4.2699999999999996</v>
      </c>
      <c r="G47" s="216">
        <f>ROUND(data!AV61,0)</f>
        <v>2298125</v>
      </c>
      <c r="H47" s="216">
        <f>ROUND(data!AV62,0)</f>
        <v>505742</v>
      </c>
      <c r="I47" s="216">
        <f>ROUND(data!AV63,0)</f>
        <v>0</v>
      </c>
      <c r="J47" s="216">
        <f>ROUND(data!AV64,0)</f>
        <v>330528</v>
      </c>
      <c r="K47" s="216">
        <f>ROUND(data!AV65,0)</f>
        <v>0</v>
      </c>
      <c r="L47" s="216">
        <f>ROUND(data!AV66,0)</f>
        <v>98766</v>
      </c>
      <c r="M47" s="66">
        <f>ROUND(data!AV67,0)</f>
        <v>130323</v>
      </c>
      <c r="N47" s="216">
        <f>ROUND(data!AV68,0)</f>
        <v>0</v>
      </c>
      <c r="O47" s="216">
        <f>ROUND(data!AV69,0)</f>
        <v>31217</v>
      </c>
      <c r="P47" s="216">
        <f>ROUND(data!AV70,0)</f>
        <v>0</v>
      </c>
      <c r="Q47" s="216">
        <f>ROUND(data!AV71,0)</f>
        <v>0</v>
      </c>
      <c r="R47" s="216">
        <f>ROUND(data!AV72,0)</f>
        <v>0</v>
      </c>
      <c r="S47" s="216">
        <f>ROUND(data!AV73,0)</f>
        <v>0</v>
      </c>
      <c r="T47" s="216">
        <f>ROUND(data!AV74,0)</f>
        <v>0</v>
      </c>
      <c r="U47" s="216">
        <f>ROUND(data!AV75,0)</f>
        <v>0</v>
      </c>
      <c r="V47" s="216">
        <f>ROUND(data!AV76,0)</f>
        <v>0</v>
      </c>
      <c r="W47" s="216">
        <f>ROUND(data!AV77,0)</f>
        <v>5084</v>
      </c>
      <c r="X47" s="216">
        <f>ROUND(data!AV78,0)</f>
        <v>0</v>
      </c>
      <c r="Y47" s="216">
        <f>ROUND(data!AV79,0)</f>
        <v>0</v>
      </c>
      <c r="Z47" s="216">
        <f>ROUND(data!AV80,0)</f>
        <v>0</v>
      </c>
      <c r="AA47" s="216">
        <f>ROUND(data!AV81,0)</f>
        <v>0</v>
      </c>
      <c r="AB47" s="216">
        <f>ROUND(data!AV82,0)</f>
        <v>0</v>
      </c>
      <c r="AC47" s="216">
        <f>ROUND(data!AV83,0)</f>
        <v>26133</v>
      </c>
      <c r="AD47" s="216">
        <f>ROUND(data!AV84,0)</f>
        <v>0</v>
      </c>
      <c r="AE47" s="216">
        <f>ROUND(data!AV89,0)</f>
        <v>7683307</v>
      </c>
      <c r="AF47" s="216">
        <f>ROUND(data!AV87,0)</f>
        <v>7709</v>
      </c>
      <c r="AG47" s="216">
        <f>IF(data!AV90&gt;0,ROUND(data!AV90,0),0)</f>
        <v>3886</v>
      </c>
      <c r="AH47" s="216">
        <f>IF(data!AV91&gt;0,ROUND(data!AV91,0),0)</f>
        <v>0</v>
      </c>
      <c r="AI47" s="216">
        <f>IF(data!AV92&gt;0,ROUND(data!AV92,0),0)</f>
        <v>200</v>
      </c>
      <c r="AJ47" s="216">
        <f>IF(data!AV93&gt;0,ROUND(data!AV93,0),0)</f>
        <v>0</v>
      </c>
      <c r="AK47" s="206">
        <f>IF(data!AV94&gt;0,ROUND(data!AV94,2),0)</f>
        <v>1.46</v>
      </c>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row>
    <row r="48" spans="1:89" s="12" customFormat="1" ht="12.6" customHeight="1" x14ac:dyDescent="0.25">
      <c r="A48" s="16" t="str">
        <f>RIGHT(data!$C$97,3)</f>
        <v>085</v>
      </c>
      <c r="B48" s="218" t="str">
        <f>RIGHT(data!$C$96,4)</f>
        <v>2022</v>
      </c>
      <c r="C48" s="16" t="str">
        <f>data!AW$55</f>
        <v>8200</v>
      </c>
      <c r="D48" s="16" t="s">
        <v>1120</v>
      </c>
      <c r="E48" s="216"/>
      <c r="F48" s="206">
        <f>ROUND(data!AW60,2)</f>
        <v>0</v>
      </c>
      <c r="G48" s="216">
        <f>ROUND(data!AW61,0)</f>
        <v>0</v>
      </c>
      <c r="H48" s="216">
        <f>ROUND(data!AW62,0)</f>
        <v>0</v>
      </c>
      <c r="I48" s="216">
        <f>ROUND(data!AW63,0)</f>
        <v>0</v>
      </c>
      <c r="J48" s="216">
        <f>ROUND(data!AW64,0)</f>
        <v>0</v>
      </c>
      <c r="K48" s="216">
        <f>ROUND(data!AW65,0)</f>
        <v>0</v>
      </c>
      <c r="L48" s="216">
        <f>ROUND(data!AW66,0)</f>
        <v>0</v>
      </c>
      <c r="M48" s="66">
        <f>ROUND(data!AW67,0)</f>
        <v>0</v>
      </c>
      <c r="N48" s="216">
        <f>ROUND(data!AW68,0)</f>
        <v>0</v>
      </c>
      <c r="O48" s="216">
        <f>ROUND(data!AW69,0)</f>
        <v>0</v>
      </c>
      <c r="P48" s="216">
        <f>ROUND(data!AW70,0)</f>
        <v>0</v>
      </c>
      <c r="Q48" s="216">
        <f>ROUND(data!AW71,0)</f>
        <v>0</v>
      </c>
      <c r="R48" s="216">
        <f>ROUND(data!AW72,0)</f>
        <v>0</v>
      </c>
      <c r="S48" s="216">
        <f>ROUND(data!AW73,0)</f>
        <v>0</v>
      </c>
      <c r="T48" s="216">
        <f>ROUND(data!AW74,0)</f>
        <v>0</v>
      </c>
      <c r="U48" s="216">
        <f>ROUND(data!AW75,0)</f>
        <v>0</v>
      </c>
      <c r="V48" s="216">
        <f>ROUND(data!AW76,0)</f>
        <v>0</v>
      </c>
      <c r="W48" s="216">
        <f>ROUND(data!AW77,0)</f>
        <v>0</v>
      </c>
      <c r="X48" s="216">
        <f>ROUND(data!AW78,0)</f>
        <v>0</v>
      </c>
      <c r="Y48" s="216">
        <f>ROUND(data!AW79,0)</f>
        <v>0</v>
      </c>
      <c r="Z48" s="216">
        <f>ROUND(data!AW80,0)</f>
        <v>0</v>
      </c>
      <c r="AA48" s="216">
        <f>ROUND(data!AW81,0)</f>
        <v>0</v>
      </c>
      <c r="AB48" s="216">
        <f>ROUND(data!AW82,0)</f>
        <v>0</v>
      </c>
      <c r="AC48" s="216">
        <f>ROUND(data!AW83,0)</f>
        <v>0</v>
      </c>
      <c r="AD48" s="216">
        <f>ROUND(data!AW84,0)</f>
        <v>0</v>
      </c>
      <c r="AE48" s="216"/>
      <c r="AF48" s="216"/>
      <c r="AG48" s="216">
        <f>IF(data!AW90&gt;0,ROUND(data!AW90,0),0)</f>
        <v>0</v>
      </c>
      <c r="AH48" s="216">
        <f>IF(data!AW91&gt;0,ROUND(data!AW91,0),0)</f>
        <v>0</v>
      </c>
      <c r="AI48" s="216">
        <f>IF(data!AW$92&gt;0,ROUND(data!AW$92,0),0)</f>
        <v>0</v>
      </c>
      <c r="AJ48" s="216">
        <f>IF(data!AW93&gt;0,ROUND(data!AW93,0),0)</f>
        <v>0</v>
      </c>
      <c r="AK48" s="206">
        <f>IFERROR(IF(data!AW94&gt;0,ROUND(data!AW94,2),0),0)</f>
        <v>0</v>
      </c>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row>
    <row r="49" spans="1:89" s="12" customFormat="1" ht="12.6" customHeight="1" x14ac:dyDescent="0.25">
      <c r="A49" s="16" t="str">
        <f>RIGHT(data!$C$97,3)</f>
        <v>085</v>
      </c>
      <c r="B49" s="218" t="str">
        <f>RIGHT(data!$C$96,4)</f>
        <v>2022</v>
      </c>
      <c r="C49" s="16" t="str">
        <f>data!AX$55</f>
        <v>8310</v>
      </c>
      <c r="D49" s="16" t="s">
        <v>1120</v>
      </c>
      <c r="E49" s="216"/>
      <c r="F49" s="206">
        <f>ROUND(data!AX60,2)</f>
        <v>0</v>
      </c>
      <c r="G49" s="216">
        <f>ROUND(data!AX61,0)</f>
        <v>0</v>
      </c>
      <c r="H49" s="216">
        <f>ROUND(data!AX62,0)</f>
        <v>0</v>
      </c>
      <c r="I49" s="216">
        <f>ROUND(data!AX63,0)</f>
        <v>0</v>
      </c>
      <c r="J49" s="216">
        <f>ROUND(data!AX64,0)</f>
        <v>0</v>
      </c>
      <c r="K49" s="216">
        <f>ROUND(data!AX65,0)</f>
        <v>0</v>
      </c>
      <c r="L49" s="216">
        <f>ROUND(data!AX66,0)</f>
        <v>0</v>
      </c>
      <c r="M49" s="66">
        <f>ROUND(data!AX67,0)</f>
        <v>0</v>
      </c>
      <c r="N49" s="216">
        <f>ROUND(data!AX68,0)</f>
        <v>0</v>
      </c>
      <c r="O49" s="216">
        <f>ROUND(data!AX69,0)</f>
        <v>0</v>
      </c>
      <c r="P49" s="216">
        <f>ROUND(data!AX70,0)</f>
        <v>0</v>
      </c>
      <c r="Q49" s="216">
        <f>ROUND(data!AX71,0)</f>
        <v>0</v>
      </c>
      <c r="R49" s="216">
        <f>ROUND(data!AX72,0)</f>
        <v>0</v>
      </c>
      <c r="S49" s="216">
        <f>ROUND(data!AX73,0)</f>
        <v>0</v>
      </c>
      <c r="T49" s="216">
        <f>ROUND(data!AX74,0)</f>
        <v>0</v>
      </c>
      <c r="U49" s="216">
        <f>ROUND(data!AX75,0)</f>
        <v>0</v>
      </c>
      <c r="V49" s="216">
        <f>ROUND(data!AX76,0)</f>
        <v>0</v>
      </c>
      <c r="W49" s="216">
        <f>ROUND(data!AX77,0)</f>
        <v>0</v>
      </c>
      <c r="X49" s="216">
        <f>ROUND(data!AX78,0)</f>
        <v>0</v>
      </c>
      <c r="Y49" s="216">
        <f>ROUND(data!AX79,0)</f>
        <v>0</v>
      </c>
      <c r="Z49" s="216">
        <f>ROUND(data!AX80,0)</f>
        <v>0</v>
      </c>
      <c r="AA49" s="216">
        <f>ROUND(data!AX81,0)</f>
        <v>0</v>
      </c>
      <c r="AB49" s="216">
        <f>ROUND(data!AX82,0)</f>
        <v>0</v>
      </c>
      <c r="AC49" s="216">
        <f>ROUND(data!AX83,0)</f>
        <v>0</v>
      </c>
      <c r="AD49" s="216">
        <f>ROUND(data!AX84,0)</f>
        <v>0</v>
      </c>
      <c r="AE49" s="216"/>
      <c r="AF49" s="216"/>
      <c r="AG49" s="216">
        <f>IF(data!AX90&gt;0,ROUND(data!AX90,0),0)</f>
        <v>0</v>
      </c>
      <c r="AH49" s="216">
        <f>IFERROR(IF(data!AX$91&gt;0,ROUND(data!AX$91,0),0),0)</f>
        <v>0</v>
      </c>
      <c r="AI49" s="216">
        <f>IFERROR(IF(data!AX$92&gt;0,ROUND(data!AX$92,0),0),0)</f>
        <v>0</v>
      </c>
      <c r="AJ49" s="216">
        <f>IFERROR(IF(data!AX$93&gt;0,ROUND(data!AX$93,0),0),0)</f>
        <v>0</v>
      </c>
      <c r="AK49" s="206">
        <f>IFERROR(IF(data!AX$94&gt;0,ROUND(data!AX$94,2),0),0)</f>
        <v>0</v>
      </c>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row>
    <row r="50" spans="1:89" s="12" customFormat="1" ht="12.6" customHeight="1" x14ac:dyDescent="0.25">
      <c r="A50" s="16" t="str">
        <f>RIGHT(data!$C$97,3)</f>
        <v>085</v>
      </c>
      <c r="B50" s="218" t="str">
        <f>RIGHT(data!$C$96,4)</f>
        <v>2022</v>
      </c>
      <c r="C50" s="16" t="str">
        <f>data!AY$55</f>
        <v>8320</v>
      </c>
      <c r="D50" s="16" t="s">
        <v>1120</v>
      </c>
      <c r="E50" s="216">
        <f>ROUND(data!AY59,0)</f>
        <v>16852</v>
      </c>
      <c r="F50" s="206">
        <f>ROUND(data!AY60,2)</f>
        <v>16.7</v>
      </c>
      <c r="G50" s="216">
        <f>ROUND(data!AY61,0)</f>
        <v>926851</v>
      </c>
      <c r="H50" s="216">
        <f>ROUND(data!AY62,0)</f>
        <v>203969</v>
      </c>
      <c r="I50" s="216">
        <f>ROUND(data!AY63,0)</f>
        <v>0</v>
      </c>
      <c r="J50" s="216">
        <f>ROUND(data!AY64,0)</f>
        <v>507439</v>
      </c>
      <c r="K50" s="216">
        <f>ROUND(data!AY65,0)</f>
        <v>471</v>
      </c>
      <c r="L50" s="216">
        <f>ROUND(data!AY66,0)</f>
        <v>6772</v>
      </c>
      <c r="M50" s="66">
        <f>ROUND(data!AY67,0)</f>
        <v>0</v>
      </c>
      <c r="N50" s="216">
        <f>ROUND(data!AY68,0)</f>
        <v>4724</v>
      </c>
      <c r="O50" s="216">
        <f>ROUND(data!AY69,0)</f>
        <v>30221</v>
      </c>
      <c r="P50" s="216">
        <f>ROUND(data!AY70,0)</f>
        <v>0</v>
      </c>
      <c r="Q50" s="216">
        <f>ROUND(data!AY71,0)</f>
        <v>0</v>
      </c>
      <c r="R50" s="216">
        <f>ROUND(data!AY72,0)</f>
        <v>0</v>
      </c>
      <c r="S50" s="216">
        <f>ROUND(data!AY73,0)</f>
        <v>0</v>
      </c>
      <c r="T50" s="216">
        <f>ROUND(data!AY74,0)</f>
        <v>0</v>
      </c>
      <c r="U50" s="216">
        <f>ROUND(data!AY75,0)</f>
        <v>0</v>
      </c>
      <c r="V50" s="216">
        <f>ROUND(data!AY76,0)</f>
        <v>0</v>
      </c>
      <c r="W50" s="216">
        <f>ROUND(data!AY77,0)</f>
        <v>7237</v>
      </c>
      <c r="X50" s="216">
        <f>ROUND(data!AY78,0)</f>
        <v>0</v>
      </c>
      <c r="Y50" s="216">
        <f>ROUND(data!AY79,0)</f>
        <v>0</v>
      </c>
      <c r="Z50" s="216">
        <f>ROUND(data!AY80,0)</f>
        <v>0</v>
      </c>
      <c r="AA50" s="216">
        <f>ROUND(data!AY81,0)</f>
        <v>0</v>
      </c>
      <c r="AB50" s="216">
        <f>ROUND(data!AY82,0)</f>
        <v>0</v>
      </c>
      <c r="AC50" s="216">
        <f>ROUND(data!AY83,0)</f>
        <v>22984</v>
      </c>
      <c r="AD50" s="216">
        <f>ROUND(data!AY84,0)</f>
        <v>0</v>
      </c>
      <c r="AE50" s="216"/>
      <c r="AF50" s="216"/>
      <c r="AG50" s="216">
        <f>IF(data!AY90&gt;0,ROUND(data!AY90,0),0)</f>
        <v>0</v>
      </c>
      <c r="AH50" s="216">
        <f>IFERROR(IF(data!AY$91&gt;0,ROUND(data!AY$91,0),0),0)</f>
        <v>0</v>
      </c>
      <c r="AI50" s="216">
        <f>IFERROR(IF(data!AY$92&gt;0,ROUND(data!AY$92,0),0),0)</f>
        <v>0</v>
      </c>
      <c r="AJ50" s="216">
        <f>IFERROR(IF(data!AY$93&gt;0,ROUND(data!AY$93,0),0),0)</f>
        <v>0</v>
      </c>
      <c r="AK50" s="206">
        <f>IFERROR(IF(data!AY$94&gt;0,ROUND(data!AY$94,2),0),0)</f>
        <v>0</v>
      </c>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row>
    <row r="51" spans="1:89" s="12" customFormat="1" ht="12.6" customHeight="1" x14ac:dyDescent="0.25">
      <c r="A51" s="16" t="str">
        <f>RIGHT(data!$C$97,3)</f>
        <v>085</v>
      </c>
      <c r="B51" s="218" t="str">
        <f>RIGHT(data!$C$96,4)</f>
        <v>2022</v>
      </c>
      <c r="C51" s="16" t="str">
        <f>data!AZ$55</f>
        <v>8330</v>
      </c>
      <c r="D51" s="16" t="s">
        <v>1120</v>
      </c>
      <c r="E51" s="216">
        <f>ROUND(data!AZ59,0)</f>
        <v>0</v>
      </c>
      <c r="F51" s="206">
        <f>ROUND(data!AZ60,2)</f>
        <v>0</v>
      </c>
      <c r="G51" s="216">
        <f>ROUND(data!AZ61,0)</f>
        <v>0</v>
      </c>
      <c r="H51" s="216">
        <f>ROUND(data!AZ62,0)</f>
        <v>0</v>
      </c>
      <c r="I51" s="216">
        <f>ROUND(data!AZ63,0)</f>
        <v>0</v>
      </c>
      <c r="J51" s="216">
        <f>ROUND(data!AZ64,0)</f>
        <v>0</v>
      </c>
      <c r="K51" s="216">
        <f>ROUND(data!AZ65,0)</f>
        <v>0</v>
      </c>
      <c r="L51" s="216">
        <f>ROUND(data!AZ66,0)</f>
        <v>0</v>
      </c>
      <c r="M51" s="66">
        <f>ROUND(data!AZ67,0)</f>
        <v>143973</v>
      </c>
      <c r="N51" s="216">
        <f>ROUND(data!AZ68,0)</f>
        <v>0</v>
      </c>
      <c r="O51" s="216">
        <f>ROUND(data!AZ69,0)</f>
        <v>0</v>
      </c>
      <c r="P51" s="216">
        <f>ROUND(data!AZ70,0)</f>
        <v>0</v>
      </c>
      <c r="Q51" s="216">
        <f>ROUND(data!AZ71,0)</f>
        <v>0</v>
      </c>
      <c r="R51" s="216">
        <f>ROUND(data!AZ72,0)</f>
        <v>0</v>
      </c>
      <c r="S51" s="216">
        <f>ROUND(data!AZ73,0)</f>
        <v>0</v>
      </c>
      <c r="T51" s="216">
        <f>ROUND(data!AZ74,0)</f>
        <v>0</v>
      </c>
      <c r="U51" s="216">
        <f>ROUND(data!AZ75,0)</f>
        <v>0</v>
      </c>
      <c r="V51" s="216">
        <f>ROUND(data!AZ76,0)</f>
        <v>0</v>
      </c>
      <c r="W51" s="216">
        <f>ROUND(data!AZ77,0)</f>
        <v>0</v>
      </c>
      <c r="X51" s="216">
        <f>ROUND(data!AZ78,0)</f>
        <v>0</v>
      </c>
      <c r="Y51" s="216">
        <f>ROUND(data!AZ79,0)</f>
        <v>0</v>
      </c>
      <c r="Z51" s="216">
        <f>ROUND(data!AZ80,0)</f>
        <v>0</v>
      </c>
      <c r="AA51" s="216">
        <f>ROUND(data!AZ81,0)</f>
        <v>0</v>
      </c>
      <c r="AB51" s="216">
        <f>ROUND(data!AZ82,0)</f>
        <v>0</v>
      </c>
      <c r="AC51" s="216">
        <f>ROUND(data!AZ83,0)</f>
        <v>0</v>
      </c>
      <c r="AD51" s="216">
        <f>ROUND(data!AZ84,0)</f>
        <v>0</v>
      </c>
      <c r="AE51" s="216"/>
      <c r="AF51" s="216"/>
      <c r="AG51" s="216">
        <f>IF(data!AZ90&gt;0,ROUND(data!AZ90,0),0)</f>
        <v>4293</v>
      </c>
      <c r="AH51" s="216">
        <f>IFERROR(IF(data!AZ$91&gt;0,ROUND(data!AZ$91,0),0),0)</f>
        <v>0</v>
      </c>
      <c r="AI51" s="216">
        <f>IFERROR(IF(data!AZ$92&gt;0,ROUND(data!AZ$92,0),0),0)</f>
        <v>0</v>
      </c>
      <c r="AJ51" s="216">
        <f>IFERROR(IF(data!AZ$93&gt;0,ROUND(data!AZ$93,0),0),0)</f>
        <v>0</v>
      </c>
      <c r="AK51" s="206">
        <f>IFERROR(IF(data!AZ$94&gt;0,ROUND(data!AZ$94,2),0),0)</f>
        <v>0</v>
      </c>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row>
    <row r="52" spans="1:89" s="12" customFormat="1" ht="12.6" customHeight="1" x14ac:dyDescent="0.25">
      <c r="A52" s="16" t="str">
        <f>RIGHT(data!$C$97,3)</f>
        <v>085</v>
      </c>
      <c r="B52" s="218" t="str">
        <f>RIGHT(data!$C$96,4)</f>
        <v>2022</v>
      </c>
      <c r="C52" s="16" t="str">
        <f>data!BA$55</f>
        <v>8350</v>
      </c>
      <c r="D52" s="16" t="s">
        <v>1120</v>
      </c>
      <c r="E52" s="216">
        <f>ROUND(data!BA59,0)</f>
        <v>279208</v>
      </c>
      <c r="F52" s="206">
        <f>ROUND(data!BA60,2)</f>
        <v>0</v>
      </c>
      <c r="G52" s="216">
        <f>ROUND(data!BA61,0)</f>
        <v>0</v>
      </c>
      <c r="H52" s="216">
        <f>ROUND(data!BA62,0)</f>
        <v>0</v>
      </c>
      <c r="I52" s="216">
        <f>ROUND(data!BA63,0)</f>
        <v>0</v>
      </c>
      <c r="J52" s="216">
        <f>ROUND(data!BA64,0)</f>
        <v>44954</v>
      </c>
      <c r="K52" s="216">
        <f>ROUND(data!BA65,0)</f>
        <v>3338</v>
      </c>
      <c r="L52" s="216">
        <f>ROUND(data!BA66,0)</f>
        <v>295297</v>
      </c>
      <c r="M52" s="66">
        <f>ROUND(data!BA67,0)</f>
        <v>0</v>
      </c>
      <c r="N52" s="216">
        <f>ROUND(data!BA68,0)</f>
        <v>0</v>
      </c>
      <c r="O52" s="216">
        <f>ROUND(data!BA69,0)</f>
        <v>0</v>
      </c>
      <c r="P52" s="216">
        <f>ROUND(data!BA70,0)</f>
        <v>0</v>
      </c>
      <c r="Q52" s="216">
        <f>ROUND(data!BA71,0)</f>
        <v>0</v>
      </c>
      <c r="R52" s="216">
        <f>ROUND(data!BA72,0)</f>
        <v>0</v>
      </c>
      <c r="S52" s="216">
        <f>ROUND(data!BA73,0)</f>
        <v>0</v>
      </c>
      <c r="T52" s="216">
        <f>ROUND(data!BA74,0)</f>
        <v>0</v>
      </c>
      <c r="U52" s="216">
        <f>ROUND(data!BA75,0)</f>
        <v>0</v>
      </c>
      <c r="V52" s="216">
        <f>ROUND(data!BA76,0)</f>
        <v>0</v>
      </c>
      <c r="W52" s="216">
        <f>ROUND(data!BA77,0)</f>
        <v>0</v>
      </c>
      <c r="X52" s="216">
        <f>ROUND(data!BA78,0)</f>
        <v>0</v>
      </c>
      <c r="Y52" s="216">
        <f>ROUND(data!BA79,0)</f>
        <v>0</v>
      </c>
      <c r="Z52" s="216">
        <f>ROUND(data!BA80,0)</f>
        <v>0</v>
      </c>
      <c r="AA52" s="216">
        <f>ROUND(data!BA81,0)</f>
        <v>0</v>
      </c>
      <c r="AB52" s="216">
        <f>ROUND(data!BA82,0)</f>
        <v>0</v>
      </c>
      <c r="AC52" s="216">
        <f>ROUND(data!BA83,0)</f>
        <v>0</v>
      </c>
      <c r="AD52" s="216">
        <f>ROUND(data!BA84,0)</f>
        <v>0</v>
      </c>
      <c r="AE52" s="216"/>
      <c r="AF52" s="216"/>
      <c r="AG52" s="216">
        <f>IF(data!BA90&gt;0,ROUND(data!BA90,0),0)</f>
        <v>0</v>
      </c>
      <c r="AH52" s="216">
        <f>IFERROR(IF(data!BA$91&gt;0,ROUND(data!BA$91,0),0),0)</f>
        <v>0</v>
      </c>
      <c r="AI52" s="216">
        <f>IFERROR(IF(data!BA$92&gt;0,ROUND(data!BA$92,0),0),0)</f>
        <v>0</v>
      </c>
      <c r="AJ52" s="216">
        <f>IFERROR(IF(data!BA$93&gt;0,ROUND(data!BA$93,0),0),0)</f>
        <v>0</v>
      </c>
      <c r="AK52" s="206">
        <f>IFERROR(IF(data!BA$94&gt;0,ROUND(data!BA$94,2),0),0)</f>
        <v>0</v>
      </c>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row>
    <row r="53" spans="1:89" s="12" customFormat="1" ht="12.6" customHeight="1" x14ac:dyDescent="0.25">
      <c r="A53" s="16" t="str">
        <f>RIGHT(data!$C$97,3)</f>
        <v>085</v>
      </c>
      <c r="B53" s="218" t="str">
        <f>RIGHT(data!$C$96,4)</f>
        <v>2022</v>
      </c>
      <c r="C53" s="16" t="str">
        <f>data!BB$55</f>
        <v>8360</v>
      </c>
      <c r="D53" s="16" t="s">
        <v>1120</v>
      </c>
      <c r="E53" s="216"/>
      <c r="F53" s="206">
        <f>ROUND(data!BB60,2)</f>
        <v>0</v>
      </c>
      <c r="G53" s="216">
        <f>ROUND(data!BB61,0)</f>
        <v>0</v>
      </c>
      <c r="H53" s="216">
        <f>ROUND(data!BB62,0)</f>
        <v>0</v>
      </c>
      <c r="I53" s="216">
        <f>ROUND(data!BB63,0)</f>
        <v>0</v>
      </c>
      <c r="J53" s="216">
        <f>ROUND(data!BB64,0)</f>
        <v>0</v>
      </c>
      <c r="K53" s="216">
        <f>ROUND(data!BB65,0)</f>
        <v>0</v>
      </c>
      <c r="L53" s="216">
        <f>ROUND(data!BB66,0)</f>
        <v>0</v>
      </c>
      <c r="M53" s="66">
        <f>ROUND(data!BB67,0)</f>
        <v>0</v>
      </c>
      <c r="N53" s="216">
        <f>ROUND(data!BB68,0)</f>
        <v>0</v>
      </c>
      <c r="O53" s="216">
        <f>ROUND(data!BB69,0)</f>
        <v>0</v>
      </c>
      <c r="P53" s="216">
        <f>ROUND(data!BB70,0)</f>
        <v>0</v>
      </c>
      <c r="Q53" s="216">
        <f>ROUND(data!BB71,0)</f>
        <v>0</v>
      </c>
      <c r="R53" s="216">
        <f>ROUND(data!BB72,0)</f>
        <v>0</v>
      </c>
      <c r="S53" s="216">
        <f>ROUND(data!BB73,0)</f>
        <v>0</v>
      </c>
      <c r="T53" s="216">
        <f>ROUND(data!BB74,0)</f>
        <v>0</v>
      </c>
      <c r="U53" s="216">
        <f>ROUND(data!BB75,0)</f>
        <v>0</v>
      </c>
      <c r="V53" s="216">
        <f>ROUND(data!BB76,0)</f>
        <v>0</v>
      </c>
      <c r="W53" s="216">
        <f>ROUND(data!BB77,0)</f>
        <v>0</v>
      </c>
      <c r="X53" s="216">
        <f>ROUND(data!BB78,0)</f>
        <v>0</v>
      </c>
      <c r="Y53" s="216">
        <f>ROUND(data!BB79,0)</f>
        <v>0</v>
      </c>
      <c r="Z53" s="216">
        <f>ROUND(data!BB80,0)</f>
        <v>0</v>
      </c>
      <c r="AA53" s="216">
        <f>ROUND(data!BB81,0)</f>
        <v>0</v>
      </c>
      <c r="AB53" s="216">
        <f>ROUND(data!BB82,0)</f>
        <v>0</v>
      </c>
      <c r="AC53" s="216">
        <f>ROUND(data!BB83,0)</f>
        <v>0</v>
      </c>
      <c r="AD53" s="216">
        <f>ROUND(data!BB84,0)</f>
        <v>0</v>
      </c>
      <c r="AE53" s="216"/>
      <c r="AF53" s="216"/>
      <c r="AG53" s="216">
        <f>IF(data!BB90&gt;0,ROUND(data!BB90,0),0)</f>
        <v>0</v>
      </c>
      <c r="AH53" s="216">
        <f>IFERROR(IF(data!BB$91&gt;0,ROUND(data!BB$91,0),0),0)</f>
        <v>0</v>
      </c>
      <c r="AI53" s="216">
        <f>IFERROR(IF(data!BB$92&gt;0,ROUND(data!BB$92,0),0),0)</f>
        <v>0</v>
      </c>
      <c r="AJ53" s="216">
        <f>IFERROR(IF(data!BB$93&gt;0,ROUND(data!BB$93,0),0),0)</f>
        <v>0</v>
      </c>
      <c r="AK53" s="206">
        <f>IFERROR(IF(data!BB$94&gt;0,ROUND(data!BB$94,2),0),0)</f>
        <v>0</v>
      </c>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row>
    <row r="54" spans="1:89" s="12" customFormat="1" ht="12.6" customHeight="1" x14ac:dyDescent="0.25">
      <c r="A54" s="16" t="str">
        <f>RIGHT(data!$C$97,3)</f>
        <v>085</v>
      </c>
      <c r="B54" s="218" t="str">
        <f>RIGHT(data!$C$96,4)</f>
        <v>2022</v>
      </c>
      <c r="C54" s="16" t="str">
        <f>data!BC$55</f>
        <v>8370</v>
      </c>
      <c r="D54" s="16" t="s">
        <v>1120</v>
      </c>
      <c r="E54" s="216"/>
      <c r="F54" s="206">
        <f>ROUND(data!BC60,2)</f>
        <v>0</v>
      </c>
      <c r="G54" s="216">
        <f>ROUND(data!BC61,0)</f>
        <v>0</v>
      </c>
      <c r="H54" s="216">
        <f>ROUND(data!BC62,0)</f>
        <v>0</v>
      </c>
      <c r="I54" s="216">
        <f>ROUND(data!BC63,0)</f>
        <v>0</v>
      </c>
      <c r="J54" s="216">
        <f>ROUND(data!BC64,0)</f>
        <v>0</v>
      </c>
      <c r="K54" s="216">
        <f>ROUND(data!BC65,0)</f>
        <v>0</v>
      </c>
      <c r="L54" s="216">
        <f>ROUND(data!BC66,0)</f>
        <v>0</v>
      </c>
      <c r="M54" s="66">
        <f>ROUND(data!BC67,0)</f>
        <v>0</v>
      </c>
      <c r="N54" s="216">
        <f>ROUND(data!BC68,0)</f>
        <v>0</v>
      </c>
      <c r="O54" s="216">
        <f>ROUND(data!BC69,0)</f>
        <v>0</v>
      </c>
      <c r="P54" s="216">
        <f>ROUND(data!BC70,0)</f>
        <v>0</v>
      </c>
      <c r="Q54" s="216">
        <f>ROUND(data!BC71,0)</f>
        <v>0</v>
      </c>
      <c r="R54" s="216">
        <f>ROUND(data!BC72,0)</f>
        <v>0</v>
      </c>
      <c r="S54" s="216">
        <f>ROUND(data!BC73,0)</f>
        <v>0</v>
      </c>
      <c r="T54" s="216">
        <f>ROUND(data!BC74,0)</f>
        <v>0</v>
      </c>
      <c r="U54" s="216">
        <f>ROUND(data!BC75,0)</f>
        <v>0</v>
      </c>
      <c r="V54" s="216">
        <f>ROUND(data!BC76,0)</f>
        <v>0</v>
      </c>
      <c r="W54" s="216">
        <f>ROUND(data!BC77,0)</f>
        <v>0</v>
      </c>
      <c r="X54" s="216">
        <f>ROUND(data!BC78,0)</f>
        <v>0</v>
      </c>
      <c r="Y54" s="216">
        <f>ROUND(data!BC79,0)</f>
        <v>0</v>
      </c>
      <c r="Z54" s="216">
        <f>ROUND(data!BC80,0)</f>
        <v>0</v>
      </c>
      <c r="AA54" s="216">
        <f>ROUND(data!BC81,0)</f>
        <v>0</v>
      </c>
      <c r="AB54" s="216">
        <f>ROUND(data!BC82,0)</f>
        <v>0</v>
      </c>
      <c r="AC54" s="216">
        <f>ROUND(data!BC83,0)</f>
        <v>0</v>
      </c>
      <c r="AD54" s="216">
        <f>ROUND(data!BC84,0)</f>
        <v>0</v>
      </c>
      <c r="AE54" s="216"/>
      <c r="AF54" s="216"/>
      <c r="AG54" s="216">
        <f>IF(data!BC90&gt;0,ROUND(data!BC90,0),0)</f>
        <v>0</v>
      </c>
      <c r="AH54" s="216">
        <f>IFERROR(IF(data!BC$91&gt;0,ROUND(data!BC$91,0),0),0)</f>
        <v>0</v>
      </c>
      <c r="AI54" s="216">
        <f>IFERROR(IF(data!BC$92&gt;0,ROUND(data!BC$92,0),0),0)</f>
        <v>0</v>
      </c>
      <c r="AJ54" s="216">
        <f>IFERROR(IF(data!BC$93&gt;0,ROUND(data!BC$93,0),0),0)</f>
        <v>0</v>
      </c>
      <c r="AK54" s="206">
        <f>IFERROR(IF(data!BC$94&gt;0,ROUND(data!BC$94,2),0),0)</f>
        <v>0</v>
      </c>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row>
    <row r="55" spans="1:89" s="12" customFormat="1" ht="12.6" customHeight="1" x14ac:dyDescent="0.25">
      <c r="A55" s="16" t="str">
        <f>RIGHT(data!$C$97,3)</f>
        <v>085</v>
      </c>
      <c r="B55" s="218" t="str">
        <f>RIGHT(data!$C$96,4)</f>
        <v>2022</v>
      </c>
      <c r="C55" s="16" t="str">
        <f>data!BD$55</f>
        <v>8420</v>
      </c>
      <c r="D55" s="16" t="s">
        <v>1120</v>
      </c>
      <c r="E55" s="216"/>
      <c r="F55" s="206">
        <f>ROUND(data!BD60,2)</f>
        <v>0</v>
      </c>
      <c r="G55" s="216">
        <f>ROUND(data!BD61,0)</f>
        <v>396919</v>
      </c>
      <c r="H55" s="216">
        <f>ROUND(data!BD62,0)</f>
        <v>87349</v>
      </c>
      <c r="I55" s="216">
        <f>ROUND(data!BD63,0)</f>
        <v>0</v>
      </c>
      <c r="J55" s="216">
        <f>ROUND(data!BD64,0)</f>
        <v>0</v>
      </c>
      <c r="K55" s="216">
        <f>ROUND(data!BD65,0)</f>
        <v>0</v>
      </c>
      <c r="L55" s="216">
        <f>ROUND(data!BD66,0)</f>
        <v>0</v>
      </c>
      <c r="M55" s="66">
        <f>ROUND(data!BD67,0)</f>
        <v>0</v>
      </c>
      <c r="N55" s="216">
        <f>ROUND(data!BD68,0)</f>
        <v>0</v>
      </c>
      <c r="O55" s="216">
        <f>ROUND(data!BD69,0)</f>
        <v>0</v>
      </c>
      <c r="P55" s="216">
        <f>ROUND(data!BD70,0)</f>
        <v>0</v>
      </c>
      <c r="Q55" s="216">
        <f>ROUND(data!BD71,0)</f>
        <v>0</v>
      </c>
      <c r="R55" s="216">
        <f>ROUND(data!BD72,0)</f>
        <v>0</v>
      </c>
      <c r="S55" s="216">
        <f>ROUND(data!BD73,0)</f>
        <v>0</v>
      </c>
      <c r="T55" s="216">
        <f>ROUND(data!BD74,0)</f>
        <v>0</v>
      </c>
      <c r="U55" s="216">
        <f>ROUND(data!BD75,0)</f>
        <v>0</v>
      </c>
      <c r="V55" s="216">
        <f>ROUND(data!BD76,0)</f>
        <v>0</v>
      </c>
      <c r="W55" s="216">
        <f>ROUND(data!BD77,0)</f>
        <v>0</v>
      </c>
      <c r="X55" s="216">
        <f>ROUND(data!BD78,0)</f>
        <v>0</v>
      </c>
      <c r="Y55" s="216">
        <f>ROUND(data!BD79,0)</f>
        <v>0</v>
      </c>
      <c r="Z55" s="216">
        <f>ROUND(data!BD80,0)</f>
        <v>0</v>
      </c>
      <c r="AA55" s="216">
        <f>ROUND(data!BD81,0)</f>
        <v>0</v>
      </c>
      <c r="AB55" s="216">
        <f>ROUND(data!BD82,0)</f>
        <v>0</v>
      </c>
      <c r="AC55" s="216">
        <f>ROUND(data!BD83,0)</f>
        <v>0</v>
      </c>
      <c r="AD55" s="216">
        <f>ROUND(data!BD84,0)</f>
        <v>0</v>
      </c>
      <c r="AE55" s="216"/>
      <c r="AF55" s="216"/>
      <c r="AG55" s="216">
        <f>IF(data!BD90&gt;0,ROUND(data!BD90,0),0)</f>
        <v>0</v>
      </c>
      <c r="AH55" s="216">
        <f>IFERROR(IF(data!BD$91&gt;0,ROUND(data!BD$91,0),0),0)</f>
        <v>0</v>
      </c>
      <c r="AI55" s="216">
        <f>IFERROR(IF(data!BD$92&gt;0,ROUND(data!BD$92,0),0),0)</f>
        <v>0</v>
      </c>
      <c r="AJ55" s="216">
        <f>IFERROR(IF(data!BD$93&gt;0,ROUND(data!BD$93,0),0),0)</f>
        <v>0</v>
      </c>
      <c r="AK55" s="206">
        <f>IFERROR(IF(data!BD$94&gt;0,ROUND(data!BD$94,2),0),0)</f>
        <v>0</v>
      </c>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row>
    <row r="56" spans="1:89" s="12" customFormat="1" ht="12.6" customHeight="1" x14ac:dyDescent="0.25">
      <c r="A56" s="16" t="str">
        <f>RIGHT(data!$C$97,3)</f>
        <v>085</v>
      </c>
      <c r="B56" s="218" t="str">
        <f>RIGHT(data!$C$96,4)</f>
        <v>2022</v>
      </c>
      <c r="C56" s="16" t="str">
        <f>data!BE$55</f>
        <v>8430</v>
      </c>
      <c r="D56" s="16" t="s">
        <v>1120</v>
      </c>
      <c r="E56" s="216">
        <f>ROUND(data!BE59,0)</f>
        <v>149248</v>
      </c>
      <c r="F56" s="206">
        <f>ROUND(data!BE60,2)</f>
        <v>9.85</v>
      </c>
      <c r="G56" s="216">
        <f>ROUND(data!BE61,0)</f>
        <v>880192</v>
      </c>
      <c r="H56" s="216">
        <f>ROUND(data!BE62,0)</f>
        <v>193701</v>
      </c>
      <c r="I56" s="216">
        <f>ROUND(data!BE63,0)</f>
        <v>0</v>
      </c>
      <c r="J56" s="216">
        <f>ROUND(data!BE64,0)</f>
        <v>50457</v>
      </c>
      <c r="K56" s="216">
        <f>ROUND(data!BE65,0)</f>
        <v>1109123</v>
      </c>
      <c r="L56" s="216">
        <f>ROUND(data!BE66,0)</f>
        <v>218190</v>
      </c>
      <c r="M56" s="66">
        <f>ROUND(data!BE67,0)</f>
        <v>428899</v>
      </c>
      <c r="N56" s="216">
        <f>ROUND(data!BE68,0)</f>
        <v>3335</v>
      </c>
      <c r="O56" s="216">
        <f>ROUND(data!BE69,0)</f>
        <v>138892</v>
      </c>
      <c r="P56" s="216">
        <f>ROUND(data!BE70,0)</f>
        <v>0</v>
      </c>
      <c r="Q56" s="216">
        <f>ROUND(data!BE71,0)</f>
        <v>0</v>
      </c>
      <c r="R56" s="216">
        <f>ROUND(data!BE72,0)</f>
        <v>0</v>
      </c>
      <c r="S56" s="216">
        <f>ROUND(data!BE73,0)</f>
        <v>0</v>
      </c>
      <c r="T56" s="216">
        <f>ROUND(data!BE74,0)</f>
        <v>0</v>
      </c>
      <c r="U56" s="216">
        <f>ROUND(data!BE75,0)</f>
        <v>0</v>
      </c>
      <c r="V56" s="216">
        <f>ROUND(data!BE76,0)</f>
        <v>0</v>
      </c>
      <c r="W56" s="216">
        <f>ROUND(data!BE77,0)</f>
        <v>135970</v>
      </c>
      <c r="X56" s="216">
        <f>ROUND(data!BE78,0)</f>
        <v>0</v>
      </c>
      <c r="Y56" s="216">
        <f>ROUND(data!BE79,0)</f>
        <v>0</v>
      </c>
      <c r="Z56" s="216">
        <f>ROUND(data!BE80,0)</f>
        <v>0</v>
      </c>
      <c r="AA56" s="216">
        <f>ROUND(data!BE81,0)</f>
        <v>0</v>
      </c>
      <c r="AB56" s="216">
        <f>ROUND(data!BE82,0)</f>
        <v>0</v>
      </c>
      <c r="AC56" s="216">
        <f>ROUND(data!BE83,0)</f>
        <v>2922</v>
      </c>
      <c r="AD56" s="216">
        <f>ROUND(data!BE84,0)</f>
        <v>0</v>
      </c>
      <c r="AE56" s="216"/>
      <c r="AF56" s="216"/>
      <c r="AG56" s="216">
        <f>IF(data!BE90&gt;0,ROUND(data!BE90,0),0)</f>
        <v>12789</v>
      </c>
      <c r="AH56" s="216">
        <f>IFERROR(IF(data!BE$91&gt;0,ROUND(data!BE$91,0),0),0)</f>
        <v>0</v>
      </c>
      <c r="AI56" s="216">
        <f>IFERROR(IF(data!BE$92&gt;0,ROUND(data!BE$92,0),0),0)</f>
        <v>0</v>
      </c>
      <c r="AJ56" s="216">
        <f>IFERROR(IF(data!BE$93&gt;0,ROUND(data!BE$93,0),0),0)</f>
        <v>0</v>
      </c>
      <c r="AK56" s="206">
        <f>IFERROR(IF(data!BE$94&gt;0,ROUND(data!BE$94,2),0),0)</f>
        <v>0</v>
      </c>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row>
    <row r="57" spans="1:89" s="12" customFormat="1" ht="12.6" customHeight="1" x14ac:dyDescent="0.25">
      <c r="A57" s="16" t="str">
        <f>RIGHT(data!$C$97,3)</f>
        <v>085</v>
      </c>
      <c r="B57" s="218" t="str">
        <f>RIGHT(data!$C$96,4)</f>
        <v>2022</v>
      </c>
      <c r="C57" s="16" t="str">
        <f>data!BF$55</f>
        <v>8460</v>
      </c>
      <c r="D57" s="16" t="s">
        <v>1120</v>
      </c>
      <c r="E57" s="216"/>
      <c r="F57" s="206">
        <f>ROUND(data!BF60,2)</f>
        <v>22.93</v>
      </c>
      <c r="G57" s="216">
        <f>ROUND(data!BF61,0)</f>
        <v>1117385</v>
      </c>
      <c r="H57" s="216">
        <f>ROUND(data!BF62,0)</f>
        <v>245900</v>
      </c>
      <c r="I57" s="216">
        <f>ROUND(data!BF63,0)</f>
        <v>0</v>
      </c>
      <c r="J57" s="216">
        <f>ROUND(data!BF64,0)</f>
        <v>195897</v>
      </c>
      <c r="K57" s="216">
        <f>ROUND(data!BF65,0)</f>
        <v>358</v>
      </c>
      <c r="L57" s="216">
        <f>ROUND(data!BF66,0)</f>
        <v>40269</v>
      </c>
      <c r="M57" s="66">
        <f>ROUND(data!BF67,0)</f>
        <v>108692</v>
      </c>
      <c r="N57" s="216">
        <f>ROUND(data!BF68,0)</f>
        <v>15390</v>
      </c>
      <c r="O57" s="216">
        <f>ROUND(data!BF69,0)</f>
        <v>3916</v>
      </c>
      <c r="P57" s="216">
        <f>ROUND(data!BF70,0)</f>
        <v>0</v>
      </c>
      <c r="Q57" s="216">
        <f>ROUND(data!BF71,0)</f>
        <v>0</v>
      </c>
      <c r="R57" s="216">
        <f>ROUND(data!BF72,0)</f>
        <v>0</v>
      </c>
      <c r="S57" s="216">
        <f>ROUND(data!BF73,0)</f>
        <v>0</v>
      </c>
      <c r="T57" s="216">
        <f>ROUND(data!BF74,0)</f>
        <v>0</v>
      </c>
      <c r="U57" s="216">
        <f>ROUND(data!BF75,0)</f>
        <v>0</v>
      </c>
      <c r="V57" s="216">
        <f>ROUND(data!BF76,0)</f>
        <v>0</v>
      </c>
      <c r="W57" s="216">
        <f>ROUND(data!BF77,0)</f>
        <v>3088</v>
      </c>
      <c r="X57" s="216">
        <f>ROUND(data!BF78,0)</f>
        <v>0</v>
      </c>
      <c r="Y57" s="216">
        <f>ROUND(data!BF79,0)</f>
        <v>0</v>
      </c>
      <c r="Z57" s="216">
        <f>ROUND(data!BF80,0)</f>
        <v>0</v>
      </c>
      <c r="AA57" s="216">
        <f>ROUND(data!BF81,0)</f>
        <v>0</v>
      </c>
      <c r="AB57" s="216">
        <f>ROUND(data!BF82,0)</f>
        <v>0</v>
      </c>
      <c r="AC57" s="216">
        <f>ROUND(data!BF83,0)</f>
        <v>828</v>
      </c>
      <c r="AD57" s="216">
        <f>ROUND(data!BF84,0)</f>
        <v>0</v>
      </c>
      <c r="AE57" s="216"/>
      <c r="AF57" s="216"/>
      <c r="AG57" s="216">
        <f>IF(data!BF90&gt;0,ROUND(data!BF90,0),0)</f>
        <v>3241</v>
      </c>
      <c r="AH57" s="216">
        <f>IFERROR(IF(data!BF$91&gt;0,ROUND(data!BF$91,0),0),0)</f>
        <v>0</v>
      </c>
      <c r="AI57" s="216">
        <f>IFERROR(IF(data!BF$92&gt;0,ROUND(data!BF$92,0),0),0)</f>
        <v>0</v>
      </c>
      <c r="AJ57" s="216">
        <f>IFERROR(IF(data!BF$93&gt;0,ROUND(data!BF$93,0),0),0)</f>
        <v>0</v>
      </c>
      <c r="AK57" s="206">
        <f>IFERROR(IF(data!BF$94&gt;0,ROUND(data!BF$94,2),0),0)</f>
        <v>0</v>
      </c>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row>
    <row r="58" spans="1:89" s="12" customFormat="1" ht="12.6" customHeight="1" x14ac:dyDescent="0.25">
      <c r="A58" s="16" t="str">
        <f>RIGHT(data!$C$97,3)</f>
        <v>085</v>
      </c>
      <c r="B58" s="218" t="str">
        <f>RIGHT(data!$C$96,4)</f>
        <v>2022</v>
      </c>
      <c r="C58" s="16" t="str">
        <f>data!BG$55</f>
        <v>8470</v>
      </c>
      <c r="D58" s="16" t="s">
        <v>1120</v>
      </c>
      <c r="E58" s="216"/>
      <c r="F58" s="206">
        <f>ROUND(data!BG60,2)</f>
        <v>0</v>
      </c>
      <c r="G58" s="216">
        <f>ROUND(data!BG61,0)</f>
        <v>0</v>
      </c>
      <c r="H58" s="216">
        <f>ROUND(data!BG62,0)</f>
        <v>0</v>
      </c>
      <c r="I58" s="216">
        <f>ROUND(data!BG63,0)</f>
        <v>0</v>
      </c>
      <c r="J58" s="216">
        <f>ROUND(data!BG64,0)</f>
        <v>14608</v>
      </c>
      <c r="K58" s="216">
        <f>ROUND(data!BG65,0)</f>
        <v>96667</v>
      </c>
      <c r="L58" s="216">
        <f>ROUND(data!BG66,0)</f>
        <v>269073</v>
      </c>
      <c r="M58" s="66">
        <f>ROUND(data!BG67,0)</f>
        <v>0</v>
      </c>
      <c r="N58" s="216">
        <f>ROUND(data!BG68,0)</f>
        <v>0</v>
      </c>
      <c r="O58" s="216">
        <f>ROUND(data!BG69,0)</f>
        <v>38845</v>
      </c>
      <c r="P58" s="216">
        <f>ROUND(data!BG70,0)</f>
        <v>0</v>
      </c>
      <c r="Q58" s="216">
        <f>ROUND(data!BG71,0)</f>
        <v>0</v>
      </c>
      <c r="R58" s="216">
        <f>ROUND(data!BG72,0)</f>
        <v>0</v>
      </c>
      <c r="S58" s="216">
        <f>ROUND(data!BG73,0)</f>
        <v>0</v>
      </c>
      <c r="T58" s="216">
        <f>ROUND(data!BG74,0)</f>
        <v>0</v>
      </c>
      <c r="U58" s="216">
        <f>ROUND(data!BG75,0)</f>
        <v>0</v>
      </c>
      <c r="V58" s="216">
        <f>ROUND(data!BG76,0)</f>
        <v>0</v>
      </c>
      <c r="W58" s="216">
        <f>ROUND(data!BG77,0)</f>
        <v>0</v>
      </c>
      <c r="X58" s="216">
        <f>ROUND(data!BG78,0)</f>
        <v>0</v>
      </c>
      <c r="Y58" s="216">
        <f>ROUND(data!BG79,0)</f>
        <v>0</v>
      </c>
      <c r="Z58" s="216">
        <f>ROUND(data!BG80,0)</f>
        <v>0</v>
      </c>
      <c r="AA58" s="216">
        <f>ROUND(data!BG81,0)</f>
        <v>0</v>
      </c>
      <c r="AB58" s="216">
        <f>ROUND(data!BG82,0)</f>
        <v>0</v>
      </c>
      <c r="AC58" s="216">
        <f>ROUND(data!BG83,0)</f>
        <v>38845</v>
      </c>
      <c r="AD58" s="216">
        <f>ROUND(data!BG84,0)</f>
        <v>0</v>
      </c>
      <c r="AE58" s="216"/>
      <c r="AF58" s="216"/>
      <c r="AG58" s="216">
        <f>IF(data!BG90&gt;0,ROUND(data!BG90,0),0)</f>
        <v>0</v>
      </c>
      <c r="AH58" s="216">
        <f>IFERROR(IF(data!BG$91&gt;0,ROUND(data!BG$91,0),0),0)</f>
        <v>0</v>
      </c>
      <c r="AI58" s="216">
        <f>IFERROR(IF(data!BG$92&gt;0,ROUND(data!BG$92,0),0),0)</f>
        <v>0</v>
      </c>
      <c r="AJ58" s="216">
        <f>IFERROR(IF(data!BG$93&gt;0,ROUND(data!BG$93,0),0),0)</f>
        <v>0</v>
      </c>
      <c r="AK58" s="206">
        <f>IFERROR(IF(data!BG$94&gt;0,ROUND(data!BG$94,2),0),0)</f>
        <v>0</v>
      </c>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row>
    <row r="59" spans="1:89" s="12" customFormat="1" ht="12.6" customHeight="1" x14ac:dyDescent="0.25">
      <c r="A59" s="16" t="str">
        <f>RIGHT(data!$C$97,3)</f>
        <v>085</v>
      </c>
      <c r="B59" s="218" t="str">
        <f>RIGHT(data!$C$96,4)</f>
        <v>2022</v>
      </c>
      <c r="C59" s="16" t="str">
        <f>data!BH$55</f>
        <v>8480</v>
      </c>
      <c r="D59" s="16" t="s">
        <v>1120</v>
      </c>
      <c r="E59" s="216"/>
      <c r="F59" s="206">
        <f>ROUND(data!BH60,2)</f>
        <v>17.809999999999999</v>
      </c>
      <c r="G59" s="216">
        <f>ROUND(data!BH61,0)</f>
        <v>1704267</v>
      </c>
      <c r="H59" s="216">
        <f>ROUND(data!BH62,0)</f>
        <v>375053</v>
      </c>
      <c r="I59" s="216">
        <f>ROUND(data!BH63,0)</f>
        <v>0</v>
      </c>
      <c r="J59" s="216">
        <f>ROUND(data!BH64,0)</f>
        <v>327018</v>
      </c>
      <c r="K59" s="216">
        <f>ROUND(data!BH65,0)</f>
        <v>3715</v>
      </c>
      <c r="L59" s="216">
        <f>ROUND(data!BH66,0)</f>
        <v>2093857</v>
      </c>
      <c r="M59" s="66">
        <f>ROUND(data!BH67,0)</f>
        <v>187905</v>
      </c>
      <c r="N59" s="216">
        <f>ROUND(data!BH68,0)</f>
        <v>0</v>
      </c>
      <c r="O59" s="216">
        <f>ROUND(data!BH69,0)</f>
        <v>250474</v>
      </c>
      <c r="P59" s="216">
        <f>ROUND(data!BH70,0)</f>
        <v>0</v>
      </c>
      <c r="Q59" s="216">
        <f>ROUND(data!BH71,0)</f>
        <v>0</v>
      </c>
      <c r="R59" s="216">
        <f>ROUND(data!BH72,0)</f>
        <v>0</v>
      </c>
      <c r="S59" s="216">
        <f>ROUND(data!BH73,0)</f>
        <v>0</v>
      </c>
      <c r="T59" s="216">
        <f>ROUND(data!BH74,0)</f>
        <v>0</v>
      </c>
      <c r="U59" s="216">
        <f>ROUND(data!BH75,0)</f>
        <v>0</v>
      </c>
      <c r="V59" s="216">
        <f>ROUND(data!BH76,0)</f>
        <v>0</v>
      </c>
      <c r="W59" s="216">
        <f>ROUND(data!BH77,0)</f>
        <v>509</v>
      </c>
      <c r="X59" s="216">
        <f>ROUND(data!BH78,0)</f>
        <v>0</v>
      </c>
      <c r="Y59" s="216">
        <f>ROUND(data!BH79,0)</f>
        <v>0</v>
      </c>
      <c r="Z59" s="216">
        <f>ROUND(data!BH80,0)</f>
        <v>0</v>
      </c>
      <c r="AA59" s="216">
        <f>ROUND(data!BH81,0)</f>
        <v>0</v>
      </c>
      <c r="AB59" s="216">
        <f>ROUND(data!BH82,0)</f>
        <v>0</v>
      </c>
      <c r="AC59" s="216">
        <f>ROUND(data!BH83,0)</f>
        <v>249965</v>
      </c>
      <c r="AD59" s="216">
        <f>ROUND(data!BH84,0)</f>
        <v>0</v>
      </c>
      <c r="AE59" s="216"/>
      <c r="AF59" s="216"/>
      <c r="AG59" s="216">
        <f>IF(data!BH90&gt;0,ROUND(data!BH90,0),0)</f>
        <v>5603</v>
      </c>
      <c r="AH59" s="216">
        <f>IFERROR(IF(data!BH$91&gt;0,ROUND(data!BH$91,0),0),0)</f>
        <v>0</v>
      </c>
      <c r="AI59" s="216">
        <f>IFERROR(IF(data!BH$92&gt;0,ROUND(data!BH$92,0),0),0)</f>
        <v>12</v>
      </c>
      <c r="AJ59" s="216">
        <f>IFERROR(IF(data!BH$93&gt;0,ROUND(data!BH$93,0),0),0)</f>
        <v>3116</v>
      </c>
      <c r="AK59" s="206">
        <f>IFERROR(IF(data!BH$94&gt;0,ROUND(data!BH$94,2),0),0)</f>
        <v>0</v>
      </c>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row>
    <row r="60" spans="1:89" s="12" customFormat="1" ht="12.6" customHeight="1" x14ac:dyDescent="0.25">
      <c r="A60" s="16" t="str">
        <f>RIGHT(data!$C$97,3)</f>
        <v>085</v>
      </c>
      <c r="B60" s="218" t="str">
        <f>RIGHT(data!$C$96,4)</f>
        <v>2022</v>
      </c>
      <c r="C60" s="16" t="str">
        <f>data!BI$55</f>
        <v>8490</v>
      </c>
      <c r="D60" s="16" t="s">
        <v>1120</v>
      </c>
      <c r="E60" s="216"/>
      <c r="F60" s="206">
        <f>ROUND(data!BI60,2)</f>
        <v>0</v>
      </c>
      <c r="G60" s="216">
        <f>ROUND(data!BI61,0)</f>
        <v>0</v>
      </c>
      <c r="H60" s="216">
        <f>ROUND(data!BI62,0)</f>
        <v>0</v>
      </c>
      <c r="I60" s="216">
        <f>ROUND(data!BI63,0)</f>
        <v>0</v>
      </c>
      <c r="J60" s="216">
        <f>ROUND(data!BI64,0)</f>
        <v>0</v>
      </c>
      <c r="K60" s="216">
        <f>ROUND(data!BI65,0)</f>
        <v>0</v>
      </c>
      <c r="L60" s="216">
        <f>ROUND(data!BI66,0)</f>
        <v>0</v>
      </c>
      <c r="M60" s="66">
        <f>ROUND(data!BI67,0)</f>
        <v>0</v>
      </c>
      <c r="N60" s="216">
        <f>ROUND(data!BI68,0)</f>
        <v>0</v>
      </c>
      <c r="O60" s="216">
        <f>ROUND(data!BI69,0)</f>
        <v>0</v>
      </c>
      <c r="P60" s="216">
        <f>ROUND(data!BI70,0)</f>
        <v>0</v>
      </c>
      <c r="Q60" s="216">
        <f>ROUND(data!BI71,0)</f>
        <v>0</v>
      </c>
      <c r="R60" s="216">
        <f>ROUND(data!BI72,0)</f>
        <v>0</v>
      </c>
      <c r="S60" s="216">
        <f>ROUND(data!BI73,0)</f>
        <v>0</v>
      </c>
      <c r="T60" s="216">
        <f>ROUND(data!BI74,0)</f>
        <v>0</v>
      </c>
      <c r="U60" s="216">
        <f>ROUND(data!BI75,0)</f>
        <v>0</v>
      </c>
      <c r="V60" s="216">
        <f>ROUND(data!BI76,0)</f>
        <v>0</v>
      </c>
      <c r="W60" s="216">
        <f>ROUND(data!BI77,0)</f>
        <v>0</v>
      </c>
      <c r="X60" s="216">
        <f>ROUND(data!BI78,0)</f>
        <v>0</v>
      </c>
      <c r="Y60" s="216">
        <f>ROUND(data!BI79,0)</f>
        <v>0</v>
      </c>
      <c r="Z60" s="216">
        <f>ROUND(data!BI80,0)</f>
        <v>0</v>
      </c>
      <c r="AA60" s="216">
        <f>ROUND(data!BI81,0)</f>
        <v>0</v>
      </c>
      <c r="AB60" s="216">
        <f>ROUND(data!BI82,0)</f>
        <v>0</v>
      </c>
      <c r="AC60" s="216">
        <f>ROUND(data!BI83,0)</f>
        <v>0</v>
      </c>
      <c r="AD60" s="216">
        <f>ROUND(data!BI84,0)</f>
        <v>0</v>
      </c>
      <c r="AE60" s="216"/>
      <c r="AF60" s="216"/>
      <c r="AG60" s="216">
        <f>IF(data!BI90&gt;0,ROUND(data!BI90,0),0)</f>
        <v>0</v>
      </c>
      <c r="AH60" s="216">
        <f>IFERROR(IF(data!BI$91&gt;0,ROUND(data!BI$91,0),0),0)</f>
        <v>0</v>
      </c>
      <c r="AI60" s="216">
        <f>IFERROR(IF(data!BI$92&gt;0,ROUND(data!BI$92,0),0),0)</f>
        <v>0</v>
      </c>
      <c r="AJ60" s="216">
        <f>IFERROR(IF(data!BI$93&gt;0,ROUND(data!BI$93,0),0),0)</f>
        <v>0</v>
      </c>
      <c r="AK60" s="206">
        <f>IFERROR(IF(data!BI$94&gt;0,ROUND(data!BI$94,2),0),0)</f>
        <v>0</v>
      </c>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row>
    <row r="61" spans="1:89" s="12" customFormat="1" ht="12.6" customHeight="1" x14ac:dyDescent="0.25">
      <c r="A61" s="16" t="str">
        <f>RIGHT(data!$C$97,3)</f>
        <v>085</v>
      </c>
      <c r="B61" s="218" t="str">
        <f>RIGHT(data!$C$96,4)</f>
        <v>2022</v>
      </c>
      <c r="C61" s="16" t="str">
        <f>data!BJ$55</f>
        <v>8510</v>
      </c>
      <c r="D61" s="16" t="s">
        <v>1120</v>
      </c>
      <c r="E61" s="216"/>
      <c r="F61" s="206">
        <f>ROUND(data!BJ60,2)</f>
        <v>0</v>
      </c>
      <c r="G61" s="216">
        <f>ROUND(data!BJ61,0)</f>
        <v>0</v>
      </c>
      <c r="H61" s="216">
        <f>ROUND(data!BJ62,0)</f>
        <v>0</v>
      </c>
      <c r="I61" s="216">
        <f>ROUND(data!BJ63,0)</f>
        <v>0</v>
      </c>
      <c r="J61" s="216">
        <f>ROUND(data!BJ64,0)</f>
        <v>0</v>
      </c>
      <c r="K61" s="216">
        <f>ROUND(data!BJ65,0)</f>
        <v>0</v>
      </c>
      <c r="L61" s="216">
        <f>ROUND(data!BJ66,0)</f>
        <v>0</v>
      </c>
      <c r="M61" s="66">
        <f>ROUND(data!BJ67,0)</f>
        <v>0</v>
      </c>
      <c r="N61" s="216">
        <f>ROUND(data!BJ68,0)</f>
        <v>0</v>
      </c>
      <c r="O61" s="216">
        <f>ROUND(data!BJ69,0)</f>
        <v>0</v>
      </c>
      <c r="P61" s="216">
        <f>ROUND(data!BJ70,0)</f>
        <v>0</v>
      </c>
      <c r="Q61" s="216">
        <f>ROUND(data!BJ71,0)</f>
        <v>0</v>
      </c>
      <c r="R61" s="216">
        <f>ROUND(data!BJ72,0)</f>
        <v>0</v>
      </c>
      <c r="S61" s="216">
        <f>ROUND(data!BJ73,0)</f>
        <v>0</v>
      </c>
      <c r="T61" s="216">
        <f>ROUND(data!BJ74,0)</f>
        <v>0</v>
      </c>
      <c r="U61" s="216">
        <f>ROUND(data!BJ75,0)</f>
        <v>0</v>
      </c>
      <c r="V61" s="216">
        <f>ROUND(data!BJ76,0)</f>
        <v>0</v>
      </c>
      <c r="W61" s="216">
        <f>ROUND(data!BJ77,0)</f>
        <v>0</v>
      </c>
      <c r="X61" s="216">
        <f>ROUND(data!BJ78,0)</f>
        <v>0</v>
      </c>
      <c r="Y61" s="216">
        <f>ROUND(data!BJ79,0)</f>
        <v>0</v>
      </c>
      <c r="Z61" s="216">
        <f>ROUND(data!BJ80,0)</f>
        <v>0</v>
      </c>
      <c r="AA61" s="216">
        <f>ROUND(data!BJ81,0)</f>
        <v>0</v>
      </c>
      <c r="AB61" s="216">
        <f>ROUND(data!BJ82,0)</f>
        <v>0</v>
      </c>
      <c r="AC61" s="216">
        <f>ROUND(data!BJ83,0)</f>
        <v>0</v>
      </c>
      <c r="AD61" s="216">
        <f>ROUND(data!BJ84,0)</f>
        <v>0</v>
      </c>
      <c r="AE61" s="216"/>
      <c r="AF61" s="216"/>
      <c r="AG61" s="216">
        <f>IF(data!BJ90&gt;0,ROUND(data!BJ90,0),0)</f>
        <v>0</v>
      </c>
      <c r="AH61" s="216">
        <f>IFERROR(IF(data!BJ$91&gt;0,ROUND(data!BJ$91,0),0),0)</f>
        <v>0</v>
      </c>
      <c r="AI61" s="216">
        <f>IFERROR(IF(data!BJ$92&gt;0,ROUND(data!BJ$92,0),0),0)</f>
        <v>0</v>
      </c>
      <c r="AJ61" s="216">
        <f>IFERROR(IF(data!BJ$93&gt;0,ROUND(data!BJ$93,0),0),0)</f>
        <v>0</v>
      </c>
      <c r="AK61" s="206">
        <f>IFERROR(IF(data!BJ$94&gt;0,ROUND(data!BJ$94,2),0),0)</f>
        <v>0</v>
      </c>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row>
    <row r="62" spans="1:89" s="12" customFormat="1" ht="12.6" customHeight="1" x14ac:dyDescent="0.25">
      <c r="A62" s="16" t="str">
        <f>RIGHT(data!$C$97,3)</f>
        <v>085</v>
      </c>
      <c r="B62" s="218" t="str">
        <f>RIGHT(data!$C$96,4)</f>
        <v>2022</v>
      </c>
      <c r="C62" s="16" t="str">
        <f>data!BK$55</f>
        <v>8530</v>
      </c>
      <c r="D62" s="16" t="s">
        <v>1120</v>
      </c>
      <c r="E62" s="216"/>
      <c r="F62" s="206">
        <f>ROUND(data!BK60,2)</f>
        <v>27</v>
      </c>
      <c r="G62" s="216">
        <f>ROUND(data!BK61,0)</f>
        <v>1236543</v>
      </c>
      <c r="H62" s="216">
        <f>ROUND(data!BK62,0)</f>
        <v>272123</v>
      </c>
      <c r="I62" s="216">
        <f>ROUND(data!BK63,0)</f>
        <v>39185</v>
      </c>
      <c r="J62" s="216">
        <f>ROUND(data!BK64,0)</f>
        <v>48243</v>
      </c>
      <c r="K62" s="216">
        <f>ROUND(data!BK65,0)</f>
        <v>4747</v>
      </c>
      <c r="L62" s="216">
        <f>ROUND(data!BK66,0)</f>
        <v>854287</v>
      </c>
      <c r="M62" s="66">
        <f>ROUND(data!BK67,0)</f>
        <v>55134</v>
      </c>
      <c r="N62" s="216">
        <f>ROUND(data!BK68,0)</f>
        <v>19727</v>
      </c>
      <c r="O62" s="216">
        <f>ROUND(data!BK69,0)</f>
        <v>257755</v>
      </c>
      <c r="P62" s="216">
        <f>ROUND(data!BK70,0)</f>
        <v>0</v>
      </c>
      <c r="Q62" s="216">
        <f>ROUND(data!BK71,0)</f>
        <v>0</v>
      </c>
      <c r="R62" s="216">
        <f>ROUND(data!BK72,0)</f>
        <v>0</v>
      </c>
      <c r="S62" s="216">
        <f>ROUND(data!BK73,0)</f>
        <v>0</v>
      </c>
      <c r="T62" s="216">
        <f>ROUND(data!BK74,0)</f>
        <v>0</v>
      </c>
      <c r="U62" s="216">
        <f>ROUND(data!BK75,0)</f>
        <v>0</v>
      </c>
      <c r="V62" s="216">
        <f>ROUND(data!BK76,0)</f>
        <v>0</v>
      </c>
      <c r="W62" s="216">
        <f>ROUND(data!BK77,0)</f>
        <v>0</v>
      </c>
      <c r="X62" s="216">
        <f>ROUND(data!BK78,0)</f>
        <v>0</v>
      </c>
      <c r="Y62" s="216">
        <f>ROUND(data!BK79,0)</f>
        <v>0</v>
      </c>
      <c r="Z62" s="216">
        <f>ROUND(data!BK80,0)</f>
        <v>0</v>
      </c>
      <c r="AA62" s="216">
        <f>ROUND(data!BK81,0)</f>
        <v>0</v>
      </c>
      <c r="AB62" s="216">
        <f>ROUND(data!BK82,0)</f>
        <v>0</v>
      </c>
      <c r="AC62" s="216">
        <f>ROUND(data!BK83,0)</f>
        <v>257755</v>
      </c>
      <c r="AD62" s="216">
        <f>ROUND(data!BK84,0)</f>
        <v>0</v>
      </c>
      <c r="AE62" s="216"/>
      <c r="AF62" s="216"/>
      <c r="AG62" s="216">
        <f>IF(data!BK90&gt;0,ROUND(data!BK90,0),0)</f>
        <v>1644</v>
      </c>
      <c r="AH62" s="216">
        <f>IFERROR(IF(data!BK$91&gt;0,ROUND(data!BK$91,0),0),0)</f>
        <v>0</v>
      </c>
      <c r="AI62" s="216">
        <f>IFERROR(IF(data!BK$92&gt;0,ROUND(data!BK$92,0),0),0)</f>
        <v>15</v>
      </c>
      <c r="AJ62" s="216">
        <f>IFERROR(IF(data!BK$93&gt;0,ROUND(data!BK$93,0),0),0)</f>
        <v>0</v>
      </c>
      <c r="AK62" s="206">
        <f>IFERROR(IF(data!BK$94&gt;0,ROUND(data!BK$94,2),0),0)</f>
        <v>0</v>
      </c>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row>
    <row r="63" spans="1:89" s="12" customFormat="1" ht="12.6" customHeight="1" x14ac:dyDescent="0.25">
      <c r="A63" s="16" t="str">
        <f>RIGHT(data!$C$97,3)</f>
        <v>085</v>
      </c>
      <c r="B63" s="218" t="str">
        <f>RIGHT(data!$C$96,4)</f>
        <v>2022</v>
      </c>
      <c r="C63" s="16" t="str">
        <f>data!BL$55</f>
        <v>8560</v>
      </c>
      <c r="D63" s="16" t="s">
        <v>1120</v>
      </c>
      <c r="E63" s="216"/>
      <c r="F63" s="206">
        <f>ROUND(data!BL60,2)</f>
        <v>16.7</v>
      </c>
      <c r="G63" s="216">
        <f>ROUND(data!BL61,0)</f>
        <v>838648</v>
      </c>
      <c r="H63" s="216">
        <f>ROUND(data!BL62,0)</f>
        <v>184559</v>
      </c>
      <c r="I63" s="216">
        <f>ROUND(data!BL63,0)</f>
        <v>0</v>
      </c>
      <c r="J63" s="216">
        <f>ROUND(data!BL64,0)</f>
        <v>16168</v>
      </c>
      <c r="K63" s="216">
        <f>ROUND(data!BL65,0)</f>
        <v>0</v>
      </c>
      <c r="L63" s="216">
        <f>ROUND(data!BL66,0)</f>
        <v>2571</v>
      </c>
      <c r="M63" s="66">
        <f>ROUND(data!BL67,0)</f>
        <v>66436</v>
      </c>
      <c r="N63" s="216">
        <f>ROUND(data!BL68,0)</f>
        <v>0</v>
      </c>
      <c r="O63" s="216">
        <f>ROUND(data!BL69,0)</f>
        <v>1642</v>
      </c>
      <c r="P63" s="216">
        <f>ROUND(data!BL70,0)</f>
        <v>0</v>
      </c>
      <c r="Q63" s="216">
        <f>ROUND(data!BL71,0)</f>
        <v>0</v>
      </c>
      <c r="R63" s="216">
        <f>ROUND(data!BL72,0)</f>
        <v>0</v>
      </c>
      <c r="S63" s="216">
        <f>ROUND(data!BL73,0)</f>
        <v>0</v>
      </c>
      <c r="T63" s="216">
        <f>ROUND(data!BL74,0)</f>
        <v>0</v>
      </c>
      <c r="U63" s="216">
        <f>ROUND(data!BL75,0)</f>
        <v>0</v>
      </c>
      <c r="V63" s="216">
        <f>ROUND(data!BL76,0)</f>
        <v>0</v>
      </c>
      <c r="W63" s="216">
        <f>ROUND(data!BL77,0)</f>
        <v>1582</v>
      </c>
      <c r="X63" s="216">
        <f>ROUND(data!BL78,0)</f>
        <v>0</v>
      </c>
      <c r="Y63" s="216">
        <f>ROUND(data!BL79,0)</f>
        <v>0</v>
      </c>
      <c r="Z63" s="216">
        <f>ROUND(data!BL80,0)</f>
        <v>0</v>
      </c>
      <c r="AA63" s="216">
        <f>ROUND(data!BL81,0)</f>
        <v>0</v>
      </c>
      <c r="AB63" s="216">
        <f>ROUND(data!BL82,0)</f>
        <v>0</v>
      </c>
      <c r="AC63" s="216">
        <f>ROUND(data!BL83,0)</f>
        <v>60</v>
      </c>
      <c r="AD63" s="216">
        <f>ROUND(data!BL84,0)</f>
        <v>0</v>
      </c>
      <c r="AE63" s="216"/>
      <c r="AF63" s="216"/>
      <c r="AG63" s="216">
        <f>IF(data!BL90&gt;0,ROUND(data!BL90,0),0)</f>
        <v>1981</v>
      </c>
      <c r="AH63" s="216">
        <f>IFERROR(IF(data!BL$91&gt;0,ROUND(data!BL$91,0),0),0)</f>
        <v>0</v>
      </c>
      <c r="AI63" s="216">
        <f>IFERROR(IF(data!BL$92&gt;0,ROUND(data!BL$92,0),0),0)</f>
        <v>15</v>
      </c>
      <c r="AJ63" s="216">
        <f>IFERROR(IF(data!BL$93&gt;0,ROUND(data!BL$93,0),0),0)</f>
        <v>0</v>
      </c>
      <c r="AK63" s="206">
        <f>IFERROR(IF(data!BL$94&gt;0,ROUND(data!BL$94,2),0),0)</f>
        <v>0</v>
      </c>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row>
    <row r="64" spans="1:89" s="12" customFormat="1" ht="12.6" customHeight="1" x14ac:dyDescent="0.25">
      <c r="A64" s="16" t="str">
        <f>RIGHT(data!$C$97,3)</f>
        <v>085</v>
      </c>
      <c r="B64" s="218" t="str">
        <f>RIGHT(data!$C$96,4)</f>
        <v>2022</v>
      </c>
      <c r="C64" s="16" t="str">
        <f>data!BM$55</f>
        <v>8590</v>
      </c>
      <c r="D64" s="16" t="s">
        <v>1120</v>
      </c>
      <c r="E64" s="216"/>
      <c r="F64" s="206">
        <f>ROUND(data!BM60,2)</f>
        <v>0</v>
      </c>
      <c r="G64" s="216">
        <f>ROUND(data!BM61,0)</f>
        <v>0</v>
      </c>
      <c r="H64" s="216">
        <f>ROUND(data!BM62,0)</f>
        <v>0</v>
      </c>
      <c r="I64" s="216">
        <f>ROUND(data!BM63,0)</f>
        <v>0</v>
      </c>
      <c r="J64" s="216">
        <f>ROUND(data!BM64,0)</f>
        <v>0</v>
      </c>
      <c r="K64" s="216">
        <f>ROUND(data!BM65,0)</f>
        <v>0</v>
      </c>
      <c r="L64" s="216">
        <f>ROUND(data!BM66,0)</f>
        <v>0</v>
      </c>
      <c r="M64" s="66">
        <f>ROUND(data!BM67,0)</f>
        <v>0</v>
      </c>
      <c r="N64" s="216">
        <f>ROUND(data!BM68,0)</f>
        <v>0</v>
      </c>
      <c r="O64" s="216">
        <f>ROUND(data!BM69,0)</f>
        <v>0</v>
      </c>
      <c r="P64" s="216">
        <f>ROUND(data!BM70,0)</f>
        <v>0</v>
      </c>
      <c r="Q64" s="216">
        <f>ROUND(data!BM71,0)</f>
        <v>0</v>
      </c>
      <c r="R64" s="216">
        <f>ROUND(data!BM72,0)</f>
        <v>0</v>
      </c>
      <c r="S64" s="216">
        <f>ROUND(data!BM73,0)</f>
        <v>0</v>
      </c>
      <c r="T64" s="216">
        <f>ROUND(data!BM74,0)</f>
        <v>0</v>
      </c>
      <c r="U64" s="216">
        <f>ROUND(data!BM75,0)</f>
        <v>0</v>
      </c>
      <c r="V64" s="216">
        <f>ROUND(data!BM76,0)</f>
        <v>0</v>
      </c>
      <c r="W64" s="216">
        <f>ROUND(data!BM77,0)</f>
        <v>0</v>
      </c>
      <c r="X64" s="216">
        <f>ROUND(data!BM78,0)</f>
        <v>0</v>
      </c>
      <c r="Y64" s="216">
        <f>ROUND(data!BM79,0)</f>
        <v>0</v>
      </c>
      <c r="Z64" s="216">
        <f>ROUND(data!BM80,0)</f>
        <v>0</v>
      </c>
      <c r="AA64" s="216">
        <f>ROUND(data!BM81,0)</f>
        <v>0</v>
      </c>
      <c r="AB64" s="216">
        <f>ROUND(data!BM82,0)</f>
        <v>0</v>
      </c>
      <c r="AC64" s="216">
        <f>ROUND(data!BM83,0)</f>
        <v>0</v>
      </c>
      <c r="AD64" s="216">
        <f>ROUND(data!BM84,0)</f>
        <v>0</v>
      </c>
      <c r="AE64" s="216"/>
      <c r="AF64" s="216"/>
      <c r="AG64" s="216">
        <f>IF(data!BM90&gt;0,ROUND(data!BM90,0),0)</f>
        <v>0</v>
      </c>
      <c r="AH64" s="216">
        <f>IFERROR(IF(data!BM$91&gt;0,ROUND(data!BM$91,0),0),0)</f>
        <v>0</v>
      </c>
      <c r="AI64" s="216">
        <f>IFERROR(IF(data!BM$92&gt;0,ROUND(data!BM$92,0),0),0)</f>
        <v>0</v>
      </c>
      <c r="AJ64" s="216">
        <f>IFERROR(IF(data!BM$93&gt;0,ROUND(data!BM$93,0),0),0)</f>
        <v>0</v>
      </c>
      <c r="AK64" s="206">
        <f>IFERROR(IF(data!BM$94&gt;0,ROUND(data!BM$94,2),0),0)</f>
        <v>0</v>
      </c>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row>
    <row r="65" spans="1:89" s="12" customFormat="1" ht="12.6" customHeight="1" x14ac:dyDescent="0.25">
      <c r="A65" s="16" t="str">
        <f>RIGHT(data!$C$97,3)</f>
        <v>085</v>
      </c>
      <c r="B65" s="218" t="str">
        <f>RIGHT(data!$C$96,4)</f>
        <v>2022</v>
      </c>
      <c r="C65" s="16" t="str">
        <f>data!BN$55</f>
        <v>8610</v>
      </c>
      <c r="D65" s="16" t="s">
        <v>1120</v>
      </c>
      <c r="E65" s="216"/>
      <c r="F65" s="206">
        <f>ROUND(data!BN60,2)</f>
        <v>0</v>
      </c>
      <c r="G65" s="216">
        <f>ROUND(data!BN61,0)</f>
        <v>0</v>
      </c>
      <c r="H65" s="216">
        <f>ROUND(data!BN62,0)</f>
        <v>0</v>
      </c>
      <c r="I65" s="216">
        <f>ROUND(data!BN63,0)</f>
        <v>0</v>
      </c>
      <c r="J65" s="216">
        <f>ROUND(data!BN64,0)</f>
        <v>0</v>
      </c>
      <c r="K65" s="216">
        <f>ROUND(data!BN65,0)</f>
        <v>0</v>
      </c>
      <c r="L65" s="216">
        <f>ROUND(data!BN66,0)</f>
        <v>0</v>
      </c>
      <c r="M65" s="66">
        <f>ROUND(data!BN67,0)</f>
        <v>0</v>
      </c>
      <c r="N65" s="216">
        <f>ROUND(data!BN68,0)</f>
        <v>0</v>
      </c>
      <c r="O65" s="216">
        <f>ROUND(data!BN69,0)</f>
        <v>0</v>
      </c>
      <c r="P65" s="216">
        <f>ROUND(data!BN70,0)</f>
        <v>0</v>
      </c>
      <c r="Q65" s="216">
        <f>ROUND(data!BN71,0)</f>
        <v>0</v>
      </c>
      <c r="R65" s="216">
        <f>ROUND(data!BN72,0)</f>
        <v>0</v>
      </c>
      <c r="S65" s="216">
        <f>ROUND(data!BN73,0)</f>
        <v>0</v>
      </c>
      <c r="T65" s="216">
        <f>ROUND(data!BN74,0)</f>
        <v>0</v>
      </c>
      <c r="U65" s="216">
        <f>ROUND(data!BN75,0)</f>
        <v>0</v>
      </c>
      <c r="V65" s="216">
        <f>ROUND(data!BN76,0)</f>
        <v>0</v>
      </c>
      <c r="W65" s="216">
        <f>ROUND(data!BN77,0)</f>
        <v>0</v>
      </c>
      <c r="X65" s="216">
        <f>ROUND(data!BN78,0)</f>
        <v>0</v>
      </c>
      <c r="Y65" s="216">
        <f>ROUND(data!BN79,0)</f>
        <v>0</v>
      </c>
      <c r="Z65" s="216">
        <f>ROUND(data!BN80,0)</f>
        <v>0</v>
      </c>
      <c r="AA65" s="216">
        <f>ROUND(data!BN81,0)</f>
        <v>0</v>
      </c>
      <c r="AB65" s="216">
        <f>ROUND(data!BN82,0)</f>
        <v>0</v>
      </c>
      <c r="AC65" s="216">
        <f>ROUND(data!BN83,0)</f>
        <v>0</v>
      </c>
      <c r="AD65" s="216">
        <f>ROUND(data!BN84,0)</f>
        <v>0</v>
      </c>
      <c r="AE65" s="216"/>
      <c r="AF65" s="216"/>
      <c r="AG65" s="216">
        <f>IF(data!BN90&gt;0,ROUND(data!BN90,0),0)</f>
        <v>0</v>
      </c>
      <c r="AH65" s="216">
        <f>IFERROR(IF(data!BN$91&gt;0,ROUND(data!BN$91,0),0),0)</f>
        <v>0</v>
      </c>
      <c r="AI65" s="216">
        <f>IFERROR(IF(data!BN$92&gt;0,ROUND(data!BN$92,0),0),0)</f>
        <v>0</v>
      </c>
      <c r="AJ65" s="216">
        <f>IFERROR(IF(data!BN$93&gt;0,ROUND(data!BN$93,0),0),0)</f>
        <v>0</v>
      </c>
      <c r="AK65" s="206">
        <f>IFERROR(IF(data!BN$94&gt;0,ROUND(data!BN$94,2),0),0)</f>
        <v>0</v>
      </c>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row>
    <row r="66" spans="1:89" s="12" customFormat="1" ht="12.6" customHeight="1" x14ac:dyDescent="0.25">
      <c r="A66" s="16" t="str">
        <f>RIGHT(data!$C$97,3)</f>
        <v>085</v>
      </c>
      <c r="B66" s="218" t="str">
        <f>RIGHT(data!$C$96,4)</f>
        <v>2022</v>
      </c>
      <c r="C66" s="16" t="str">
        <f>data!BO$55</f>
        <v>8620</v>
      </c>
      <c r="D66" s="16" t="s">
        <v>1120</v>
      </c>
      <c r="E66" s="216"/>
      <c r="F66" s="206">
        <f>ROUND(data!BO60,2)</f>
        <v>2.11</v>
      </c>
      <c r="G66" s="216">
        <f>ROUND(data!BO61,0)</f>
        <v>184260</v>
      </c>
      <c r="H66" s="216">
        <f>ROUND(data!BO62,0)</f>
        <v>40550</v>
      </c>
      <c r="I66" s="216">
        <f>ROUND(data!BO63,0)</f>
        <v>0</v>
      </c>
      <c r="J66" s="216">
        <f>ROUND(data!BO64,0)</f>
        <v>36904</v>
      </c>
      <c r="K66" s="216">
        <f>ROUND(data!BO65,0)</f>
        <v>0</v>
      </c>
      <c r="L66" s="216">
        <f>ROUND(data!BO66,0)</f>
        <v>8470</v>
      </c>
      <c r="M66" s="66">
        <f>ROUND(data!BO67,0)</f>
        <v>8149</v>
      </c>
      <c r="N66" s="216">
        <f>ROUND(data!BO68,0)</f>
        <v>0</v>
      </c>
      <c r="O66" s="216">
        <f>ROUND(data!BO69,0)</f>
        <v>8378</v>
      </c>
      <c r="P66" s="216">
        <f>ROUND(data!BO70,0)</f>
        <v>0</v>
      </c>
      <c r="Q66" s="216">
        <f>ROUND(data!BO71,0)</f>
        <v>0</v>
      </c>
      <c r="R66" s="216">
        <f>ROUND(data!BO72,0)</f>
        <v>0</v>
      </c>
      <c r="S66" s="216">
        <f>ROUND(data!BO73,0)</f>
        <v>0</v>
      </c>
      <c r="T66" s="216">
        <f>ROUND(data!BO74,0)</f>
        <v>0</v>
      </c>
      <c r="U66" s="216">
        <f>ROUND(data!BO75,0)</f>
        <v>0</v>
      </c>
      <c r="V66" s="216">
        <f>ROUND(data!BO76,0)</f>
        <v>0</v>
      </c>
      <c r="W66" s="216">
        <f>ROUND(data!BO77,0)</f>
        <v>3639</v>
      </c>
      <c r="X66" s="216">
        <f>ROUND(data!BO78,0)</f>
        <v>0</v>
      </c>
      <c r="Y66" s="216">
        <f>ROUND(data!BO79,0)</f>
        <v>0</v>
      </c>
      <c r="Z66" s="216">
        <f>ROUND(data!BO80,0)</f>
        <v>0</v>
      </c>
      <c r="AA66" s="216">
        <f>ROUND(data!BO81,0)</f>
        <v>0</v>
      </c>
      <c r="AB66" s="216">
        <f>ROUND(data!BO82,0)</f>
        <v>0</v>
      </c>
      <c r="AC66" s="216">
        <f>ROUND(data!BO83,0)</f>
        <v>4739</v>
      </c>
      <c r="AD66" s="216">
        <f>ROUND(data!BO84,0)</f>
        <v>0</v>
      </c>
      <c r="AE66" s="216"/>
      <c r="AF66" s="216"/>
      <c r="AG66" s="216">
        <f>IF(data!BO90&gt;0,ROUND(data!BO90,0),0)</f>
        <v>243</v>
      </c>
      <c r="AH66" s="216">
        <f>IFERROR(IF(data!BO$91&gt;0,ROUND(data!BO$91,0),0),0)</f>
        <v>0</v>
      </c>
      <c r="AI66" s="216">
        <f>IFERROR(IF(data!BO$92&gt;0,ROUND(data!BO$92,0),0),0)</f>
        <v>0</v>
      </c>
      <c r="AJ66" s="216">
        <f>IFERROR(IF(data!BO$93&gt;0,ROUND(data!BO$93,0),0),0)</f>
        <v>0</v>
      </c>
      <c r="AK66" s="206">
        <f>IFERROR(IF(data!BO$94&gt;0,ROUND(data!BO$94,2),0),0)</f>
        <v>0</v>
      </c>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row>
    <row r="67" spans="1:89" s="12" customFormat="1" ht="12.6" customHeight="1" x14ac:dyDescent="0.25">
      <c r="A67" s="16" t="str">
        <f>RIGHT(data!$C$97,3)</f>
        <v>085</v>
      </c>
      <c r="B67" s="218" t="str">
        <f>RIGHT(data!$C$96,4)</f>
        <v>2022</v>
      </c>
      <c r="C67" s="16" t="str">
        <f>data!BP$55</f>
        <v>8630</v>
      </c>
      <c r="D67" s="16" t="s">
        <v>1120</v>
      </c>
      <c r="E67" s="216"/>
      <c r="F67" s="206">
        <f>ROUND(data!BP60,2)</f>
        <v>0</v>
      </c>
      <c r="G67" s="216">
        <f>ROUND(data!BP61,0)</f>
        <v>0</v>
      </c>
      <c r="H67" s="216">
        <f>ROUND(data!BP62,0)</f>
        <v>0</v>
      </c>
      <c r="I67" s="216">
        <f>ROUND(data!BP63,0)</f>
        <v>0</v>
      </c>
      <c r="J67" s="216">
        <f>ROUND(data!BP64,0)</f>
        <v>0</v>
      </c>
      <c r="K67" s="216">
        <f>ROUND(data!BP65,0)</f>
        <v>0</v>
      </c>
      <c r="L67" s="216">
        <f>ROUND(data!BP66,0)</f>
        <v>0</v>
      </c>
      <c r="M67" s="66">
        <f>ROUND(data!BP67,0)</f>
        <v>0</v>
      </c>
      <c r="N67" s="216">
        <f>ROUND(data!BP68,0)</f>
        <v>0</v>
      </c>
      <c r="O67" s="216">
        <f>ROUND(data!BP69,0)</f>
        <v>0</v>
      </c>
      <c r="P67" s="216">
        <f>ROUND(data!BP70,0)</f>
        <v>0</v>
      </c>
      <c r="Q67" s="216">
        <f>ROUND(data!BP71,0)</f>
        <v>0</v>
      </c>
      <c r="R67" s="216">
        <f>ROUND(data!BP72,0)</f>
        <v>0</v>
      </c>
      <c r="S67" s="216">
        <f>ROUND(data!BP73,0)</f>
        <v>0</v>
      </c>
      <c r="T67" s="216">
        <f>ROUND(data!BP74,0)</f>
        <v>0</v>
      </c>
      <c r="U67" s="216">
        <f>ROUND(data!BP75,0)</f>
        <v>0</v>
      </c>
      <c r="V67" s="216">
        <f>ROUND(data!BP76,0)</f>
        <v>0</v>
      </c>
      <c r="W67" s="216">
        <f>ROUND(data!BP77,0)</f>
        <v>0</v>
      </c>
      <c r="X67" s="216">
        <f>ROUND(data!BP78,0)</f>
        <v>0</v>
      </c>
      <c r="Y67" s="216">
        <f>ROUND(data!BP79,0)</f>
        <v>0</v>
      </c>
      <c r="Z67" s="216">
        <f>ROUND(data!BP80,0)</f>
        <v>0</v>
      </c>
      <c r="AA67" s="216">
        <f>ROUND(data!BP81,0)</f>
        <v>0</v>
      </c>
      <c r="AB67" s="216">
        <f>ROUND(data!BP82,0)</f>
        <v>0</v>
      </c>
      <c r="AC67" s="216">
        <f>ROUND(data!BP83,0)</f>
        <v>0</v>
      </c>
      <c r="AD67" s="216">
        <f>ROUND(data!BP84,0)</f>
        <v>0</v>
      </c>
      <c r="AE67" s="216"/>
      <c r="AF67" s="216"/>
      <c r="AG67" s="216">
        <f>IF(data!BP90&gt;0,ROUND(data!BP90,0),0)</f>
        <v>0</v>
      </c>
      <c r="AH67" s="216">
        <f>IFERROR(IF(data!BP$91&gt;0,ROUND(data!BP$91,0),0),0)</f>
        <v>0</v>
      </c>
      <c r="AI67" s="216">
        <f>IFERROR(IF(data!BP$92&gt;0,ROUND(data!BP$92,0),0),0)</f>
        <v>0</v>
      </c>
      <c r="AJ67" s="216">
        <f>IFERROR(IF(data!BP$93&gt;0,ROUND(data!BP$93,0),0),0)</f>
        <v>0</v>
      </c>
      <c r="AK67" s="206">
        <f>IFERROR(IF(data!BP$94&gt;0,ROUND(data!BP$94,2),0),0)</f>
        <v>0</v>
      </c>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row>
    <row r="68" spans="1:89" s="12" customFormat="1" ht="12.6" customHeight="1" x14ac:dyDescent="0.25">
      <c r="A68" s="16" t="str">
        <f>RIGHT(data!$C$97,3)</f>
        <v>085</v>
      </c>
      <c r="B68" s="218" t="str">
        <f>RIGHT(data!$C$96,4)</f>
        <v>2022</v>
      </c>
      <c r="C68" s="16" t="str">
        <f>data!BQ$55</f>
        <v>8640</v>
      </c>
      <c r="D68" s="16" t="s">
        <v>1120</v>
      </c>
      <c r="E68" s="216"/>
      <c r="F68" s="206">
        <f>ROUND(data!BQ60,2)</f>
        <v>0</v>
      </c>
      <c r="G68" s="216">
        <f>ROUND(data!BQ61,0)</f>
        <v>0</v>
      </c>
      <c r="H68" s="216">
        <f>ROUND(data!BQ62,0)</f>
        <v>0</v>
      </c>
      <c r="I68" s="216">
        <f>ROUND(data!BQ63,0)</f>
        <v>0</v>
      </c>
      <c r="J68" s="216">
        <f>ROUND(data!BQ64,0)</f>
        <v>0</v>
      </c>
      <c r="K68" s="216">
        <f>ROUND(data!BQ65,0)</f>
        <v>0</v>
      </c>
      <c r="L68" s="216">
        <f>ROUND(data!BQ66,0)</f>
        <v>0</v>
      </c>
      <c r="M68" s="66">
        <f>ROUND(data!BQ67,0)</f>
        <v>0</v>
      </c>
      <c r="N68" s="216">
        <f>ROUND(data!BQ68,0)</f>
        <v>0</v>
      </c>
      <c r="O68" s="216">
        <f>ROUND(data!BQ69,0)</f>
        <v>0</v>
      </c>
      <c r="P68" s="216">
        <f>ROUND(data!BQ70,0)</f>
        <v>0</v>
      </c>
      <c r="Q68" s="216">
        <f>ROUND(data!BQ71,0)</f>
        <v>0</v>
      </c>
      <c r="R68" s="216">
        <f>ROUND(data!BQ72,0)</f>
        <v>0</v>
      </c>
      <c r="S68" s="216">
        <f>ROUND(data!BQ73,0)</f>
        <v>0</v>
      </c>
      <c r="T68" s="216">
        <f>ROUND(data!BQ74,0)</f>
        <v>0</v>
      </c>
      <c r="U68" s="216">
        <f>ROUND(data!BQ75,0)</f>
        <v>0</v>
      </c>
      <c r="V68" s="216">
        <f>ROUND(data!BQ76,0)</f>
        <v>0</v>
      </c>
      <c r="W68" s="216">
        <f>ROUND(data!BQ77,0)</f>
        <v>0</v>
      </c>
      <c r="X68" s="216">
        <f>ROUND(data!BQ78,0)</f>
        <v>0</v>
      </c>
      <c r="Y68" s="216">
        <f>ROUND(data!BQ79,0)</f>
        <v>0</v>
      </c>
      <c r="Z68" s="216">
        <f>ROUND(data!BQ80,0)</f>
        <v>0</v>
      </c>
      <c r="AA68" s="216">
        <f>ROUND(data!BQ81,0)</f>
        <v>0</v>
      </c>
      <c r="AB68" s="216">
        <f>ROUND(data!BQ82,0)</f>
        <v>0</v>
      </c>
      <c r="AC68" s="216">
        <f>ROUND(data!BQ83,0)</f>
        <v>0</v>
      </c>
      <c r="AD68" s="216">
        <f>ROUND(data!BQ84,0)</f>
        <v>0</v>
      </c>
      <c r="AE68" s="216"/>
      <c r="AF68" s="216"/>
      <c r="AG68" s="216">
        <f>IF(data!BQ90&gt;0,ROUND(data!BQ90,0),0)</f>
        <v>0</v>
      </c>
      <c r="AH68" s="216">
        <f>IFERROR(IF(data!BQ$91&gt;0,ROUND(data!BQ$91,0),0),0)</f>
        <v>0</v>
      </c>
      <c r="AI68" s="216">
        <f>IFERROR(IF(data!BQ$92&gt;0,ROUND(data!BQ$92,0),0),0)</f>
        <v>0</v>
      </c>
      <c r="AJ68" s="216">
        <f>IFERROR(IF(data!BQ$93&gt;0,ROUND(data!BQ$93,0),0),0)</f>
        <v>0</v>
      </c>
      <c r="AK68" s="206">
        <f>IFERROR(IF(data!BQ$94&gt;0,ROUND(data!BQ$94,2),0),0)</f>
        <v>0</v>
      </c>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row>
    <row r="69" spans="1:89" s="12" customFormat="1" ht="12.6" customHeight="1" x14ac:dyDescent="0.25">
      <c r="A69" s="16" t="str">
        <f>RIGHT(data!$C$97,3)</f>
        <v>085</v>
      </c>
      <c r="B69" s="218" t="str">
        <f>RIGHT(data!$C$96,4)</f>
        <v>2022</v>
      </c>
      <c r="C69" s="16" t="str">
        <f>data!BR$55</f>
        <v>8650</v>
      </c>
      <c r="D69" s="16" t="s">
        <v>1120</v>
      </c>
      <c r="E69" s="216"/>
      <c r="F69" s="206">
        <f>ROUND(data!BR60,2)</f>
        <v>8.2200000000000006</v>
      </c>
      <c r="G69" s="216">
        <f>ROUND(data!BR61,0)</f>
        <v>846252</v>
      </c>
      <c r="H69" s="216">
        <f>ROUND(data!BR62,0)</f>
        <v>186232</v>
      </c>
      <c r="I69" s="216">
        <f>ROUND(data!BR63,0)</f>
        <v>200191</v>
      </c>
      <c r="J69" s="216">
        <f>ROUND(data!BR64,0)</f>
        <v>16461</v>
      </c>
      <c r="K69" s="216">
        <f>ROUND(data!BR65,0)</f>
        <v>3377</v>
      </c>
      <c r="L69" s="216">
        <f>ROUND(data!BR66,0)</f>
        <v>166850</v>
      </c>
      <c r="M69" s="66">
        <f>ROUND(data!BR67,0)</f>
        <v>45442</v>
      </c>
      <c r="N69" s="216">
        <f>ROUND(data!BR68,0)</f>
        <v>10</v>
      </c>
      <c r="O69" s="216">
        <f>ROUND(data!BR69,0)</f>
        <v>59252</v>
      </c>
      <c r="P69" s="216">
        <f>ROUND(data!BR70,0)</f>
        <v>0</v>
      </c>
      <c r="Q69" s="216">
        <f>ROUND(data!BR71,0)</f>
        <v>0</v>
      </c>
      <c r="R69" s="216">
        <f>ROUND(data!BR72,0)</f>
        <v>0</v>
      </c>
      <c r="S69" s="216">
        <f>ROUND(data!BR73,0)</f>
        <v>0</v>
      </c>
      <c r="T69" s="216">
        <f>ROUND(data!BR74,0)</f>
        <v>0</v>
      </c>
      <c r="U69" s="216">
        <f>ROUND(data!BR75,0)</f>
        <v>0</v>
      </c>
      <c r="V69" s="216">
        <f>ROUND(data!BR76,0)</f>
        <v>0</v>
      </c>
      <c r="W69" s="216">
        <f>ROUND(data!BR77,0)</f>
        <v>0</v>
      </c>
      <c r="X69" s="216">
        <f>ROUND(data!BR78,0)</f>
        <v>0</v>
      </c>
      <c r="Y69" s="216">
        <f>ROUND(data!BR79,0)</f>
        <v>0</v>
      </c>
      <c r="Z69" s="216">
        <f>ROUND(data!BR80,0)</f>
        <v>0</v>
      </c>
      <c r="AA69" s="216">
        <f>ROUND(data!BR81,0)</f>
        <v>0</v>
      </c>
      <c r="AB69" s="216">
        <f>ROUND(data!BR82,0)</f>
        <v>0</v>
      </c>
      <c r="AC69" s="216">
        <f>ROUND(data!BR83,0)</f>
        <v>59252</v>
      </c>
      <c r="AD69" s="216">
        <f>ROUND(data!BR84,0)</f>
        <v>0</v>
      </c>
      <c r="AE69" s="216"/>
      <c r="AF69" s="216"/>
      <c r="AG69" s="216">
        <f>IF(data!BR90&gt;0,ROUND(data!BR90,0),0)</f>
        <v>1355</v>
      </c>
      <c r="AH69" s="216">
        <f>IFERROR(IF(data!BR$91&gt;0,ROUND(data!BR$91,0),0),0)</f>
        <v>0</v>
      </c>
      <c r="AI69" s="216">
        <f>IFERROR(IF(data!BR$92&gt;0,ROUND(data!BR$92,0),0),0)</f>
        <v>0</v>
      </c>
      <c r="AJ69" s="216">
        <f>IFERROR(IF(data!BR$93&gt;0,ROUND(data!BR$93,0),0),0)</f>
        <v>0</v>
      </c>
      <c r="AK69" s="206">
        <f>IFERROR(IF(data!BR$94&gt;0,ROUND(data!BR$94,2),0),0)</f>
        <v>0</v>
      </c>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row>
    <row r="70" spans="1:89" s="12" customFormat="1" ht="12.6" customHeight="1" x14ac:dyDescent="0.25">
      <c r="A70" s="16" t="str">
        <f>RIGHT(data!$C$97,3)</f>
        <v>085</v>
      </c>
      <c r="B70" s="218" t="str">
        <f>RIGHT(data!$C$96,4)</f>
        <v>2022</v>
      </c>
      <c r="C70" s="16" t="str">
        <f>data!BS$55</f>
        <v>8660</v>
      </c>
      <c r="D70" s="16" t="s">
        <v>1120</v>
      </c>
      <c r="E70" s="216"/>
      <c r="F70" s="206">
        <f>ROUND(data!BS60,2)</f>
        <v>0</v>
      </c>
      <c r="G70" s="216">
        <f>ROUND(data!BS61,0)</f>
        <v>0</v>
      </c>
      <c r="H70" s="216">
        <f>ROUND(data!BS62,0)</f>
        <v>0</v>
      </c>
      <c r="I70" s="216">
        <f>ROUND(data!BS63,0)</f>
        <v>0</v>
      </c>
      <c r="J70" s="216">
        <f>ROUND(data!BS64,0)</f>
        <v>0</v>
      </c>
      <c r="K70" s="216">
        <f>ROUND(data!BS65,0)</f>
        <v>0</v>
      </c>
      <c r="L70" s="216">
        <f>ROUND(data!BS66,0)</f>
        <v>0</v>
      </c>
      <c r="M70" s="66">
        <f>ROUND(data!BS67,0)</f>
        <v>0</v>
      </c>
      <c r="N70" s="216">
        <f>ROUND(data!BS68,0)</f>
        <v>0</v>
      </c>
      <c r="O70" s="216">
        <f>ROUND(data!BS69,0)</f>
        <v>0</v>
      </c>
      <c r="P70" s="216">
        <f>ROUND(data!BS70,0)</f>
        <v>0</v>
      </c>
      <c r="Q70" s="216">
        <f>ROUND(data!BS71,0)</f>
        <v>0</v>
      </c>
      <c r="R70" s="216">
        <f>ROUND(data!BS72,0)</f>
        <v>0</v>
      </c>
      <c r="S70" s="216">
        <f>ROUND(data!BS73,0)</f>
        <v>0</v>
      </c>
      <c r="T70" s="216">
        <f>ROUND(data!BS74,0)</f>
        <v>0</v>
      </c>
      <c r="U70" s="216">
        <f>ROUND(data!BS75,0)</f>
        <v>0</v>
      </c>
      <c r="V70" s="216">
        <f>ROUND(data!BS76,0)</f>
        <v>0</v>
      </c>
      <c r="W70" s="216">
        <f>ROUND(data!BS77,0)</f>
        <v>0</v>
      </c>
      <c r="X70" s="216">
        <f>ROUND(data!BS78,0)</f>
        <v>0</v>
      </c>
      <c r="Y70" s="216">
        <f>ROUND(data!BS79,0)</f>
        <v>0</v>
      </c>
      <c r="Z70" s="216">
        <f>ROUND(data!BS80,0)</f>
        <v>0</v>
      </c>
      <c r="AA70" s="216">
        <f>ROUND(data!BS81,0)</f>
        <v>0</v>
      </c>
      <c r="AB70" s="216">
        <f>ROUND(data!BS82,0)</f>
        <v>0</v>
      </c>
      <c r="AC70" s="216">
        <f>ROUND(data!BS83,0)</f>
        <v>0</v>
      </c>
      <c r="AD70" s="216">
        <f>ROUND(data!BS84,0)</f>
        <v>0</v>
      </c>
      <c r="AE70" s="216"/>
      <c r="AF70" s="216"/>
      <c r="AG70" s="216">
        <f>IF(data!BS90&gt;0,ROUND(data!BS90,0),0)</f>
        <v>0</v>
      </c>
      <c r="AH70" s="216">
        <f>IFERROR(IF(data!BS$91&gt;0,ROUND(data!BS$91,0),0),0)</f>
        <v>0</v>
      </c>
      <c r="AI70" s="216">
        <f>IFERROR(IF(data!BS$92&gt;0,ROUND(data!BS$92,0),0),0)</f>
        <v>0</v>
      </c>
      <c r="AJ70" s="216">
        <f>IFERROR(IF(data!BS$93&gt;0,ROUND(data!BS$93,0),0),0)</f>
        <v>0</v>
      </c>
      <c r="AK70" s="206">
        <f>IFERROR(IF(data!BS$94&gt;0,ROUND(data!BS$94,2),0),0)</f>
        <v>0</v>
      </c>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row>
    <row r="71" spans="1:89" s="12" customFormat="1" ht="12.6" customHeight="1" x14ac:dyDescent="0.25">
      <c r="A71" s="16" t="str">
        <f>RIGHT(data!$C$97,3)</f>
        <v>085</v>
      </c>
      <c r="B71" s="218" t="str">
        <f>RIGHT(data!$C$96,4)</f>
        <v>2022</v>
      </c>
      <c r="C71" s="16" t="str">
        <f>data!BT$55</f>
        <v>8670</v>
      </c>
      <c r="D71" s="16" t="s">
        <v>1120</v>
      </c>
      <c r="E71" s="216"/>
      <c r="F71" s="206">
        <f>ROUND(data!BT60,2)</f>
        <v>0</v>
      </c>
      <c r="G71" s="216">
        <f>ROUND(data!BT61,0)</f>
        <v>0</v>
      </c>
      <c r="H71" s="216">
        <f>ROUND(data!BT62,0)</f>
        <v>0</v>
      </c>
      <c r="I71" s="216">
        <f>ROUND(data!BT63,0)</f>
        <v>0</v>
      </c>
      <c r="J71" s="216">
        <f>ROUND(data!BT64,0)</f>
        <v>0</v>
      </c>
      <c r="K71" s="216">
        <f>ROUND(data!BT65,0)</f>
        <v>0</v>
      </c>
      <c r="L71" s="216">
        <f>ROUND(data!BT66,0)</f>
        <v>0</v>
      </c>
      <c r="M71" s="66">
        <f>ROUND(data!BT67,0)</f>
        <v>0</v>
      </c>
      <c r="N71" s="216">
        <f>ROUND(data!BT68,0)</f>
        <v>0</v>
      </c>
      <c r="O71" s="216">
        <f>ROUND(data!BT69,0)</f>
        <v>0</v>
      </c>
      <c r="P71" s="216">
        <f>ROUND(data!BT70,0)</f>
        <v>0</v>
      </c>
      <c r="Q71" s="216">
        <f>ROUND(data!BT71,0)</f>
        <v>0</v>
      </c>
      <c r="R71" s="216">
        <f>ROUND(data!BT72,0)</f>
        <v>0</v>
      </c>
      <c r="S71" s="216">
        <f>ROUND(data!BT73,0)</f>
        <v>0</v>
      </c>
      <c r="T71" s="216">
        <f>ROUND(data!BT74,0)</f>
        <v>0</v>
      </c>
      <c r="U71" s="216">
        <f>ROUND(data!BT75,0)</f>
        <v>0</v>
      </c>
      <c r="V71" s="216">
        <f>ROUND(data!BT76,0)</f>
        <v>0</v>
      </c>
      <c r="W71" s="216">
        <f>ROUND(data!BT77,0)</f>
        <v>0</v>
      </c>
      <c r="X71" s="216">
        <f>ROUND(data!BT78,0)</f>
        <v>0</v>
      </c>
      <c r="Y71" s="216">
        <f>ROUND(data!BT79,0)</f>
        <v>0</v>
      </c>
      <c r="Z71" s="216">
        <f>ROUND(data!BT80,0)</f>
        <v>0</v>
      </c>
      <c r="AA71" s="216">
        <f>ROUND(data!BT81,0)</f>
        <v>0</v>
      </c>
      <c r="AB71" s="216">
        <f>ROUND(data!BT82,0)</f>
        <v>0</v>
      </c>
      <c r="AC71" s="216">
        <f>ROUND(data!BT83,0)</f>
        <v>0</v>
      </c>
      <c r="AD71" s="216">
        <f>ROUND(data!BT84,0)</f>
        <v>0</v>
      </c>
      <c r="AE71" s="216"/>
      <c r="AF71" s="216"/>
      <c r="AG71" s="216">
        <f>IF(data!BT90&gt;0,ROUND(data!BT90,0),0)</f>
        <v>0</v>
      </c>
      <c r="AH71" s="216">
        <f>IFERROR(IF(data!BT$91&gt;0,ROUND(data!BT$91,0),0),0)</f>
        <v>0</v>
      </c>
      <c r="AI71" s="216">
        <f>IFERROR(IF(data!BT$92&gt;0,ROUND(data!BT$92,0),0),0)</f>
        <v>0</v>
      </c>
      <c r="AJ71" s="216">
        <f>IFERROR(IF(data!BT$93&gt;0,ROUND(data!BT$93,0),0),0)</f>
        <v>0</v>
      </c>
      <c r="AK71" s="206">
        <f>IFERROR(IF(data!BT$94&gt;0,ROUND(data!BT$94,2),0),0)</f>
        <v>0</v>
      </c>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row>
    <row r="72" spans="1:89" s="12" customFormat="1" ht="12.6" customHeight="1" x14ac:dyDescent="0.25">
      <c r="A72" s="16" t="str">
        <f>RIGHT(data!$C$97,3)</f>
        <v>085</v>
      </c>
      <c r="B72" s="218" t="str">
        <f>RIGHT(data!$C$96,4)</f>
        <v>2022</v>
      </c>
      <c r="C72" s="16" t="str">
        <f>data!BU$55</f>
        <v>8680</v>
      </c>
      <c r="D72" s="16" t="s">
        <v>1120</v>
      </c>
      <c r="E72" s="216"/>
      <c r="F72" s="206">
        <f>ROUND(data!BU60,2)</f>
        <v>0</v>
      </c>
      <c r="G72" s="216">
        <f>ROUND(data!BU61,0)</f>
        <v>0</v>
      </c>
      <c r="H72" s="216">
        <f>ROUND(data!BU62,0)</f>
        <v>0</v>
      </c>
      <c r="I72" s="216">
        <f>ROUND(data!BU63,0)</f>
        <v>0</v>
      </c>
      <c r="J72" s="216">
        <f>ROUND(data!BU64,0)</f>
        <v>0</v>
      </c>
      <c r="K72" s="216">
        <f>ROUND(data!BU65,0)</f>
        <v>0</v>
      </c>
      <c r="L72" s="216">
        <f>ROUND(data!BU66,0)</f>
        <v>0</v>
      </c>
      <c r="M72" s="66">
        <f>ROUND(data!BU67,0)</f>
        <v>0</v>
      </c>
      <c r="N72" s="216">
        <f>ROUND(data!BU68,0)</f>
        <v>0</v>
      </c>
      <c r="O72" s="216">
        <f>ROUND(data!BU69,0)</f>
        <v>0</v>
      </c>
      <c r="P72" s="216">
        <f>ROUND(data!BU70,0)</f>
        <v>0</v>
      </c>
      <c r="Q72" s="216">
        <f>ROUND(data!BU71,0)</f>
        <v>0</v>
      </c>
      <c r="R72" s="216">
        <f>ROUND(data!BU72,0)</f>
        <v>0</v>
      </c>
      <c r="S72" s="216">
        <f>ROUND(data!BU73,0)</f>
        <v>0</v>
      </c>
      <c r="T72" s="216">
        <f>ROUND(data!BU74,0)</f>
        <v>0</v>
      </c>
      <c r="U72" s="216">
        <f>ROUND(data!BU75,0)</f>
        <v>0</v>
      </c>
      <c r="V72" s="216">
        <f>ROUND(data!BU76,0)</f>
        <v>0</v>
      </c>
      <c r="W72" s="216">
        <f>ROUND(data!BU77,0)</f>
        <v>0</v>
      </c>
      <c r="X72" s="216">
        <f>ROUND(data!BU78,0)</f>
        <v>0</v>
      </c>
      <c r="Y72" s="216">
        <f>ROUND(data!BU79,0)</f>
        <v>0</v>
      </c>
      <c r="Z72" s="216">
        <f>ROUND(data!BU80,0)</f>
        <v>0</v>
      </c>
      <c r="AA72" s="216">
        <f>ROUND(data!BU81,0)</f>
        <v>0</v>
      </c>
      <c r="AB72" s="216">
        <f>ROUND(data!BU82,0)</f>
        <v>0</v>
      </c>
      <c r="AC72" s="216">
        <f>ROUND(data!BU83,0)</f>
        <v>0</v>
      </c>
      <c r="AD72" s="216">
        <f>ROUND(data!BU84,0)</f>
        <v>0</v>
      </c>
      <c r="AE72" s="216"/>
      <c r="AF72" s="216"/>
      <c r="AG72" s="216">
        <f>IF(data!BU90&gt;0,ROUND(data!BU90,0),0)</f>
        <v>0</v>
      </c>
      <c r="AH72" s="216">
        <f>IF(data!BU91&gt;0,ROUND(data!BU91,0),0)</f>
        <v>0</v>
      </c>
      <c r="AI72" s="216">
        <f>IF(data!BU92&gt;0,ROUND(data!BU92,0),0)</f>
        <v>0</v>
      </c>
      <c r="AJ72" s="216">
        <f>IF(data!BU93&gt;0,ROUND(data!BU93,0),0)</f>
        <v>0</v>
      </c>
      <c r="AK72" s="206">
        <f>IFERROR(IF(data!BU$94&gt;0,ROUND(data!BU$94,2),0),0)</f>
        <v>0</v>
      </c>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row>
    <row r="73" spans="1:89" s="12" customFormat="1" ht="12.6" customHeight="1" x14ac:dyDescent="0.25">
      <c r="A73" s="16" t="str">
        <f>RIGHT(data!$C$97,3)</f>
        <v>085</v>
      </c>
      <c r="B73" s="218" t="str">
        <f>RIGHT(data!$C$96,4)</f>
        <v>2022</v>
      </c>
      <c r="C73" s="16" t="str">
        <f>data!BV$55</f>
        <v>8690</v>
      </c>
      <c r="D73" s="16" t="s">
        <v>1120</v>
      </c>
      <c r="E73" s="216"/>
      <c r="F73" s="206">
        <f>ROUND(data!BV60,2)</f>
        <v>10.01</v>
      </c>
      <c r="G73" s="216">
        <f>ROUND(data!BV61,0)</f>
        <v>598769</v>
      </c>
      <c r="H73" s="216">
        <f>ROUND(data!BV62,0)</f>
        <v>131769</v>
      </c>
      <c r="I73" s="216">
        <f>ROUND(data!BV63,0)</f>
        <v>37225</v>
      </c>
      <c r="J73" s="216">
        <f>ROUND(data!BV64,0)</f>
        <v>13082</v>
      </c>
      <c r="K73" s="216">
        <f>ROUND(data!BV65,0)</f>
        <v>8818</v>
      </c>
      <c r="L73" s="216">
        <f>ROUND(data!BV66,0)</f>
        <v>94770</v>
      </c>
      <c r="M73" s="66">
        <f>ROUND(data!BV67,0)</f>
        <v>0</v>
      </c>
      <c r="N73" s="216">
        <f>ROUND(data!BV68,0)</f>
        <v>19727</v>
      </c>
      <c r="O73" s="216">
        <f>ROUND(data!BV69,0)</f>
        <v>5751</v>
      </c>
      <c r="P73" s="216">
        <f>ROUND(data!BV70,0)</f>
        <v>0</v>
      </c>
      <c r="Q73" s="216">
        <f>ROUND(data!BV71,0)</f>
        <v>0</v>
      </c>
      <c r="R73" s="216">
        <f>ROUND(data!BV72,0)</f>
        <v>0</v>
      </c>
      <c r="S73" s="216">
        <f>ROUND(data!BV73,0)</f>
        <v>0</v>
      </c>
      <c r="T73" s="216">
        <f>ROUND(data!BV74,0)</f>
        <v>0</v>
      </c>
      <c r="U73" s="216">
        <f>ROUND(data!BV75,0)</f>
        <v>0</v>
      </c>
      <c r="V73" s="216">
        <f>ROUND(data!BV76,0)</f>
        <v>0</v>
      </c>
      <c r="W73" s="216">
        <f>ROUND(data!BV77,0)</f>
        <v>147</v>
      </c>
      <c r="X73" s="216">
        <f>ROUND(data!BV78,0)</f>
        <v>0</v>
      </c>
      <c r="Y73" s="216">
        <f>ROUND(data!BV79,0)</f>
        <v>0</v>
      </c>
      <c r="Z73" s="216">
        <f>ROUND(data!BV80,0)</f>
        <v>0</v>
      </c>
      <c r="AA73" s="216">
        <f>ROUND(data!BV81,0)</f>
        <v>0</v>
      </c>
      <c r="AB73" s="216">
        <f>ROUND(data!BV82,0)</f>
        <v>0</v>
      </c>
      <c r="AC73" s="216">
        <f>ROUND(data!BV83,0)</f>
        <v>5604</v>
      </c>
      <c r="AD73" s="216">
        <f>ROUND(data!BV84,0)</f>
        <v>0</v>
      </c>
      <c r="AE73" s="216"/>
      <c r="AF73" s="216"/>
      <c r="AG73" s="216">
        <f>IF(data!BV90&gt;0,ROUND(data!BV90,0),0)</f>
        <v>0</v>
      </c>
      <c r="AH73" s="216">
        <f>IF(data!BV91&gt;0,ROUND(data!BV91,0),0)</f>
        <v>0</v>
      </c>
      <c r="AI73" s="216">
        <f>IF(data!BV92&gt;0,ROUND(data!BV92,0),0)</f>
        <v>0</v>
      </c>
      <c r="AJ73" s="216">
        <f>IF(data!BV93&gt;0,ROUND(data!BV93,0),0)</f>
        <v>0</v>
      </c>
      <c r="AK73" s="206">
        <f>IFERROR(IF(data!BV$94&gt;0,ROUND(data!BV$94,2),0),0)</f>
        <v>0</v>
      </c>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row>
    <row r="74" spans="1:89" s="12" customFormat="1" ht="12.6" customHeight="1" x14ac:dyDescent="0.25">
      <c r="A74" s="16" t="str">
        <f>RIGHT(data!$C$97,3)</f>
        <v>085</v>
      </c>
      <c r="B74" s="218" t="str">
        <f>RIGHT(data!$C$96,4)</f>
        <v>2022</v>
      </c>
      <c r="C74" s="16" t="str">
        <f>data!BW$55</f>
        <v>8700</v>
      </c>
      <c r="D74" s="16" t="s">
        <v>1120</v>
      </c>
      <c r="E74" s="216"/>
      <c r="F74" s="206">
        <f>ROUND(data!BW60,2)</f>
        <v>0</v>
      </c>
      <c r="G74" s="216">
        <f>ROUND(data!BW61,0)</f>
        <v>0</v>
      </c>
      <c r="H74" s="216">
        <f>ROUND(data!BW62,0)</f>
        <v>0</v>
      </c>
      <c r="I74" s="216">
        <f>ROUND(data!BW63,0)</f>
        <v>0</v>
      </c>
      <c r="J74" s="216">
        <f>ROUND(data!BW64,0)</f>
        <v>0</v>
      </c>
      <c r="K74" s="216">
        <f>ROUND(data!BW65,0)</f>
        <v>0</v>
      </c>
      <c r="L74" s="216">
        <f>ROUND(data!BW66,0)</f>
        <v>0</v>
      </c>
      <c r="M74" s="66">
        <f>ROUND(data!BW67,0)</f>
        <v>0</v>
      </c>
      <c r="N74" s="216">
        <f>ROUND(data!BW68,0)</f>
        <v>0</v>
      </c>
      <c r="O74" s="216">
        <f>ROUND(data!BW69,0)</f>
        <v>0</v>
      </c>
      <c r="P74" s="216">
        <f>ROUND(data!BW70,0)</f>
        <v>0</v>
      </c>
      <c r="Q74" s="216">
        <f>ROUND(data!BW71,0)</f>
        <v>0</v>
      </c>
      <c r="R74" s="216">
        <f>ROUND(data!BW72,0)</f>
        <v>0</v>
      </c>
      <c r="S74" s="216">
        <f>ROUND(data!BW73,0)</f>
        <v>0</v>
      </c>
      <c r="T74" s="216">
        <f>ROUND(data!BW74,0)</f>
        <v>0</v>
      </c>
      <c r="U74" s="216">
        <f>ROUND(data!BW75,0)</f>
        <v>0</v>
      </c>
      <c r="V74" s="216">
        <f>ROUND(data!BW76,0)</f>
        <v>0</v>
      </c>
      <c r="W74" s="216">
        <f>ROUND(data!BW77,0)</f>
        <v>0</v>
      </c>
      <c r="X74" s="216">
        <f>ROUND(data!BW78,0)</f>
        <v>0</v>
      </c>
      <c r="Y74" s="216">
        <f>ROUND(data!BW79,0)</f>
        <v>0</v>
      </c>
      <c r="Z74" s="216">
        <f>ROUND(data!BW80,0)</f>
        <v>0</v>
      </c>
      <c r="AA74" s="216">
        <f>ROUND(data!BW81,0)</f>
        <v>0</v>
      </c>
      <c r="AB74" s="216">
        <f>ROUND(data!BW82,0)</f>
        <v>0</v>
      </c>
      <c r="AC74" s="216">
        <f>ROUND(data!BW83,0)</f>
        <v>0</v>
      </c>
      <c r="AD74" s="216">
        <f>ROUND(data!BW84,0)</f>
        <v>0</v>
      </c>
      <c r="AE74" s="216"/>
      <c r="AF74" s="216"/>
      <c r="AG74" s="216">
        <f>IF(data!BW90&gt;0,ROUND(data!BW90,0),0)</f>
        <v>0</v>
      </c>
      <c r="AH74" s="216">
        <f>IF(data!BW91&gt;0,ROUND(data!BW91,0),0)</f>
        <v>0</v>
      </c>
      <c r="AI74" s="216">
        <f>IF(data!BW92&gt;0,ROUND(data!BW92,0),0)</f>
        <v>0</v>
      </c>
      <c r="AJ74" s="216">
        <f>IF(data!BW93&gt;0,ROUND(data!BW93,0),0)</f>
        <v>0</v>
      </c>
      <c r="AK74" s="206">
        <f>IFERROR(IF(data!BW$94&gt;0,ROUND(data!BW$94,2),0),0)</f>
        <v>0</v>
      </c>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row>
    <row r="75" spans="1:89" s="12" customFormat="1" ht="12.6" customHeight="1" x14ac:dyDescent="0.25">
      <c r="A75" s="16" t="str">
        <f>RIGHT(data!$C$97,3)</f>
        <v>085</v>
      </c>
      <c r="B75" s="218" t="str">
        <f>RIGHT(data!$C$96,4)</f>
        <v>2022</v>
      </c>
      <c r="C75" s="16" t="str">
        <f>data!BX$55</f>
        <v>8710</v>
      </c>
      <c r="D75" s="16" t="s">
        <v>1120</v>
      </c>
      <c r="E75" s="216"/>
      <c r="F75" s="206">
        <f>ROUND(data!BX60,2)</f>
        <v>0</v>
      </c>
      <c r="G75" s="216">
        <f>ROUND(data!BX61,0)</f>
        <v>0</v>
      </c>
      <c r="H75" s="216">
        <f>ROUND(data!BX62,0)</f>
        <v>0</v>
      </c>
      <c r="I75" s="216">
        <f>ROUND(data!BX63,0)</f>
        <v>0</v>
      </c>
      <c r="J75" s="216">
        <f>ROUND(data!BX64,0)</f>
        <v>0</v>
      </c>
      <c r="K75" s="216">
        <f>ROUND(data!BX65,0)</f>
        <v>0</v>
      </c>
      <c r="L75" s="216">
        <f>ROUND(data!BX66,0)</f>
        <v>0</v>
      </c>
      <c r="M75" s="66">
        <f>ROUND(data!BX67,0)</f>
        <v>0</v>
      </c>
      <c r="N75" s="216">
        <f>ROUND(data!BX68,0)</f>
        <v>0</v>
      </c>
      <c r="O75" s="216">
        <f>ROUND(data!BX69,0)</f>
        <v>0</v>
      </c>
      <c r="P75" s="216">
        <f>ROUND(data!BX70,0)</f>
        <v>0</v>
      </c>
      <c r="Q75" s="216">
        <f>ROUND(data!BX71,0)</f>
        <v>0</v>
      </c>
      <c r="R75" s="216">
        <f>ROUND(data!BX72,0)</f>
        <v>0</v>
      </c>
      <c r="S75" s="216">
        <f>ROUND(data!BX73,0)</f>
        <v>0</v>
      </c>
      <c r="T75" s="216">
        <f>ROUND(data!BX74,0)</f>
        <v>0</v>
      </c>
      <c r="U75" s="216">
        <f>ROUND(data!BX75,0)</f>
        <v>0</v>
      </c>
      <c r="V75" s="216">
        <f>ROUND(data!BX76,0)</f>
        <v>0</v>
      </c>
      <c r="W75" s="216">
        <f>ROUND(data!BX77,0)</f>
        <v>0</v>
      </c>
      <c r="X75" s="216">
        <f>ROUND(data!BX78,0)</f>
        <v>0</v>
      </c>
      <c r="Y75" s="216">
        <f>ROUND(data!BX79,0)</f>
        <v>0</v>
      </c>
      <c r="Z75" s="216">
        <f>ROUND(data!BX80,0)</f>
        <v>0</v>
      </c>
      <c r="AA75" s="216">
        <f>ROUND(data!BX81,0)</f>
        <v>0</v>
      </c>
      <c r="AB75" s="216">
        <f>ROUND(data!BX82,0)</f>
        <v>0</v>
      </c>
      <c r="AC75" s="216">
        <f>ROUND(data!BX83,0)</f>
        <v>0</v>
      </c>
      <c r="AD75" s="216">
        <f>ROUND(data!BX84,0)</f>
        <v>0</v>
      </c>
      <c r="AE75" s="216"/>
      <c r="AF75" s="216"/>
      <c r="AG75" s="216">
        <f>IF(data!BX90&gt;0,ROUND(data!BX90,0),0)</f>
        <v>0</v>
      </c>
      <c r="AH75" s="216">
        <f>IF(data!BX91&gt;0,ROUND(data!BX91,0),0)</f>
        <v>0</v>
      </c>
      <c r="AI75" s="216">
        <f>IF(data!BX92&gt;0,ROUND(data!BX92,0),0)</f>
        <v>0</v>
      </c>
      <c r="AJ75" s="216">
        <f>IF(data!BX93&gt;0,ROUND(data!BX93,0),0)</f>
        <v>0</v>
      </c>
      <c r="AK75" s="206">
        <f>IFERROR(IF(data!BX$94&gt;0,ROUND(data!BX$94,2),0),0)</f>
        <v>0</v>
      </c>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row>
    <row r="76" spans="1:89" s="12" customFormat="1" ht="12.6" customHeight="1" x14ac:dyDescent="0.25">
      <c r="A76" s="16" t="str">
        <f>RIGHT(data!$C$97,3)</f>
        <v>085</v>
      </c>
      <c r="B76" s="218" t="str">
        <f>RIGHT(data!$C$96,4)</f>
        <v>2022</v>
      </c>
      <c r="C76" s="16" t="str">
        <f>data!BY$55</f>
        <v>8720</v>
      </c>
      <c r="D76" s="16" t="s">
        <v>1120</v>
      </c>
      <c r="E76" s="216"/>
      <c r="F76" s="206">
        <f>ROUND(data!BY60,2)</f>
        <v>20.97</v>
      </c>
      <c r="G76" s="216">
        <f>ROUND(data!BY61,0)</f>
        <v>2244929</v>
      </c>
      <c r="H76" s="216">
        <f>ROUND(data!BY62,0)</f>
        <v>494035</v>
      </c>
      <c r="I76" s="216">
        <f>ROUND(data!BY63,0)</f>
        <v>9802</v>
      </c>
      <c r="J76" s="216">
        <f>ROUND(data!BY64,0)</f>
        <v>146019</v>
      </c>
      <c r="K76" s="216">
        <f>ROUND(data!BY65,0)</f>
        <v>1279</v>
      </c>
      <c r="L76" s="216">
        <f>ROUND(data!BY66,0)</f>
        <v>56784</v>
      </c>
      <c r="M76" s="66">
        <f>ROUND(data!BY67,0)</f>
        <v>59896</v>
      </c>
      <c r="N76" s="216">
        <f>ROUND(data!BY68,0)</f>
        <v>249</v>
      </c>
      <c r="O76" s="216">
        <f>ROUND(data!BY69,0)</f>
        <v>163976</v>
      </c>
      <c r="P76" s="216">
        <f>ROUND(data!BY70,0)</f>
        <v>0</v>
      </c>
      <c r="Q76" s="216">
        <f>ROUND(data!BY71,0)</f>
        <v>0</v>
      </c>
      <c r="R76" s="216">
        <f>ROUND(data!BY72,0)</f>
        <v>0</v>
      </c>
      <c r="S76" s="216">
        <f>ROUND(data!BY73,0)</f>
        <v>0</v>
      </c>
      <c r="T76" s="216">
        <f>ROUND(data!BY74,0)</f>
        <v>0</v>
      </c>
      <c r="U76" s="216">
        <f>ROUND(data!BY75,0)</f>
        <v>0</v>
      </c>
      <c r="V76" s="216">
        <f>ROUND(data!BY76,0)</f>
        <v>0</v>
      </c>
      <c r="W76" s="216">
        <f>ROUND(data!BY77,0)</f>
        <v>13918</v>
      </c>
      <c r="X76" s="216">
        <f>ROUND(data!BY78,0)</f>
        <v>0</v>
      </c>
      <c r="Y76" s="216">
        <f>ROUND(data!BY79,0)</f>
        <v>0</v>
      </c>
      <c r="Z76" s="216">
        <f>ROUND(data!BY80,0)</f>
        <v>0</v>
      </c>
      <c r="AA76" s="216">
        <f>ROUND(data!BY81,0)</f>
        <v>0</v>
      </c>
      <c r="AB76" s="216">
        <f>ROUND(data!BY82,0)</f>
        <v>0</v>
      </c>
      <c r="AC76" s="216">
        <f>ROUND(data!BY83,0)</f>
        <v>150058</v>
      </c>
      <c r="AD76" s="216">
        <f>ROUND(data!BY84,0)</f>
        <v>0</v>
      </c>
      <c r="AE76" s="216"/>
      <c r="AF76" s="216"/>
      <c r="AG76" s="216">
        <f>IF(data!BY90&gt;0,ROUND(data!BY90,0),0)</f>
        <v>1786</v>
      </c>
      <c r="AH76" s="216">
        <f>IF(data!BY91&gt;0,ROUND(data!BY91,0),0)</f>
        <v>0</v>
      </c>
      <c r="AI76" s="216">
        <f>IF(data!BY92&gt;0,ROUND(data!BY92,0),0)</f>
        <v>4</v>
      </c>
      <c r="AJ76" s="216">
        <f>IF(data!BY93&gt;0,ROUND(data!BY93,0),0)</f>
        <v>0</v>
      </c>
      <c r="AK76" s="206">
        <f>IFERROR(IF(data!BY$94&gt;0,ROUND(data!BY$94,2),0),0)</f>
        <v>0</v>
      </c>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row>
    <row r="77" spans="1:89" s="12" customFormat="1" ht="12.6" customHeight="1" x14ac:dyDescent="0.25">
      <c r="A77" s="16" t="str">
        <f>RIGHT(data!$C$97,3)</f>
        <v>085</v>
      </c>
      <c r="B77" s="218" t="str">
        <f>RIGHT(data!$C$96,4)</f>
        <v>2022</v>
      </c>
      <c r="C77" s="16" t="str">
        <f>data!BZ$55</f>
        <v>8730</v>
      </c>
      <c r="D77" s="16" t="s">
        <v>1120</v>
      </c>
      <c r="E77" s="216"/>
      <c r="F77" s="206">
        <f>ROUND(data!BZ60,2)</f>
        <v>0</v>
      </c>
      <c r="G77" s="216">
        <f>ROUND(data!BZ61,0)</f>
        <v>0</v>
      </c>
      <c r="H77" s="216">
        <f>ROUND(data!BZ62,0)</f>
        <v>0</v>
      </c>
      <c r="I77" s="216">
        <f>ROUND(data!BZ63,0)</f>
        <v>0</v>
      </c>
      <c r="J77" s="216">
        <f>ROUND(data!BZ64,0)</f>
        <v>0</v>
      </c>
      <c r="K77" s="216">
        <f>ROUND(data!BZ65,0)</f>
        <v>0</v>
      </c>
      <c r="L77" s="216">
        <f>ROUND(data!BZ66,0)</f>
        <v>0</v>
      </c>
      <c r="M77" s="66">
        <f>ROUND(data!BZ67,0)</f>
        <v>0</v>
      </c>
      <c r="N77" s="216">
        <f>ROUND(data!BZ68,0)</f>
        <v>0</v>
      </c>
      <c r="O77" s="216">
        <f>ROUND(data!BZ69,0)</f>
        <v>0</v>
      </c>
      <c r="P77" s="216">
        <f>ROUND(data!BZ70,0)</f>
        <v>0</v>
      </c>
      <c r="Q77" s="216">
        <f>ROUND(data!BZ71,0)</f>
        <v>0</v>
      </c>
      <c r="R77" s="216">
        <f>ROUND(data!BZ72,0)</f>
        <v>0</v>
      </c>
      <c r="S77" s="216">
        <f>ROUND(data!BZ73,0)</f>
        <v>0</v>
      </c>
      <c r="T77" s="216">
        <f>ROUND(data!BZ74,0)</f>
        <v>0</v>
      </c>
      <c r="U77" s="216">
        <f>ROUND(data!BZ75,0)</f>
        <v>0</v>
      </c>
      <c r="V77" s="216">
        <f>ROUND(data!BZ76,0)</f>
        <v>0</v>
      </c>
      <c r="W77" s="216">
        <f>ROUND(data!BZ77,0)</f>
        <v>0</v>
      </c>
      <c r="X77" s="216">
        <f>ROUND(data!BZ78,0)</f>
        <v>0</v>
      </c>
      <c r="Y77" s="216">
        <f>ROUND(data!BZ79,0)</f>
        <v>0</v>
      </c>
      <c r="Z77" s="216">
        <f>ROUND(data!BZ80,0)</f>
        <v>0</v>
      </c>
      <c r="AA77" s="216">
        <f>ROUND(data!BZ81,0)</f>
        <v>0</v>
      </c>
      <c r="AB77" s="216">
        <f>ROUND(data!BZ82,0)</f>
        <v>0</v>
      </c>
      <c r="AC77" s="216">
        <f>ROUND(data!BZ83,0)</f>
        <v>0</v>
      </c>
      <c r="AD77" s="216">
        <f>ROUND(data!BZ84,0)</f>
        <v>0</v>
      </c>
      <c r="AE77" s="216"/>
      <c r="AF77" s="216"/>
      <c r="AG77" s="216">
        <f>IF(data!BZ90&gt;0,ROUND(data!BZ90,0),0)</f>
        <v>0</v>
      </c>
      <c r="AH77" s="216">
        <f>IF(data!BZ91&gt;0,ROUND(data!BZ91,0),0)</f>
        <v>0</v>
      </c>
      <c r="AI77" s="216">
        <f>IF(data!BZ92&gt;0,ROUND(data!BZ92,0),0)</f>
        <v>0</v>
      </c>
      <c r="AJ77" s="216">
        <f>IF(data!BZ93&gt;0,ROUND(data!BZ93,0),0)</f>
        <v>0</v>
      </c>
      <c r="AK77" s="206">
        <f>IFERROR(IF(data!BZ$94&gt;0,ROUND(data!BZ$94,2),0),0)</f>
        <v>0</v>
      </c>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row>
    <row r="78" spans="1:89" s="12" customFormat="1" ht="12.6" customHeight="1" x14ac:dyDescent="0.25">
      <c r="A78" s="16" t="str">
        <f>RIGHT(data!$C$97,3)</f>
        <v>085</v>
      </c>
      <c r="B78" s="218" t="str">
        <f>RIGHT(data!$C$96,4)</f>
        <v>2022</v>
      </c>
      <c r="C78" s="16" t="str">
        <f>data!CA$55</f>
        <v>8740</v>
      </c>
      <c r="D78" s="16" t="s">
        <v>1120</v>
      </c>
      <c r="E78" s="216"/>
      <c r="F78" s="206">
        <f>ROUND(data!CA60,2)</f>
        <v>0</v>
      </c>
      <c r="G78" s="216">
        <f>ROUND(data!CA61,0)</f>
        <v>0</v>
      </c>
      <c r="H78" s="216">
        <f>ROUND(data!CA62,0)</f>
        <v>0</v>
      </c>
      <c r="I78" s="216">
        <f>ROUND(data!CA63,0)</f>
        <v>0</v>
      </c>
      <c r="J78" s="216">
        <f>ROUND(data!CA64,0)</f>
        <v>0</v>
      </c>
      <c r="K78" s="216">
        <f>ROUND(data!CA65,0)</f>
        <v>0</v>
      </c>
      <c r="L78" s="216">
        <f>ROUND(data!CA66,0)</f>
        <v>0</v>
      </c>
      <c r="M78" s="66">
        <f>ROUND(data!CA67,0)</f>
        <v>0</v>
      </c>
      <c r="N78" s="216">
        <f>ROUND(data!CA68,0)</f>
        <v>0</v>
      </c>
      <c r="O78" s="216">
        <f>ROUND(data!CA69,0)</f>
        <v>0</v>
      </c>
      <c r="P78" s="216">
        <f>ROUND(data!CA70,0)</f>
        <v>0</v>
      </c>
      <c r="Q78" s="216">
        <f>ROUND(data!CA71,0)</f>
        <v>0</v>
      </c>
      <c r="R78" s="216">
        <f>ROUND(data!CA72,0)</f>
        <v>0</v>
      </c>
      <c r="S78" s="216">
        <f>ROUND(data!CA73,0)</f>
        <v>0</v>
      </c>
      <c r="T78" s="216">
        <f>ROUND(data!CA74,0)</f>
        <v>0</v>
      </c>
      <c r="U78" s="216">
        <f>ROUND(data!CA75,0)</f>
        <v>0</v>
      </c>
      <c r="V78" s="216">
        <f>ROUND(data!CA76,0)</f>
        <v>0</v>
      </c>
      <c r="W78" s="216">
        <f>ROUND(data!CA77,0)</f>
        <v>0</v>
      </c>
      <c r="X78" s="216">
        <f>ROUND(data!CA78,0)</f>
        <v>0</v>
      </c>
      <c r="Y78" s="216">
        <f>ROUND(data!CA79,0)</f>
        <v>0</v>
      </c>
      <c r="Z78" s="216">
        <f>ROUND(data!CA80,0)</f>
        <v>0</v>
      </c>
      <c r="AA78" s="216">
        <f>ROUND(data!CA81,0)</f>
        <v>0</v>
      </c>
      <c r="AB78" s="216">
        <f>ROUND(data!CA82,0)</f>
        <v>0</v>
      </c>
      <c r="AC78" s="216">
        <f>ROUND(data!CA83,0)</f>
        <v>0</v>
      </c>
      <c r="AD78" s="216">
        <f>ROUND(data!CA84,0)</f>
        <v>0</v>
      </c>
      <c r="AE78" s="216"/>
      <c r="AF78" s="216"/>
      <c r="AG78" s="216">
        <f>IF(data!CA90&gt;0,ROUND(data!CA90,0),0)</f>
        <v>0</v>
      </c>
      <c r="AH78" s="216">
        <f>IF(data!CA91&gt;0,ROUND(data!CA91,0),0)</f>
        <v>0</v>
      </c>
      <c r="AI78" s="216">
        <f>IF(data!CA92&gt;0,ROUND(data!CA92,0),0)</f>
        <v>0</v>
      </c>
      <c r="AJ78" s="216">
        <f>IF(data!CA93&gt;0,ROUND(data!CA93,0),0)</f>
        <v>0</v>
      </c>
      <c r="AK78" s="206">
        <f>IFERROR(IF(data!CA$94&gt;0,ROUND(data!CA$94,2),0),0)</f>
        <v>0</v>
      </c>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row>
    <row r="79" spans="1:89" s="12" customFormat="1" ht="12.6" customHeight="1" x14ac:dyDescent="0.25">
      <c r="A79" s="16" t="str">
        <f>RIGHT(data!$C$97,3)</f>
        <v>085</v>
      </c>
      <c r="B79" s="218" t="str">
        <f>RIGHT(data!$C$96,4)</f>
        <v>2022</v>
      </c>
      <c r="C79" s="16" t="str">
        <f>data!CB$55</f>
        <v>8770</v>
      </c>
      <c r="D79" s="16" t="s">
        <v>1120</v>
      </c>
      <c r="E79" s="216"/>
      <c r="F79" s="206">
        <f>ROUND(data!CB60,2)</f>
        <v>0</v>
      </c>
      <c r="G79" s="216">
        <f>ROUND(data!CB61,0)</f>
        <v>0</v>
      </c>
      <c r="H79" s="216">
        <f>ROUND(data!CB62,0)</f>
        <v>0</v>
      </c>
      <c r="I79" s="216">
        <f>ROUND(data!CB63,0)</f>
        <v>0</v>
      </c>
      <c r="J79" s="216">
        <f>ROUND(data!CB64,0)</f>
        <v>0</v>
      </c>
      <c r="K79" s="216">
        <f>ROUND(data!CB65,0)</f>
        <v>0</v>
      </c>
      <c r="L79" s="216">
        <f>ROUND(data!CB66,0)</f>
        <v>0</v>
      </c>
      <c r="M79" s="66">
        <f>ROUND(data!CB67,0)</f>
        <v>0</v>
      </c>
      <c r="N79" s="216">
        <f>ROUND(data!CB68,0)</f>
        <v>0</v>
      </c>
      <c r="O79" s="216">
        <f>ROUND(data!CB69,0)</f>
        <v>0</v>
      </c>
      <c r="P79" s="216">
        <f>ROUND(data!CB70,0)</f>
        <v>0</v>
      </c>
      <c r="Q79" s="216">
        <f>ROUND(data!CB71,0)</f>
        <v>0</v>
      </c>
      <c r="R79" s="216">
        <f>ROUND(data!CB72,0)</f>
        <v>0</v>
      </c>
      <c r="S79" s="216">
        <f>ROUND(data!CB73,0)</f>
        <v>0</v>
      </c>
      <c r="T79" s="216">
        <f>ROUND(data!CB74,0)</f>
        <v>0</v>
      </c>
      <c r="U79" s="216">
        <f>ROUND(data!CB75,0)</f>
        <v>0</v>
      </c>
      <c r="V79" s="216">
        <f>ROUND(data!CB76,0)</f>
        <v>0</v>
      </c>
      <c r="W79" s="216">
        <f>ROUND(data!CB77,0)</f>
        <v>0</v>
      </c>
      <c r="X79" s="216">
        <f>ROUND(data!CB78,0)</f>
        <v>0</v>
      </c>
      <c r="Y79" s="216">
        <f>ROUND(data!CB79,0)</f>
        <v>0</v>
      </c>
      <c r="Z79" s="216">
        <f>ROUND(data!CB80,0)</f>
        <v>0</v>
      </c>
      <c r="AA79" s="216">
        <f>ROUND(data!CB81,0)</f>
        <v>0</v>
      </c>
      <c r="AB79" s="216">
        <f>ROUND(data!CB82,0)</f>
        <v>0</v>
      </c>
      <c r="AC79" s="216">
        <f>ROUND(data!CB83,0)</f>
        <v>0</v>
      </c>
      <c r="AD79" s="216">
        <f>ROUND(data!CB84,0)</f>
        <v>0</v>
      </c>
      <c r="AE79" s="216"/>
      <c r="AF79" s="216"/>
      <c r="AG79" s="216">
        <f>IF(data!CB90&gt;0,ROUND(data!CB90,0),0)</f>
        <v>0</v>
      </c>
      <c r="AH79" s="216">
        <f>IF(data!CB91&gt;0,ROUND(data!CB91,0),0)</f>
        <v>0</v>
      </c>
      <c r="AI79" s="216">
        <f>IF(data!CB92&gt;0,ROUND(data!CB92,0),0)</f>
        <v>0</v>
      </c>
      <c r="AJ79" s="216">
        <f>IF(data!CB93&gt;0,ROUND(data!CB93,0),0)</f>
        <v>0</v>
      </c>
      <c r="AK79" s="206">
        <f>IFERROR(IF(data!CB$94&gt;0,ROUND(data!CB$94,2),0),0)</f>
        <v>0</v>
      </c>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row>
    <row r="80" spans="1:89" s="12" customFormat="1" ht="12.6" customHeight="1" x14ac:dyDescent="0.25">
      <c r="A80" s="16" t="str">
        <f>RIGHT(data!$C$97,3)</f>
        <v>085</v>
      </c>
      <c r="B80" s="218" t="str">
        <f>RIGHT(data!$C$96,4)</f>
        <v>2022</v>
      </c>
      <c r="C80" s="16" t="str">
        <f>data!CC$55</f>
        <v>8790</v>
      </c>
      <c r="D80" s="16" t="s">
        <v>1120</v>
      </c>
      <c r="E80" s="216"/>
      <c r="F80" s="206">
        <f>ROUND(data!CC60,2)</f>
        <v>33.58</v>
      </c>
      <c r="G80" s="216">
        <f>ROUND(data!CC61,0)</f>
        <v>4542897</v>
      </c>
      <c r="H80" s="216">
        <f>ROUND(data!CC62,0)</f>
        <v>999742</v>
      </c>
      <c r="I80" s="216">
        <f>ROUND(data!CC63,0)</f>
        <v>475962</v>
      </c>
      <c r="J80" s="216">
        <f>ROUND(data!CC64,0)</f>
        <v>103669</v>
      </c>
      <c r="K80" s="216">
        <f>ROUND(data!CC65,0)</f>
        <v>8962</v>
      </c>
      <c r="L80" s="216">
        <f>ROUND(data!CC66,0)</f>
        <v>579422</v>
      </c>
      <c r="M80" s="66">
        <f>ROUND(data!CC67,0)</f>
        <v>513713</v>
      </c>
      <c r="N80" s="216">
        <f>ROUND(data!CC68,0)</f>
        <v>205063</v>
      </c>
      <c r="O80" s="216">
        <f>ROUND(data!CC69,0)</f>
        <v>808569</v>
      </c>
      <c r="P80" s="216">
        <f>ROUND(data!CC70,0)</f>
        <v>0</v>
      </c>
      <c r="Q80" s="216">
        <f>ROUND(data!CC71,0)</f>
        <v>0</v>
      </c>
      <c r="R80" s="216">
        <f>ROUND(data!CC72,0)</f>
        <v>0</v>
      </c>
      <c r="S80" s="216">
        <f>ROUND(data!CC73,0)</f>
        <v>0</v>
      </c>
      <c r="T80" s="216">
        <f>ROUND(data!CC74,0)</f>
        <v>0</v>
      </c>
      <c r="U80" s="216">
        <f>ROUND(data!CC75,0)</f>
        <v>0</v>
      </c>
      <c r="V80" s="216">
        <f>ROUND(data!CC76,0)</f>
        <v>0</v>
      </c>
      <c r="W80" s="216">
        <f>ROUND(data!CC77,0)</f>
        <v>3830</v>
      </c>
      <c r="X80" s="216">
        <f>ROUND(data!CC78,0)</f>
        <v>0</v>
      </c>
      <c r="Y80" s="216">
        <f>ROUND(data!CC79,0)</f>
        <v>0</v>
      </c>
      <c r="Z80" s="216">
        <f>ROUND(data!CC80,0)</f>
        <v>0</v>
      </c>
      <c r="AA80" s="216">
        <f>ROUND(data!CC81,0)</f>
        <v>0</v>
      </c>
      <c r="AB80" s="216">
        <f>ROUND(data!CC82,0)</f>
        <v>0</v>
      </c>
      <c r="AC80" s="216">
        <f>ROUND(data!CC83,0)</f>
        <v>804739</v>
      </c>
      <c r="AD80" s="216">
        <f>ROUND(data!CC84,0)</f>
        <v>0</v>
      </c>
      <c r="AE80" s="216"/>
      <c r="AF80" s="216"/>
      <c r="AG80" s="216">
        <f>IF(data!CC90&gt;0,ROUND(data!CC90,0),0)</f>
        <v>15318</v>
      </c>
      <c r="AH80" s="216">
        <f>IFERROR(IF(data!CC$91&gt;0,ROUND(data!CC$91,0),0),0)</f>
        <v>0</v>
      </c>
      <c r="AI80" s="216">
        <f>IFERROR(IF(data!CC$92&gt;0,ROUND(data!CC$92,0),0),0)</f>
        <v>0</v>
      </c>
      <c r="AJ80" s="216">
        <f>IFERROR(IF(data!CC$93&gt;0,ROUND(data!CC$93,0),0),0)</f>
        <v>0</v>
      </c>
      <c r="AK80" s="206">
        <f>IFERROR(IF(data!CC$94&gt;0,ROUND(data!CC$94,2),0),0)</f>
        <v>0</v>
      </c>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row>
  </sheetData>
  <sheetProtection algorithmName="SHA-512" hashValue="MMERrDzCnCKPEd38eSwNbcWKDSR3BVLBvsDVE21h7fTS9VOn71HQOUHv/2rrg1B5B9b8BQGt0upEaEjYC47zxA==" saltValue="qi4UYtsjS0Bb0l/7P5Axgw==" spinCount="100000" sheet="1" objects="1" scenarios="1"/>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40BF-98B5-4C51-994E-D2B7D208D116}">
  <sheetPr codeName="Sheet2">
    <tabColor rgb="FF92D050"/>
    <pageSetUpPr fitToPage="1"/>
  </sheetPr>
  <dimension ref="B1:J42"/>
  <sheetViews>
    <sheetView topLeftCell="A19" workbookViewId="0">
      <selection activeCell="E16" sqref="E16"/>
    </sheetView>
  </sheetViews>
  <sheetFormatPr defaultColWidth="10.77734375" defaultRowHeight="15" x14ac:dyDescent="0.25"/>
  <cols>
    <col min="1" max="1" width="2.77734375" style="12" customWidth="1"/>
    <col min="2" max="3" width="10.77734375" style="12" customWidth="1"/>
    <col min="4" max="4" width="2.77734375" style="12" customWidth="1"/>
    <col min="5" max="6" width="10.77734375" style="12" customWidth="1"/>
    <col min="7" max="7" width="2.77734375" style="12" customWidth="1"/>
    <col min="8" max="8" width="10.77734375" style="12" customWidth="1"/>
    <col min="9" max="10" width="8.77734375" style="12" customWidth="1"/>
    <col min="11" max="11" width="2.77734375" style="12" customWidth="1"/>
    <col min="12" max="13" width="10.77734375" style="12" customWidth="1"/>
    <col min="14" max="16384" width="10.77734375" style="12"/>
  </cols>
  <sheetData>
    <row r="1" spans="2:10" x14ac:dyDescent="0.25">
      <c r="J1" s="106" t="s">
        <v>671</v>
      </c>
    </row>
    <row r="2" spans="2:10" x14ac:dyDescent="0.25">
      <c r="B2" s="357"/>
      <c r="C2" s="119"/>
      <c r="D2" s="119"/>
      <c r="E2" s="119"/>
      <c r="F2" s="119"/>
      <c r="G2" s="119"/>
      <c r="H2" s="119"/>
      <c r="I2" s="119"/>
      <c r="J2" s="358"/>
    </row>
    <row r="3" spans="2:10" x14ac:dyDescent="0.25">
      <c r="B3" s="359"/>
      <c r="F3" s="10" t="s">
        <v>672</v>
      </c>
      <c r="G3" s="10"/>
      <c r="J3" s="360"/>
    </row>
    <row r="4" spans="2:10" x14ac:dyDescent="0.25">
      <c r="B4" s="359"/>
      <c r="F4" s="10" t="s">
        <v>673</v>
      </c>
      <c r="G4" s="10"/>
      <c r="J4" s="360"/>
    </row>
    <row r="5" spans="2:10" x14ac:dyDescent="0.25">
      <c r="B5" s="359"/>
      <c r="J5" s="360"/>
    </row>
    <row r="6" spans="2:10" x14ac:dyDescent="0.25">
      <c r="B6" s="359"/>
      <c r="J6" s="360"/>
    </row>
    <row r="7" spans="2:10" x14ac:dyDescent="0.25">
      <c r="B7" s="359"/>
      <c r="J7" s="360"/>
    </row>
    <row r="8" spans="2:10" x14ac:dyDescent="0.25">
      <c r="B8" s="359"/>
      <c r="F8" s="10" t="s">
        <v>674</v>
      </c>
      <c r="G8" s="10"/>
      <c r="J8" s="360"/>
    </row>
    <row r="9" spans="2:10" x14ac:dyDescent="0.25">
      <c r="B9" s="359"/>
      <c r="F9" s="10" t="s">
        <v>675</v>
      </c>
      <c r="G9" s="10"/>
      <c r="J9" s="360"/>
    </row>
    <row r="10" spans="2:10" x14ac:dyDescent="0.25">
      <c r="B10" s="359"/>
      <c r="F10" s="10" t="s">
        <v>676</v>
      </c>
      <c r="G10" s="10"/>
      <c r="J10" s="360"/>
    </row>
    <row r="11" spans="2:10" x14ac:dyDescent="0.25">
      <c r="B11" s="359"/>
      <c r="F11" s="10"/>
      <c r="G11" s="10"/>
      <c r="J11" s="360"/>
    </row>
    <row r="12" spans="2:10" x14ac:dyDescent="0.25">
      <c r="B12" s="359"/>
      <c r="F12" s="10" t="s">
        <v>677</v>
      </c>
      <c r="G12" s="10"/>
      <c r="J12" s="360"/>
    </row>
    <row r="13" spans="2:10" x14ac:dyDescent="0.25">
      <c r="B13" s="359"/>
      <c r="F13" s="10" t="s">
        <v>678</v>
      </c>
      <c r="G13" s="10"/>
      <c r="J13" s="360"/>
    </row>
    <row r="14" spans="2:10" x14ac:dyDescent="0.25">
      <c r="B14" s="361"/>
      <c r="C14" s="122"/>
      <c r="D14" s="122"/>
      <c r="E14" s="122"/>
      <c r="F14" s="122"/>
      <c r="G14" s="122"/>
      <c r="H14" s="122"/>
      <c r="I14" s="122"/>
      <c r="J14" s="362"/>
    </row>
    <row r="15" spans="2:10" x14ac:dyDescent="0.25">
      <c r="B15" s="109"/>
      <c r="J15" s="110"/>
    </row>
    <row r="16" spans="2:10" ht="15.75" thickBot="1" x14ac:dyDescent="0.3">
      <c r="B16" s="111"/>
      <c r="C16" s="112"/>
      <c r="D16" s="112"/>
      <c r="E16" s="112"/>
      <c r="F16" s="112"/>
      <c r="G16" s="343"/>
      <c r="H16" s="112"/>
      <c r="J16" s="110"/>
    </row>
    <row r="17" spans="2:10" ht="15.75" thickTop="1" x14ac:dyDescent="0.25">
      <c r="B17" s="109"/>
      <c r="C17" s="66" t="s">
        <v>679</v>
      </c>
      <c r="D17" s="66"/>
      <c r="E17" s="12" t="str">
        <f>+data!C98</f>
        <v>Jefferson County Public Hospital District No 2</v>
      </c>
      <c r="F17" s="10"/>
      <c r="G17" s="10"/>
      <c r="I17" s="107"/>
      <c r="J17" s="108"/>
    </row>
    <row r="18" spans="2:10" x14ac:dyDescent="0.25">
      <c r="B18" s="109"/>
      <c r="C18" s="66" t="s">
        <v>680</v>
      </c>
      <c r="D18" s="66"/>
      <c r="E18" s="12" t="str">
        <f>+"H-"&amp;data!C97</f>
        <v>H-085</v>
      </c>
      <c r="F18" s="10"/>
      <c r="G18" s="10"/>
      <c r="J18" s="110"/>
    </row>
    <row r="19" spans="2:10" x14ac:dyDescent="0.25">
      <c r="B19" s="109"/>
      <c r="C19" s="66" t="s">
        <v>681</v>
      </c>
      <c r="D19" s="66"/>
      <c r="E19" s="12" t="str">
        <f>+data!C99</f>
        <v>834 Sheridan Street</v>
      </c>
      <c r="F19" s="10"/>
      <c r="G19" s="10"/>
      <c r="J19" s="110"/>
    </row>
    <row r="20" spans="2:10" x14ac:dyDescent="0.25">
      <c r="B20" s="109"/>
      <c r="C20" s="66" t="s">
        <v>682</v>
      </c>
      <c r="D20" s="66"/>
      <c r="E20" s="12" t="str">
        <f>E19</f>
        <v>834 Sheridan Street</v>
      </c>
      <c r="F20" s="10"/>
      <c r="G20" s="10"/>
      <c r="J20" s="110"/>
    </row>
    <row r="21" spans="2:10" x14ac:dyDescent="0.25">
      <c r="B21" s="109"/>
      <c r="C21" s="66" t="s">
        <v>683</v>
      </c>
      <c r="D21" s="66"/>
      <c r="E21" s="12" t="s">
        <v>1381</v>
      </c>
      <c r="F21" s="10"/>
      <c r="G21" s="10"/>
      <c r="J21" s="110"/>
    </row>
    <row r="22" spans="2:10" x14ac:dyDescent="0.25">
      <c r="B22" s="111"/>
      <c r="C22" s="112"/>
      <c r="D22" s="112"/>
      <c r="E22" s="112"/>
      <c r="F22" s="112"/>
      <c r="G22" s="112"/>
      <c r="H22" s="112"/>
      <c r="I22" s="112"/>
      <c r="J22" s="113"/>
    </row>
    <row r="23" spans="2:10" x14ac:dyDescent="0.25">
      <c r="B23" s="109"/>
      <c r="J23" s="110"/>
    </row>
    <row r="24" spans="2:10" x14ac:dyDescent="0.25">
      <c r="B24" s="109"/>
      <c r="J24" s="110"/>
    </row>
    <row r="25" spans="2:10" x14ac:dyDescent="0.25">
      <c r="B25" s="109"/>
      <c r="J25" s="110"/>
    </row>
    <row r="26" spans="2:10" x14ac:dyDescent="0.25">
      <c r="B26" s="114"/>
      <c r="C26" s="115"/>
      <c r="D26" s="115"/>
      <c r="E26" s="115"/>
      <c r="F26" s="116" t="s">
        <v>684</v>
      </c>
      <c r="G26" s="115"/>
      <c r="H26" s="115"/>
      <c r="I26" s="115"/>
      <c r="J26" s="117"/>
    </row>
    <row r="27" spans="2:10" x14ac:dyDescent="0.25">
      <c r="B27" s="118" t="s">
        <v>685</v>
      </c>
      <c r="C27" s="119"/>
      <c r="D27" s="119"/>
      <c r="E27" s="119"/>
      <c r="F27" s="119"/>
      <c r="G27" s="119"/>
      <c r="H27" s="119"/>
      <c r="I27" s="119"/>
      <c r="J27" s="120"/>
    </row>
    <row r="28" spans="2:10" x14ac:dyDescent="0.25">
      <c r="B28" s="109" t="str">
        <f>+"by the Department of Health for the fiscal year ended "&amp;data!C96&amp;"."</f>
        <v>by the Department of Health for the fiscal year ended 12/31/2022.</v>
      </c>
      <c r="J28" s="110"/>
    </row>
    <row r="29" spans="2:10" x14ac:dyDescent="0.25">
      <c r="B29" s="109" t="s">
        <v>686</v>
      </c>
      <c r="J29" s="110"/>
    </row>
    <row r="30" spans="2:10" x14ac:dyDescent="0.25">
      <c r="B30" s="121" t="s">
        <v>687</v>
      </c>
      <c r="C30" s="122"/>
      <c r="D30" s="122"/>
      <c r="E30" s="122"/>
      <c r="F30" s="122"/>
      <c r="G30" s="122"/>
      <c r="H30" s="122"/>
      <c r="I30" s="122"/>
      <c r="J30" s="123"/>
    </row>
    <row r="31" spans="2:10" x14ac:dyDescent="0.25">
      <c r="B31" s="118"/>
      <c r="C31" s="119"/>
      <c r="D31" s="119"/>
      <c r="E31" s="119"/>
      <c r="F31" s="119"/>
      <c r="G31" s="119"/>
      <c r="H31" s="119"/>
      <c r="I31" s="119"/>
      <c r="J31" s="120"/>
    </row>
    <row r="32" spans="2:10" x14ac:dyDescent="0.25">
      <c r="B32" s="109"/>
      <c r="J32" s="110"/>
    </row>
    <row r="33" spans="2:10" x14ac:dyDescent="0.25">
      <c r="B33" s="124" t="s">
        <v>233</v>
      </c>
      <c r="C33" s="122"/>
      <c r="D33" s="122"/>
      <c r="E33" s="122"/>
      <c r="F33" s="122"/>
      <c r="G33" s="122"/>
      <c r="H33" s="122"/>
      <c r="I33" s="122"/>
      <c r="J33" s="123"/>
    </row>
    <row r="34" spans="2:10" x14ac:dyDescent="0.25">
      <c r="B34" s="114" t="s">
        <v>688</v>
      </c>
      <c r="C34" s="115"/>
      <c r="D34" s="115"/>
      <c r="E34" s="115"/>
      <c r="F34" s="116"/>
      <c r="G34" s="115"/>
      <c r="H34" s="115"/>
      <c r="I34" s="115"/>
      <c r="J34" s="117"/>
    </row>
    <row r="35" spans="2:10" x14ac:dyDescent="0.25">
      <c r="B35" s="114" t="s">
        <v>689</v>
      </c>
      <c r="C35" s="115" t="str">
        <f>data!C104</f>
        <v>Mike Glenn</v>
      </c>
      <c r="D35" s="115"/>
      <c r="E35" s="115"/>
      <c r="F35" s="116"/>
      <c r="G35" s="115"/>
      <c r="H35" s="115"/>
      <c r="I35" s="115"/>
      <c r="J35" s="117"/>
    </row>
    <row r="36" spans="2:10" x14ac:dyDescent="0.25">
      <c r="B36" s="114" t="s">
        <v>690</v>
      </c>
      <c r="C36" s="115"/>
      <c r="D36" s="115"/>
      <c r="E36" s="115"/>
      <c r="F36" s="116"/>
      <c r="G36" s="115"/>
      <c r="H36" s="115"/>
      <c r="I36" s="115"/>
      <c r="J36" s="117"/>
    </row>
    <row r="37" spans="2:10" x14ac:dyDescent="0.25">
      <c r="B37" s="118"/>
      <c r="C37" s="119"/>
      <c r="D37" s="119"/>
      <c r="E37" s="119"/>
      <c r="F37" s="119"/>
      <c r="G37" s="119"/>
      <c r="H37" s="119"/>
      <c r="I37" s="119"/>
      <c r="J37" s="120"/>
    </row>
    <row r="38" spans="2:10" x14ac:dyDescent="0.25">
      <c r="B38" s="109"/>
      <c r="J38" s="110"/>
    </row>
    <row r="39" spans="2:10" x14ac:dyDescent="0.25">
      <c r="B39" s="124" t="s">
        <v>233</v>
      </c>
      <c r="C39" s="122"/>
      <c r="D39" s="122"/>
      <c r="E39" s="122"/>
      <c r="F39" s="122"/>
      <c r="G39" s="122"/>
      <c r="H39" s="122"/>
      <c r="I39" s="122"/>
      <c r="J39" s="123"/>
    </row>
    <row r="40" spans="2:10" x14ac:dyDescent="0.25">
      <c r="B40" s="114" t="s">
        <v>691</v>
      </c>
      <c r="C40" s="115"/>
      <c r="D40" s="115"/>
      <c r="E40" s="115"/>
      <c r="F40" s="116"/>
      <c r="G40" s="115"/>
      <c r="H40" s="115"/>
      <c r="I40" s="115"/>
      <c r="J40" s="117"/>
    </row>
    <row r="41" spans="2:10" x14ac:dyDescent="0.25">
      <c r="B41" s="114" t="s">
        <v>689</v>
      </c>
      <c r="C41" s="115" t="str">
        <f>data!C106</f>
        <v>Jill Rienstra</v>
      </c>
      <c r="D41" s="115"/>
      <c r="E41" s="115"/>
      <c r="F41" s="116"/>
      <c r="G41" s="115"/>
      <c r="H41" s="115"/>
      <c r="I41" s="115"/>
      <c r="J41" s="117"/>
    </row>
    <row r="42" spans="2:10" x14ac:dyDescent="0.25">
      <c r="B42" s="125" t="s">
        <v>690</v>
      </c>
      <c r="C42" s="126"/>
      <c r="D42" s="126"/>
      <c r="E42" s="126"/>
      <c r="F42" s="127"/>
      <c r="G42" s="126"/>
      <c r="H42" s="126"/>
      <c r="I42" s="126"/>
      <c r="J42" s="128"/>
    </row>
  </sheetData>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DA76-2084-4BDA-9EEA-564AB886AC44}">
  <sheetPr codeName="Sheet9">
    <tabColor rgb="FF92D050"/>
  </sheetPr>
  <dimension ref="A2:M94"/>
  <sheetViews>
    <sheetView zoomScaleNormal="100" workbookViewId="0">
      <selection activeCell="I7" sqref="I7"/>
    </sheetView>
  </sheetViews>
  <sheetFormatPr defaultColWidth="8.6640625" defaultRowHeight="15" x14ac:dyDescent="0.25"/>
  <cols>
    <col min="1" max="1" width="28.77734375" style="1" customWidth="1"/>
    <col min="2" max="8" width="12.21875" style="1" customWidth="1"/>
    <col min="9" max="9" width="46.33203125" style="1" bestFit="1" customWidth="1"/>
    <col min="10" max="10" width="40.5546875" style="1" customWidth="1"/>
    <col min="11" max="12" width="8.6640625" style="1" customWidth="1"/>
    <col min="13" max="16384" width="8.6640625" style="1"/>
  </cols>
  <sheetData>
    <row r="2" spans="1:13" x14ac:dyDescent="0.25">
      <c r="A2" s="67" t="s">
        <v>692</v>
      </c>
    </row>
    <row r="3" spans="1:13" x14ac:dyDescent="0.25">
      <c r="A3" s="67"/>
    </row>
    <row r="4" spans="1:13" x14ac:dyDescent="0.25">
      <c r="A4" s="158" t="s">
        <v>693</v>
      </c>
    </row>
    <row r="5" spans="1:13" x14ac:dyDescent="0.25">
      <c r="A5" s="158" t="s">
        <v>694</v>
      </c>
    </row>
    <row r="6" spans="1:13" x14ac:dyDescent="0.25">
      <c r="A6" s="158" t="s">
        <v>695</v>
      </c>
    </row>
    <row r="7" spans="1:13" x14ac:dyDescent="0.25">
      <c r="A7" s="158"/>
    </row>
    <row r="8" spans="1:13" x14ac:dyDescent="0.25">
      <c r="A8" s="2" t="s">
        <v>696</v>
      </c>
    </row>
    <row r="9" spans="1:13" x14ac:dyDescent="0.25">
      <c r="A9" s="158" t="s">
        <v>17</v>
      </c>
    </row>
    <row r="12" spans="1:13" x14ac:dyDescent="0.25">
      <c r="A12" s="1" t="str">
        <f>data!C97</f>
        <v>085</v>
      </c>
      <c r="B12" s="268" t="str">
        <f>RIGHT('Prior Year'!C97,4)</f>
        <v>2021</v>
      </c>
      <c r="C12" s="268" t="str">
        <f>RIGHT(data!C96,4)</f>
        <v>2022</v>
      </c>
      <c r="D12" s="1" t="str">
        <f>RIGHT('Prior Year'!C97,4)</f>
        <v>2021</v>
      </c>
      <c r="E12" s="268" t="str">
        <f>RIGHT(data!C96,4)</f>
        <v>2022</v>
      </c>
      <c r="F12" s="1" t="str">
        <f>RIGHT('Prior Year'!C97,4)</f>
        <v>2021</v>
      </c>
      <c r="G12" s="268" t="str">
        <f>RIGHT(data!C96,4)</f>
        <v>2022</v>
      </c>
      <c r="H12" s="3"/>
    </row>
    <row r="13" spans="1:13" x14ac:dyDescent="0.25">
      <c r="A13" s="2"/>
      <c r="B13" s="268" t="s">
        <v>697</v>
      </c>
      <c r="C13" s="268" t="s">
        <v>697</v>
      </c>
      <c r="D13" s="5" t="s">
        <v>698</v>
      </c>
      <c r="E13" s="5" t="s">
        <v>698</v>
      </c>
      <c r="F13" s="3" t="s">
        <v>699</v>
      </c>
      <c r="G13" s="3" t="s">
        <v>699</v>
      </c>
      <c r="H13" s="3" t="s">
        <v>700</v>
      </c>
    </row>
    <row r="14" spans="1:13" x14ac:dyDescent="0.25">
      <c r="A14" s="1" t="s">
        <v>701</v>
      </c>
      <c r="B14" s="268" t="s">
        <v>337</v>
      </c>
      <c r="C14" s="268" t="s">
        <v>337</v>
      </c>
      <c r="D14" s="4" t="s">
        <v>702</v>
      </c>
      <c r="E14" s="4" t="s">
        <v>702</v>
      </c>
      <c r="F14" s="3" t="s">
        <v>703</v>
      </c>
      <c r="G14" s="3" t="s">
        <v>703</v>
      </c>
      <c r="H14" s="3" t="s">
        <v>704</v>
      </c>
      <c r="I14" s="8" t="s">
        <v>705</v>
      </c>
      <c r="J14" s="68" t="s">
        <v>706</v>
      </c>
    </row>
    <row r="15" spans="1:13" ht="30" x14ac:dyDescent="0.25">
      <c r="A15" s="1" t="s">
        <v>707</v>
      </c>
      <c r="B15" s="268">
        <f>'Prior Year'!C86</f>
        <v>1445216</v>
      </c>
      <c r="C15" s="268">
        <f>data!C85</f>
        <v>2140524</v>
      </c>
      <c r="D15" s="268">
        <f>'Prior Year'!C60</f>
        <v>320</v>
      </c>
      <c r="E15" s="1">
        <f>data!C59</f>
        <v>327</v>
      </c>
      <c r="F15" s="232">
        <f t="shared" ref="F15:F59" si="0">IF(B15=0,"",IF(D15=0,"",B15/D15))</f>
        <v>4516.3</v>
      </c>
      <c r="G15" s="232">
        <f t="shared" ref="G15:G29" si="1">IF(C15=0,"",IF(E15=0,"",C15/E15))</f>
        <v>6545.9449541284403</v>
      </c>
      <c r="H15" s="6">
        <f t="shared" ref="H15:H59" si="2">IF(B15=0,"",IF(C15=0,"",IF(D15=0,"",IF(E15=0,"",IF(G15/F15-1&lt;-0.25,G15/F15-1,IF(G15/F15-1&gt;0.25,G15/F15-1,""))))))</f>
        <v>0.44940436953445073</v>
      </c>
      <c r="I15" s="339" t="s">
        <v>1379</v>
      </c>
      <c r="M15" s="7"/>
    </row>
    <row r="16" spans="1:13" x14ac:dyDescent="0.25">
      <c r="A16" s="1" t="s">
        <v>708</v>
      </c>
      <c r="B16" s="268">
        <f>'Prior Year'!D86</f>
        <v>0</v>
      </c>
      <c r="C16" s="268">
        <f>data!D85</f>
        <v>0</v>
      </c>
      <c r="D16" s="268">
        <f>'Prior Year'!D60</f>
        <v>0</v>
      </c>
      <c r="E16" s="1">
        <f>data!D59</f>
        <v>0</v>
      </c>
      <c r="F16" s="232" t="str">
        <f t="shared" si="0"/>
        <v/>
      </c>
      <c r="G16" s="232" t="str">
        <f t="shared" si="1"/>
        <v/>
      </c>
      <c r="H16" s="6" t="str">
        <f t="shared" si="2"/>
        <v/>
      </c>
      <c r="I16" s="268" t="str">
        <f t="shared" ref="I16:I46" si="3">IF(H16&gt;ABS(25%),"Please provide explanation for the fluctuation noted here","")</f>
        <v>Please provide explanation for the fluctuation noted here</v>
      </c>
      <c r="M16" s="7"/>
    </row>
    <row r="17" spans="1:13" x14ac:dyDescent="0.25">
      <c r="A17" s="1" t="s">
        <v>709</v>
      </c>
      <c r="B17" s="268">
        <f>'Prior Year'!E86</f>
        <v>7690962.5491102384</v>
      </c>
      <c r="C17" s="268">
        <f>data!E85</f>
        <v>7970387</v>
      </c>
      <c r="D17" s="268">
        <f>'Prior Year'!E60</f>
        <v>3611</v>
      </c>
      <c r="E17" s="1">
        <f>data!E59</f>
        <v>4044</v>
      </c>
      <c r="F17" s="232">
        <f t="shared" si="0"/>
        <v>2129.8705480781609</v>
      </c>
      <c r="G17" s="232">
        <f t="shared" si="1"/>
        <v>1970.9166666666667</v>
      </c>
      <c r="H17" s="6" t="str">
        <f t="shared" si="2"/>
        <v/>
      </c>
      <c r="I17" s="268" t="str">
        <f t="shared" si="3"/>
        <v>Please provide explanation for the fluctuation noted here</v>
      </c>
      <c r="M17" s="7"/>
    </row>
    <row r="18" spans="1:13" x14ac:dyDescent="0.25">
      <c r="A18" s="1" t="s">
        <v>710</v>
      </c>
      <c r="B18" s="268">
        <f>'Prior Year'!F86</f>
        <v>0</v>
      </c>
      <c r="C18" s="268">
        <f>data!F85</f>
        <v>0</v>
      </c>
      <c r="D18" s="268">
        <f>'Prior Year'!F60</f>
        <v>0</v>
      </c>
      <c r="E18" s="1">
        <f>data!F59</f>
        <v>0</v>
      </c>
      <c r="F18" s="232" t="str">
        <f t="shared" si="0"/>
        <v/>
      </c>
      <c r="G18" s="232" t="str">
        <f t="shared" si="1"/>
        <v/>
      </c>
      <c r="H18" s="6" t="str">
        <f t="shared" si="2"/>
        <v/>
      </c>
      <c r="I18" s="268" t="str">
        <f t="shared" si="3"/>
        <v>Please provide explanation for the fluctuation noted here</v>
      </c>
      <c r="M18" s="7"/>
    </row>
    <row r="19" spans="1:13" x14ac:dyDescent="0.25">
      <c r="A19" s="1" t="s">
        <v>711</v>
      </c>
      <c r="B19" s="268">
        <f>'Prior Year'!G86</f>
        <v>0</v>
      </c>
      <c r="C19" s="268">
        <f>data!G85</f>
        <v>0</v>
      </c>
      <c r="D19" s="268">
        <f>'Prior Year'!G60</f>
        <v>0</v>
      </c>
      <c r="E19" s="1">
        <f>data!G59</f>
        <v>0</v>
      </c>
      <c r="F19" s="232" t="str">
        <f t="shared" si="0"/>
        <v/>
      </c>
      <c r="G19" s="232" t="str">
        <f t="shared" si="1"/>
        <v/>
      </c>
      <c r="H19" s="6" t="str">
        <f t="shared" si="2"/>
        <v/>
      </c>
      <c r="I19" s="268" t="str">
        <f t="shared" si="3"/>
        <v>Please provide explanation for the fluctuation noted here</v>
      </c>
      <c r="M19" s="7"/>
    </row>
    <row r="20" spans="1:13" x14ac:dyDescent="0.25">
      <c r="A20" s="1" t="s">
        <v>712</v>
      </c>
      <c r="B20" s="268">
        <f>'Prior Year'!H86</f>
        <v>0</v>
      </c>
      <c r="C20" s="268">
        <f>data!H85</f>
        <v>0</v>
      </c>
      <c r="D20" s="268">
        <f>'Prior Year'!H60</f>
        <v>0</v>
      </c>
      <c r="E20" s="1">
        <f>data!H59</f>
        <v>0</v>
      </c>
      <c r="F20" s="232" t="str">
        <f t="shared" si="0"/>
        <v/>
      </c>
      <c r="G20" s="232" t="str">
        <f t="shared" si="1"/>
        <v/>
      </c>
      <c r="H20" s="6" t="str">
        <f t="shared" si="2"/>
        <v/>
      </c>
      <c r="I20" s="268" t="str">
        <f t="shared" si="3"/>
        <v>Please provide explanation for the fluctuation noted here</v>
      </c>
      <c r="M20" s="7"/>
    </row>
    <row r="21" spans="1:13" x14ac:dyDescent="0.25">
      <c r="A21" s="1" t="s">
        <v>713</v>
      </c>
      <c r="B21" s="268">
        <f>'Prior Year'!I86</f>
        <v>0</v>
      </c>
      <c r="C21" s="268">
        <f>data!I85</f>
        <v>0</v>
      </c>
      <c r="D21" s="268">
        <f>'Prior Year'!I60</f>
        <v>0</v>
      </c>
      <c r="E21" s="1">
        <f>data!I59</f>
        <v>0</v>
      </c>
      <c r="F21" s="232" t="str">
        <f t="shared" si="0"/>
        <v/>
      </c>
      <c r="G21" s="232" t="str">
        <f t="shared" si="1"/>
        <v/>
      </c>
      <c r="H21" s="6" t="str">
        <f t="shared" si="2"/>
        <v/>
      </c>
      <c r="I21" s="268" t="str">
        <f t="shared" si="3"/>
        <v>Please provide explanation for the fluctuation noted here</v>
      </c>
      <c r="M21" s="7"/>
    </row>
    <row r="22" spans="1:13" x14ac:dyDescent="0.25">
      <c r="A22" s="1" t="s">
        <v>714</v>
      </c>
      <c r="B22" s="268">
        <f>'Prior Year'!J86</f>
        <v>345044.37855327019</v>
      </c>
      <c r="C22" s="268">
        <f>data!J85</f>
        <v>317309</v>
      </c>
      <c r="D22" s="268">
        <f>'Prior Year'!J60</f>
        <v>162</v>
      </c>
      <c r="E22" s="1">
        <f>data!J59</f>
        <v>161</v>
      </c>
      <c r="F22" s="232">
        <f t="shared" si="0"/>
        <v>2129.9035713164826</v>
      </c>
      <c r="G22" s="232">
        <f t="shared" si="1"/>
        <v>1970.8633540372671</v>
      </c>
      <c r="H22" s="6" t="str">
        <f t="shared" si="2"/>
        <v/>
      </c>
      <c r="I22" s="268" t="str">
        <f t="shared" si="3"/>
        <v>Please provide explanation for the fluctuation noted here</v>
      </c>
      <c r="M22" s="7"/>
    </row>
    <row r="23" spans="1:13" x14ac:dyDescent="0.25">
      <c r="A23" s="1" t="s">
        <v>715</v>
      </c>
      <c r="B23" s="268">
        <f>'Prior Year'!K86</f>
        <v>0</v>
      </c>
      <c r="C23" s="268">
        <f>data!K85</f>
        <v>0</v>
      </c>
      <c r="D23" s="268">
        <f>'Prior Year'!K60</f>
        <v>0</v>
      </c>
      <c r="E23" s="1">
        <f>data!K59</f>
        <v>0</v>
      </c>
      <c r="F23" s="232" t="str">
        <f t="shared" si="0"/>
        <v/>
      </c>
      <c r="G23" s="232" t="str">
        <f t="shared" si="1"/>
        <v/>
      </c>
      <c r="H23" s="6" t="str">
        <f t="shared" si="2"/>
        <v/>
      </c>
      <c r="I23" s="268" t="str">
        <f t="shared" si="3"/>
        <v>Please provide explanation for the fluctuation noted here</v>
      </c>
      <c r="M23" s="7"/>
    </row>
    <row r="24" spans="1:13" x14ac:dyDescent="0.25">
      <c r="A24" s="1" t="s">
        <v>716</v>
      </c>
      <c r="B24" s="268">
        <f>'Prior Year'!L86</f>
        <v>270502.8523226254</v>
      </c>
      <c r="C24" s="268">
        <f>data!L85</f>
        <v>185277</v>
      </c>
      <c r="D24" s="268">
        <f>'Prior Year'!L60</f>
        <v>127</v>
      </c>
      <c r="E24" s="1">
        <f>data!L59</f>
        <v>94</v>
      </c>
      <c r="F24" s="232">
        <f t="shared" si="0"/>
        <v>2129.9437190757908</v>
      </c>
      <c r="G24" s="232">
        <f t="shared" si="1"/>
        <v>1971.0319148936171</v>
      </c>
      <c r="H24" s="6" t="str">
        <f t="shared" si="2"/>
        <v/>
      </c>
      <c r="I24" s="268" t="str">
        <f t="shared" si="3"/>
        <v>Please provide explanation for the fluctuation noted here</v>
      </c>
      <c r="M24" s="7"/>
    </row>
    <row r="25" spans="1:13" x14ac:dyDescent="0.25">
      <c r="A25" s="1" t="s">
        <v>717</v>
      </c>
      <c r="B25" s="268">
        <f>'Prior Year'!M86</f>
        <v>1914611</v>
      </c>
      <c r="C25" s="268">
        <f>data!M85</f>
        <v>1638935</v>
      </c>
      <c r="D25" s="268">
        <f>'Prior Year'!M60</f>
        <v>16183</v>
      </c>
      <c r="E25" s="1">
        <f>data!M59</f>
        <v>16183</v>
      </c>
      <c r="F25" s="232">
        <f t="shared" si="0"/>
        <v>118.31001668417476</v>
      </c>
      <c r="G25" s="232">
        <f t="shared" si="1"/>
        <v>101.2751035036767</v>
      </c>
      <c r="H25" s="6" t="str">
        <f t="shared" si="2"/>
        <v/>
      </c>
      <c r="I25" s="268" t="str">
        <f t="shared" si="3"/>
        <v>Please provide explanation for the fluctuation noted here</v>
      </c>
      <c r="M25" s="7"/>
    </row>
    <row r="26" spans="1:13" x14ac:dyDescent="0.25">
      <c r="A26" s="1" t="s">
        <v>718</v>
      </c>
      <c r="B26" s="1">
        <f>'Prior Year'!N86</f>
        <v>0</v>
      </c>
      <c r="C26" s="268">
        <f>data!N85</f>
        <v>0</v>
      </c>
      <c r="D26" s="268">
        <f>'Prior Year'!N60</f>
        <v>0</v>
      </c>
      <c r="E26" s="1">
        <f>data!N59</f>
        <v>0</v>
      </c>
      <c r="F26" s="232" t="str">
        <f t="shared" si="0"/>
        <v/>
      </c>
      <c r="G26" s="232" t="str">
        <f t="shared" si="1"/>
        <v/>
      </c>
      <c r="H26" s="6" t="str">
        <f t="shared" si="2"/>
        <v/>
      </c>
      <c r="I26" s="268" t="str">
        <f t="shared" si="3"/>
        <v>Please provide explanation for the fluctuation noted here</v>
      </c>
      <c r="M26" s="7"/>
    </row>
    <row r="27" spans="1:13" x14ac:dyDescent="0.25">
      <c r="A27" s="1" t="s">
        <v>719</v>
      </c>
      <c r="B27" s="268">
        <f>'Prior Year'!O86</f>
        <v>185312.53663045989</v>
      </c>
      <c r="C27" s="268">
        <f>data!O85</f>
        <v>122212</v>
      </c>
      <c r="D27" s="268">
        <f>'Prior Year'!O60</f>
        <v>87</v>
      </c>
      <c r="E27" s="1">
        <f>data!O59</f>
        <v>62</v>
      </c>
      <c r="F27" s="232">
        <f t="shared" si="0"/>
        <v>2130.0291566719529</v>
      </c>
      <c r="G27" s="232">
        <f t="shared" si="1"/>
        <v>1971.1612903225807</v>
      </c>
      <c r="H27" s="6" t="str">
        <f t="shared" si="2"/>
        <v/>
      </c>
      <c r="I27" s="268" t="str">
        <f t="shared" si="3"/>
        <v>Please provide explanation for the fluctuation noted here</v>
      </c>
      <c r="M27" s="7"/>
    </row>
    <row r="28" spans="1:13" x14ac:dyDescent="0.25">
      <c r="A28" s="1" t="s">
        <v>720</v>
      </c>
      <c r="B28" s="268">
        <f>'Prior Year'!P86</f>
        <v>3310703</v>
      </c>
      <c r="C28" s="268">
        <f>data!P85</f>
        <v>3304883</v>
      </c>
      <c r="D28" s="268">
        <f>'Prior Year'!P60</f>
        <v>202480</v>
      </c>
      <c r="E28" s="1">
        <f>data!P59</f>
        <v>187173</v>
      </c>
      <c r="F28" s="232">
        <f t="shared" si="0"/>
        <v>16.350765507704466</v>
      </c>
      <c r="G28" s="232">
        <f t="shared" si="1"/>
        <v>17.656836188980247</v>
      </c>
      <c r="H28" s="6" t="str">
        <f t="shared" si="2"/>
        <v/>
      </c>
      <c r="I28" s="268" t="str">
        <f t="shared" si="3"/>
        <v>Please provide explanation for the fluctuation noted here</v>
      </c>
      <c r="M28" s="7"/>
    </row>
    <row r="29" spans="1:13" x14ac:dyDescent="0.25">
      <c r="A29" s="1" t="s">
        <v>721</v>
      </c>
      <c r="B29" s="268">
        <f>'Prior Year'!Q86</f>
        <v>870664</v>
      </c>
      <c r="C29" s="268">
        <f>data!Q85</f>
        <v>837913</v>
      </c>
      <c r="D29" s="268">
        <f>'Prior Year'!Q60</f>
        <v>42396</v>
      </c>
      <c r="E29" s="1">
        <f>data!Q59</f>
        <v>36897</v>
      </c>
      <c r="F29" s="232">
        <f t="shared" si="0"/>
        <v>20.536465704311727</v>
      </c>
      <c r="G29" s="232">
        <f t="shared" si="1"/>
        <v>22.709515678781472</v>
      </c>
      <c r="H29" s="6" t="str">
        <f t="shared" si="2"/>
        <v/>
      </c>
      <c r="I29" s="268" t="str">
        <f t="shared" si="3"/>
        <v>Please provide explanation for the fluctuation noted here</v>
      </c>
      <c r="M29" s="7"/>
    </row>
    <row r="30" spans="1:13" x14ac:dyDescent="0.25">
      <c r="A30" s="1" t="s">
        <v>722</v>
      </c>
      <c r="B30" s="268">
        <f>'Prior Year'!R86</f>
        <v>1658612</v>
      </c>
      <c r="C30" s="268">
        <f>data!R85</f>
        <v>1676219</v>
      </c>
      <c r="D30" s="268">
        <f>'Prior Year'!R60</f>
        <v>201254</v>
      </c>
      <c r="E30" s="1">
        <f>data!R59</f>
        <v>187173</v>
      </c>
      <c r="F30" s="232">
        <f t="shared" si="0"/>
        <v>8.241386506603595</v>
      </c>
      <c r="G30" s="232">
        <f>IFERROR(IF(C30=0,"",IF(E30=0,"",C30/E30)),"")</f>
        <v>8.9554529766579574</v>
      </c>
      <c r="H30" s="6" t="str">
        <f t="shared" si="2"/>
        <v/>
      </c>
      <c r="I30" s="268" t="str">
        <f t="shared" si="3"/>
        <v>Please provide explanation for the fluctuation noted here</v>
      </c>
      <c r="M30" s="7"/>
    </row>
    <row r="31" spans="1:13" x14ac:dyDescent="0.25">
      <c r="A31" s="1" t="s">
        <v>723</v>
      </c>
      <c r="B31" s="268">
        <f>'Prior Year'!S86</f>
        <v>3600449</v>
      </c>
      <c r="C31" s="268">
        <f>data!S85</f>
        <v>3956837</v>
      </c>
      <c r="D31" s="268" t="s">
        <v>724</v>
      </c>
      <c r="E31" s="4" t="s">
        <v>724</v>
      </c>
      <c r="F31" s="232"/>
      <c r="G31" s="232" t="str">
        <f t="shared" ref="G31:G32" si="4">IFERROR(IF(C31=0,"",IF(E31=0,"",C31/E31)),"")</f>
        <v/>
      </c>
      <c r="H31" s="6"/>
      <c r="I31" s="268" t="str">
        <f t="shared" si="3"/>
        <v/>
      </c>
      <c r="M31" s="7"/>
    </row>
    <row r="32" spans="1:13" x14ac:dyDescent="0.25">
      <c r="A32" s="1" t="s">
        <v>725</v>
      </c>
      <c r="B32" s="268">
        <f>'Prior Year'!T86</f>
        <v>0</v>
      </c>
      <c r="C32" s="268">
        <f>data!T85</f>
        <v>0</v>
      </c>
      <c r="D32" s="268" t="s">
        <v>724</v>
      </c>
      <c r="E32" s="4" t="s">
        <v>724</v>
      </c>
      <c r="F32" s="232" t="str">
        <f t="shared" si="0"/>
        <v/>
      </c>
      <c r="G32" s="232" t="str">
        <f t="shared" si="4"/>
        <v/>
      </c>
      <c r="H32" s="6" t="str">
        <f t="shared" si="2"/>
        <v/>
      </c>
      <c r="I32" s="268" t="str">
        <f t="shared" si="3"/>
        <v>Please provide explanation for the fluctuation noted here</v>
      </c>
      <c r="M32" s="7"/>
    </row>
    <row r="33" spans="1:13" x14ac:dyDescent="0.25">
      <c r="A33" s="1" t="s">
        <v>726</v>
      </c>
      <c r="B33" s="268">
        <f>'Prior Year'!U86</f>
        <v>7587469</v>
      </c>
      <c r="C33" s="268">
        <f>data!U85</f>
        <v>7064355</v>
      </c>
      <c r="D33" s="268">
        <f>'Prior Year'!U60</f>
        <v>275292</v>
      </c>
      <c r="E33" s="1">
        <f>data!U59</f>
        <v>249460</v>
      </c>
      <c r="F33" s="232">
        <f t="shared" si="0"/>
        <v>27.561531028871162</v>
      </c>
      <c r="G33" s="232">
        <f t="shared" ref="G33:G69" si="5">IF(C33=0,"",IF(E33=0,"",C33/E33))</f>
        <v>28.318588150404874</v>
      </c>
      <c r="H33" s="6" t="str">
        <f t="shared" si="2"/>
        <v/>
      </c>
      <c r="I33" s="268" t="str">
        <f t="shared" si="3"/>
        <v>Please provide explanation for the fluctuation noted here</v>
      </c>
      <c r="M33" s="7"/>
    </row>
    <row r="34" spans="1:13" x14ac:dyDescent="0.25">
      <c r="A34" s="1" t="s">
        <v>727</v>
      </c>
      <c r="B34" s="268">
        <f>'Prior Year'!V86</f>
        <v>0</v>
      </c>
      <c r="C34" s="268">
        <f>data!V85</f>
        <v>0</v>
      </c>
      <c r="D34" s="268">
        <f>'Prior Year'!V60</f>
        <v>0</v>
      </c>
      <c r="E34" s="1">
        <f>data!V59</f>
        <v>0</v>
      </c>
      <c r="F34" s="232" t="str">
        <f t="shared" si="0"/>
        <v/>
      </c>
      <c r="G34" s="232" t="str">
        <f t="shared" si="5"/>
        <v/>
      </c>
      <c r="H34" s="6" t="str">
        <f t="shared" si="2"/>
        <v/>
      </c>
      <c r="I34" s="268" t="str">
        <f t="shared" si="3"/>
        <v>Please provide explanation for the fluctuation noted here</v>
      </c>
      <c r="M34" s="7"/>
    </row>
    <row r="35" spans="1:13" ht="45" x14ac:dyDescent="0.25">
      <c r="A35" s="1" t="s">
        <v>728</v>
      </c>
      <c r="B35" s="268">
        <f>'Prior Year'!W86</f>
        <v>279051</v>
      </c>
      <c r="C35" s="268">
        <f>data!W85</f>
        <v>381746</v>
      </c>
      <c r="D35" s="268">
        <f>'Prior Year'!W60</f>
        <v>2482</v>
      </c>
      <c r="E35" s="1">
        <f>data!W59</f>
        <v>2448</v>
      </c>
      <c r="F35" s="232">
        <f t="shared" si="0"/>
        <v>112.42989524576954</v>
      </c>
      <c r="G35" s="232">
        <f t="shared" si="5"/>
        <v>155.94199346405227</v>
      </c>
      <c r="H35" s="6">
        <f t="shared" si="2"/>
        <v>0.3870153763210944</v>
      </c>
      <c r="I35" s="339" t="s">
        <v>1378</v>
      </c>
      <c r="M35" s="7"/>
    </row>
    <row r="36" spans="1:13" ht="45" x14ac:dyDescent="0.25">
      <c r="A36" s="1" t="s">
        <v>729</v>
      </c>
      <c r="B36" s="268">
        <f>'Prior Year'!X86</f>
        <v>777482</v>
      </c>
      <c r="C36" s="268">
        <f>data!X85</f>
        <v>1093334</v>
      </c>
      <c r="D36" s="268">
        <f>'Prior Year'!X60</f>
        <v>6915</v>
      </c>
      <c r="E36" s="1">
        <f>data!X59</f>
        <v>7011</v>
      </c>
      <c r="F36" s="232">
        <f t="shared" si="0"/>
        <v>112.43412870571223</v>
      </c>
      <c r="G36" s="232">
        <f t="shared" si="5"/>
        <v>155.94551419198402</v>
      </c>
      <c r="H36" s="6">
        <f t="shared" si="2"/>
        <v>0.38699446500056522</v>
      </c>
      <c r="I36" s="339" t="str">
        <f>I35</f>
        <v>Professional fees for the Radiology dept (which includes MRI, CT, and Nuc Med) increased by over $700,000 in FY22 as compared to the PY.</v>
      </c>
      <c r="M36" s="7"/>
    </row>
    <row r="37" spans="1:13" ht="45" x14ac:dyDescent="0.25">
      <c r="A37" s="1" t="s">
        <v>730</v>
      </c>
      <c r="B37" s="268">
        <f>'Prior Year'!Y86</f>
        <v>3112374</v>
      </c>
      <c r="C37" s="268">
        <f>data!Y85</f>
        <v>4189796</v>
      </c>
      <c r="D37" s="268">
        <f>'Prior Year'!Y60</f>
        <v>27682</v>
      </c>
      <c r="E37" s="1">
        <f>data!Y59</f>
        <v>26867</v>
      </c>
      <c r="F37" s="232">
        <f t="shared" si="0"/>
        <v>112.43313344411531</v>
      </c>
      <c r="G37" s="232">
        <f t="shared" si="5"/>
        <v>155.9458071239811</v>
      </c>
      <c r="H37" s="6">
        <f t="shared" si="2"/>
        <v>0.38700934810727916</v>
      </c>
      <c r="I37" s="339" t="str">
        <f>I35</f>
        <v>Professional fees for the Radiology dept (which includes MRI, CT, and Nuc Med) increased by over $700,000 in FY22 as compared to the PY.</v>
      </c>
      <c r="M37" s="7"/>
    </row>
    <row r="38" spans="1:13" x14ac:dyDescent="0.25">
      <c r="A38" s="1" t="s">
        <v>731</v>
      </c>
      <c r="B38" s="268">
        <f>'Prior Year'!Z86</f>
        <v>0</v>
      </c>
      <c r="C38" s="268">
        <f>data!Z85</f>
        <v>0</v>
      </c>
      <c r="D38" s="268">
        <f>'Prior Year'!Z60</f>
        <v>0</v>
      </c>
      <c r="E38" s="1">
        <f>data!Z59</f>
        <v>0</v>
      </c>
      <c r="F38" s="232" t="str">
        <f t="shared" si="0"/>
        <v/>
      </c>
      <c r="G38" s="232" t="str">
        <f t="shared" si="5"/>
        <v/>
      </c>
      <c r="H38" s="6" t="str">
        <f t="shared" si="2"/>
        <v/>
      </c>
      <c r="I38" s="268" t="str">
        <f t="shared" si="3"/>
        <v>Please provide explanation for the fluctuation noted here</v>
      </c>
      <c r="M38" s="7"/>
    </row>
    <row r="39" spans="1:13" ht="45" x14ac:dyDescent="0.25">
      <c r="A39" s="1" t="s">
        <v>732</v>
      </c>
      <c r="B39" s="268">
        <f>'Prior Year'!AA86</f>
        <v>65219</v>
      </c>
      <c r="C39" s="268">
        <f>data!AA85</f>
        <v>75333</v>
      </c>
      <c r="D39" s="268">
        <f>'Prior Year'!AA60</f>
        <v>580</v>
      </c>
      <c r="E39" s="1">
        <f>data!AA59</f>
        <v>483</v>
      </c>
      <c r="F39" s="232">
        <f t="shared" si="0"/>
        <v>112.44655172413793</v>
      </c>
      <c r="G39" s="232">
        <f t="shared" si="5"/>
        <v>155.96894409937889</v>
      </c>
      <c r="H39" s="6">
        <f t="shared" si="2"/>
        <v>0.38704959563378383</v>
      </c>
      <c r="I39" s="339" t="str">
        <f>I35</f>
        <v>Professional fees for the Radiology dept (which includes MRI, CT, and Nuc Med) increased by over $700,000 in FY22 as compared to the PY.</v>
      </c>
      <c r="M39" s="7"/>
    </row>
    <row r="40" spans="1:13" x14ac:dyDescent="0.25">
      <c r="A40" s="1" t="s">
        <v>733</v>
      </c>
      <c r="B40" s="268">
        <f>'Prior Year'!AB86</f>
        <v>20498516</v>
      </c>
      <c r="C40" s="268">
        <f>data!AB85</f>
        <v>22712689</v>
      </c>
      <c r="D40" s="268" t="s">
        <v>724</v>
      </c>
      <c r="E40" s="4" t="s">
        <v>724</v>
      </c>
      <c r="F40" s="232"/>
      <c r="G40" s="232" t="str">
        <f>IFERROR(IF(C40=0,"",IF(E40=0,"",C40/E40)),"")</f>
        <v/>
      </c>
      <c r="H40" s="6"/>
      <c r="I40" s="268" t="str">
        <f t="shared" si="3"/>
        <v/>
      </c>
      <c r="M40" s="7"/>
    </row>
    <row r="41" spans="1:13" ht="30" x14ac:dyDescent="0.25">
      <c r="A41" s="1" t="s">
        <v>734</v>
      </c>
      <c r="B41" s="268">
        <f>'Prior Year'!AC86</f>
        <v>1949324</v>
      </c>
      <c r="C41" s="268">
        <f>data!AC85</f>
        <v>2387299</v>
      </c>
      <c r="D41" s="268">
        <f>'Prior Year'!AC60</f>
        <v>38682</v>
      </c>
      <c r="E41" s="1">
        <f>data!AC59</f>
        <v>37190</v>
      </c>
      <c r="F41" s="232">
        <f t="shared" si="0"/>
        <v>50.393568067835169</v>
      </c>
      <c r="G41" s="232">
        <f t="shared" si="5"/>
        <v>64.191960204356008</v>
      </c>
      <c r="H41" s="6">
        <f t="shared" si="2"/>
        <v>0.27381256508661411</v>
      </c>
      <c r="I41" s="339" t="s">
        <v>1380</v>
      </c>
      <c r="M41" s="7"/>
    </row>
    <row r="42" spans="1:13" x14ac:dyDescent="0.25">
      <c r="A42" s="1" t="s">
        <v>735</v>
      </c>
      <c r="B42" s="268">
        <f>'Prior Year'!AD86</f>
        <v>0</v>
      </c>
      <c r="C42" s="268">
        <f>data!AD85</f>
        <v>0</v>
      </c>
      <c r="D42" s="268">
        <f>'Prior Year'!AD60</f>
        <v>0</v>
      </c>
      <c r="E42" s="1">
        <f>data!AD59</f>
        <v>0</v>
      </c>
      <c r="F42" s="232" t="str">
        <f t="shared" si="0"/>
        <v/>
      </c>
      <c r="G42" s="232" t="str">
        <f t="shared" si="5"/>
        <v/>
      </c>
      <c r="H42" s="6" t="str">
        <f t="shared" si="2"/>
        <v/>
      </c>
      <c r="I42" s="268" t="str">
        <f t="shared" si="3"/>
        <v>Please provide explanation for the fluctuation noted here</v>
      </c>
      <c r="M42" s="7"/>
    </row>
    <row r="43" spans="1:13" x14ac:dyDescent="0.25">
      <c r="A43" s="1" t="s">
        <v>736</v>
      </c>
      <c r="B43" s="268">
        <f>'Prior Year'!AE86</f>
        <v>4000183</v>
      </c>
      <c r="C43" s="268">
        <f>data!AE85</f>
        <v>4177132</v>
      </c>
      <c r="D43" s="268">
        <f>'Prior Year'!AE60</f>
        <v>102140</v>
      </c>
      <c r="E43" s="1">
        <f>data!AE59</f>
        <v>94355</v>
      </c>
      <c r="F43" s="232">
        <f t="shared" si="0"/>
        <v>39.163726258077148</v>
      </c>
      <c r="G43" s="232">
        <f t="shared" si="5"/>
        <v>44.270383127550211</v>
      </c>
      <c r="H43" s="6" t="str">
        <f t="shared" si="2"/>
        <v/>
      </c>
      <c r="I43" s="268" t="str">
        <f t="shared" si="3"/>
        <v>Please provide explanation for the fluctuation noted here</v>
      </c>
      <c r="M43" s="7"/>
    </row>
    <row r="44" spans="1:13" x14ac:dyDescent="0.25">
      <c r="A44" s="1" t="s">
        <v>737</v>
      </c>
      <c r="B44" s="268">
        <f>'Prior Year'!AF86</f>
        <v>0</v>
      </c>
      <c r="C44" s="268">
        <f>data!AF85</f>
        <v>0</v>
      </c>
      <c r="D44" s="268">
        <f>'Prior Year'!AF60</f>
        <v>0</v>
      </c>
      <c r="E44" s="1">
        <f>data!AF59</f>
        <v>0</v>
      </c>
      <c r="F44" s="232" t="str">
        <f t="shared" si="0"/>
        <v/>
      </c>
      <c r="G44" s="232" t="str">
        <f t="shared" si="5"/>
        <v/>
      </c>
      <c r="H44" s="6" t="str">
        <f t="shared" si="2"/>
        <v/>
      </c>
      <c r="I44" s="268" t="str">
        <f t="shared" si="3"/>
        <v>Please provide explanation for the fluctuation noted here</v>
      </c>
      <c r="M44" s="7"/>
    </row>
    <row r="45" spans="1:13" x14ac:dyDescent="0.25">
      <c r="A45" s="1" t="s">
        <v>738</v>
      </c>
      <c r="B45" s="268">
        <f>'Prior Year'!AG86</f>
        <v>6522857</v>
      </c>
      <c r="C45" s="268">
        <f>data!AG85</f>
        <v>7444947</v>
      </c>
      <c r="D45" s="268">
        <f>'Prior Year'!AG60</f>
        <v>12074</v>
      </c>
      <c r="E45" s="1">
        <f>data!AG59</f>
        <v>12941</v>
      </c>
      <c r="F45" s="232">
        <f t="shared" si="0"/>
        <v>540.2399370548286</v>
      </c>
      <c r="G45" s="232">
        <f t="shared" si="5"/>
        <v>575.29920408005569</v>
      </c>
      <c r="H45" s="6" t="str">
        <f t="shared" si="2"/>
        <v/>
      </c>
      <c r="I45" s="268" t="str">
        <f t="shared" si="3"/>
        <v>Please provide explanation for the fluctuation noted here</v>
      </c>
      <c r="M45" s="7"/>
    </row>
    <row r="46" spans="1:13" x14ac:dyDescent="0.25">
      <c r="A46" s="1" t="s">
        <v>739</v>
      </c>
      <c r="B46" s="268">
        <f>'Prior Year'!AH86</f>
        <v>0</v>
      </c>
      <c r="C46" s="268">
        <f>data!AH85</f>
        <v>0</v>
      </c>
      <c r="D46" s="268">
        <f>'Prior Year'!AH60</f>
        <v>0</v>
      </c>
      <c r="E46" s="1">
        <f>data!AH59</f>
        <v>0</v>
      </c>
      <c r="F46" s="232" t="str">
        <f t="shared" si="0"/>
        <v/>
      </c>
      <c r="G46" s="232" t="str">
        <f t="shared" si="5"/>
        <v/>
      </c>
      <c r="H46" s="6" t="str">
        <f t="shared" si="2"/>
        <v/>
      </c>
      <c r="I46" s="268" t="str">
        <f t="shared" si="3"/>
        <v>Please provide explanation for the fluctuation noted here</v>
      </c>
      <c r="M46" s="7"/>
    </row>
    <row r="47" spans="1:13" x14ac:dyDescent="0.25">
      <c r="A47" s="1" t="s">
        <v>740</v>
      </c>
      <c r="B47" s="268">
        <f>'Prior Year'!AI86</f>
        <v>0</v>
      </c>
      <c r="C47" s="268">
        <f>data!AI85</f>
        <v>0</v>
      </c>
      <c r="D47" s="268">
        <f>'Prior Year'!AI60</f>
        <v>0</v>
      </c>
      <c r="E47" s="1">
        <f>data!AI59</f>
        <v>0</v>
      </c>
      <c r="F47" s="232" t="str">
        <f t="shared" si="0"/>
        <v/>
      </c>
      <c r="G47" s="232" t="str">
        <f t="shared" si="5"/>
        <v/>
      </c>
      <c r="H47" s="6" t="str">
        <f t="shared" si="2"/>
        <v/>
      </c>
      <c r="I47" s="268" t="str">
        <f t="shared" ref="I47:I78" si="6">IF(H47&gt;ABS(25%),"Please provide explanation for the fluctuation noted here","")</f>
        <v>Please provide explanation for the fluctuation noted here</v>
      </c>
      <c r="M47" s="7"/>
    </row>
    <row r="48" spans="1:13" x14ac:dyDescent="0.25">
      <c r="A48" s="1" t="s">
        <v>741</v>
      </c>
      <c r="B48" s="268">
        <f>'Prior Year'!AJ86</f>
        <v>33777384</v>
      </c>
      <c r="C48" s="268">
        <f>data!AJ85</f>
        <v>36627655</v>
      </c>
      <c r="D48" s="268">
        <f>'Prior Year'!AJ60</f>
        <v>96734</v>
      </c>
      <c r="E48" s="1">
        <f>data!AJ59</f>
        <v>111252</v>
      </c>
      <c r="F48" s="232">
        <f t="shared" si="0"/>
        <v>349.17799325986726</v>
      </c>
      <c r="G48" s="232">
        <f t="shared" si="5"/>
        <v>329.23142954733396</v>
      </c>
      <c r="H48" s="6" t="str">
        <f t="shared" si="2"/>
        <v/>
      </c>
      <c r="I48" s="268" t="str">
        <f t="shared" si="6"/>
        <v>Please provide explanation for the fluctuation noted here</v>
      </c>
      <c r="M48" s="7"/>
    </row>
    <row r="49" spans="1:13" x14ac:dyDescent="0.25">
      <c r="A49" s="1" t="s">
        <v>742</v>
      </c>
      <c r="B49" s="268">
        <f>'Prior Year'!AK86</f>
        <v>0</v>
      </c>
      <c r="C49" s="268">
        <f>data!AK85</f>
        <v>0</v>
      </c>
      <c r="D49" s="268">
        <f>'Prior Year'!AK60</f>
        <v>0</v>
      </c>
      <c r="E49" s="1">
        <f>data!AK59</f>
        <v>0</v>
      </c>
      <c r="F49" s="232" t="str">
        <f t="shared" si="0"/>
        <v/>
      </c>
      <c r="G49" s="232" t="str">
        <f t="shared" si="5"/>
        <v/>
      </c>
      <c r="H49" s="6" t="str">
        <f t="shared" si="2"/>
        <v/>
      </c>
      <c r="I49" s="268" t="str">
        <f t="shared" si="6"/>
        <v>Please provide explanation for the fluctuation noted here</v>
      </c>
      <c r="M49" s="7"/>
    </row>
    <row r="50" spans="1:13" x14ac:dyDescent="0.25">
      <c r="A50" s="1" t="s">
        <v>743</v>
      </c>
      <c r="B50" s="268">
        <f>'Prior Year'!AL86</f>
        <v>0</v>
      </c>
      <c r="C50" s="268">
        <f>data!AL85</f>
        <v>0</v>
      </c>
      <c r="D50" s="268">
        <f>'Prior Year'!AL60</f>
        <v>0</v>
      </c>
      <c r="E50" s="1">
        <f>data!AL59</f>
        <v>0</v>
      </c>
      <c r="F50" s="232" t="str">
        <f t="shared" si="0"/>
        <v/>
      </c>
      <c r="G50" s="232" t="str">
        <f t="shared" si="5"/>
        <v/>
      </c>
      <c r="H50" s="6" t="str">
        <f t="shared" si="2"/>
        <v/>
      </c>
      <c r="I50" s="268" t="str">
        <f t="shared" si="6"/>
        <v>Please provide explanation for the fluctuation noted here</v>
      </c>
      <c r="M50" s="7"/>
    </row>
    <row r="51" spans="1:13" x14ac:dyDescent="0.25">
      <c r="A51" s="1" t="s">
        <v>744</v>
      </c>
      <c r="B51" s="268">
        <f>'Prior Year'!AM86</f>
        <v>0</v>
      </c>
      <c r="C51" s="268">
        <f>data!AM85</f>
        <v>0</v>
      </c>
      <c r="D51" s="268">
        <f>'Prior Year'!AM60</f>
        <v>0</v>
      </c>
      <c r="E51" s="1">
        <f>data!AM59</f>
        <v>0</v>
      </c>
      <c r="F51" s="232" t="str">
        <f t="shared" si="0"/>
        <v/>
      </c>
      <c r="G51" s="232" t="str">
        <f t="shared" si="5"/>
        <v/>
      </c>
      <c r="H51" s="6" t="str">
        <f t="shared" si="2"/>
        <v/>
      </c>
      <c r="I51" s="268" t="str">
        <f t="shared" si="6"/>
        <v>Please provide explanation for the fluctuation noted here</v>
      </c>
      <c r="M51" s="7"/>
    </row>
    <row r="52" spans="1:13" x14ac:dyDescent="0.25">
      <c r="A52" s="1" t="s">
        <v>745</v>
      </c>
      <c r="B52" s="268">
        <f>'Prior Year'!AN86</f>
        <v>0</v>
      </c>
      <c r="C52" s="268">
        <f>data!AN85</f>
        <v>0</v>
      </c>
      <c r="D52" s="268">
        <f>'Prior Year'!AN60</f>
        <v>0</v>
      </c>
      <c r="E52" s="1">
        <f>data!AN59</f>
        <v>0</v>
      </c>
      <c r="F52" s="232" t="str">
        <f t="shared" si="0"/>
        <v/>
      </c>
      <c r="G52" s="232" t="str">
        <f t="shared" si="5"/>
        <v/>
      </c>
      <c r="H52" s="6" t="str">
        <f t="shared" si="2"/>
        <v/>
      </c>
      <c r="I52" s="268" t="str">
        <f t="shared" si="6"/>
        <v>Please provide explanation for the fluctuation noted here</v>
      </c>
      <c r="M52" s="7"/>
    </row>
    <row r="53" spans="1:13" x14ac:dyDescent="0.25">
      <c r="A53" s="1" t="s">
        <v>746</v>
      </c>
      <c r="B53" s="268">
        <f>'Prior Year'!AO86</f>
        <v>724144.68338340649</v>
      </c>
      <c r="C53" s="268">
        <f>data!AO85</f>
        <v>812034</v>
      </c>
      <c r="D53" s="268">
        <f>'Prior Year'!AO60</f>
        <v>8160</v>
      </c>
      <c r="E53" s="1">
        <f>data!AO59</f>
        <v>9888</v>
      </c>
      <c r="F53" s="232">
        <f t="shared" si="0"/>
        <v>88.743221002868438</v>
      </c>
      <c r="G53" s="232">
        <f t="shared" si="5"/>
        <v>82.123179611650485</v>
      </c>
      <c r="H53" s="6" t="str">
        <f t="shared" si="2"/>
        <v/>
      </c>
      <c r="I53" s="268" t="str">
        <f t="shared" si="6"/>
        <v>Please provide explanation for the fluctuation noted here</v>
      </c>
      <c r="M53" s="7"/>
    </row>
    <row r="54" spans="1:13" ht="60" x14ac:dyDescent="0.25">
      <c r="A54" s="1" t="s">
        <v>747</v>
      </c>
      <c r="B54" s="268">
        <f>'Prior Year'!AP86</f>
        <v>1405714</v>
      </c>
      <c r="C54" s="268">
        <f>data!AP85</f>
        <v>2523999</v>
      </c>
      <c r="D54" s="268">
        <f>'Prior Year'!AP60</f>
        <v>2051</v>
      </c>
      <c r="E54" s="1">
        <f>data!AP59</f>
        <v>1920</v>
      </c>
      <c r="F54" s="232">
        <f t="shared" si="0"/>
        <v>685.37981472452464</v>
      </c>
      <c r="G54" s="232">
        <f t="shared" si="5"/>
        <v>1314.5828125</v>
      </c>
      <c r="H54" s="6">
        <f t="shared" si="2"/>
        <v>0.91803549544039553</v>
      </c>
      <c r="I54" s="339" t="s">
        <v>1376</v>
      </c>
      <c r="M54" s="7"/>
    </row>
    <row r="55" spans="1:13" x14ac:dyDescent="0.25">
      <c r="A55" s="1" t="s">
        <v>748</v>
      </c>
      <c r="B55" s="268">
        <f>'Prior Year'!AQ86</f>
        <v>0</v>
      </c>
      <c r="C55" s="268">
        <f>data!AQ85</f>
        <v>0</v>
      </c>
      <c r="D55" s="268">
        <f>'Prior Year'!AQ60</f>
        <v>0</v>
      </c>
      <c r="E55" s="1">
        <f>data!AQ59</f>
        <v>0</v>
      </c>
      <c r="F55" s="232" t="str">
        <f t="shared" si="0"/>
        <v/>
      </c>
      <c r="G55" s="232" t="str">
        <f t="shared" si="5"/>
        <v/>
      </c>
      <c r="H55" s="6" t="str">
        <f t="shared" si="2"/>
        <v/>
      </c>
      <c r="I55" s="268" t="str">
        <f t="shared" si="6"/>
        <v>Please provide explanation for the fluctuation noted here</v>
      </c>
      <c r="M55" s="7"/>
    </row>
    <row r="56" spans="1:13" ht="30" x14ac:dyDescent="0.25">
      <c r="A56" s="1" t="s">
        <v>749</v>
      </c>
      <c r="B56" s="268">
        <f>'Prior Year'!AR86</f>
        <v>2784239</v>
      </c>
      <c r="C56" s="268">
        <f>data!AR85</f>
        <v>3286719</v>
      </c>
      <c r="D56" s="268">
        <f>'Prior Year'!AR60</f>
        <v>7790</v>
      </c>
      <c r="E56" s="1">
        <f>data!AR59</f>
        <v>6986</v>
      </c>
      <c r="F56" s="232">
        <f t="shared" si="0"/>
        <v>357.41193838254173</v>
      </c>
      <c r="G56" s="232">
        <f t="shared" si="5"/>
        <v>470.472230174635</v>
      </c>
      <c r="H56" s="6">
        <f t="shared" si="2"/>
        <v>0.31633048494055527</v>
      </c>
      <c r="I56" s="339" t="s">
        <v>1377</v>
      </c>
      <c r="M56" s="7"/>
    </row>
    <row r="57" spans="1:13" x14ac:dyDescent="0.25">
      <c r="A57" s="1" t="s">
        <v>750</v>
      </c>
      <c r="B57" s="268">
        <f>'Prior Year'!AS86</f>
        <v>0</v>
      </c>
      <c r="C57" s="268">
        <f>data!AS85</f>
        <v>0</v>
      </c>
      <c r="D57" s="268">
        <f>'Prior Year'!AS60</f>
        <v>0</v>
      </c>
      <c r="E57" s="1">
        <f>data!AS59</f>
        <v>0</v>
      </c>
      <c r="F57" s="232" t="str">
        <f t="shared" si="0"/>
        <v/>
      </c>
      <c r="G57" s="232" t="str">
        <f t="shared" si="5"/>
        <v/>
      </c>
      <c r="H57" s="6" t="str">
        <f t="shared" si="2"/>
        <v/>
      </c>
      <c r="I57" s="268" t="str">
        <f t="shared" si="6"/>
        <v>Please provide explanation for the fluctuation noted here</v>
      </c>
      <c r="M57" s="7"/>
    </row>
    <row r="58" spans="1:13" x14ac:dyDescent="0.25">
      <c r="A58" s="1" t="s">
        <v>751</v>
      </c>
      <c r="B58" s="268">
        <f>'Prior Year'!AT86</f>
        <v>0</v>
      </c>
      <c r="C58" s="268">
        <f>data!AT85</f>
        <v>0</v>
      </c>
      <c r="D58" s="268">
        <f>'Prior Year'!AT60</f>
        <v>0</v>
      </c>
      <c r="E58" s="1">
        <f>data!AT59</f>
        <v>0</v>
      </c>
      <c r="F58" s="232" t="str">
        <f t="shared" si="0"/>
        <v/>
      </c>
      <c r="G58" s="232" t="str">
        <f t="shared" si="5"/>
        <v/>
      </c>
      <c r="H58" s="6" t="str">
        <f t="shared" si="2"/>
        <v/>
      </c>
      <c r="I58" s="268" t="str">
        <f t="shared" si="6"/>
        <v>Please provide explanation for the fluctuation noted here</v>
      </c>
      <c r="M58" s="7"/>
    </row>
    <row r="59" spans="1:13" x14ac:dyDescent="0.25">
      <c r="A59" s="1" t="s">
        <v>752</v>
      </c>
      <c r="B59" s="268">
        <f>'Prior Year'!AU86</f>
        <v>0</v>
      </c>
      <c r="C59" s="268">
        <f>data!AU85</f>
        <v>0</v>
      </c>
      <c r="D59" s="268">
        <f>'Prior Year'!AU60</f>
        <v>0</v>
      </c>
      <c r="E59" s="1">
        <f>data!AU59</f>
        <v>0</v>
      </c>
      <c r="F59" s="232" t="str">
        <f t="shared" si="0"/>
        <v/>
      </c>
      <c r="G59" s="232" t="str">
        <f t="shared" si="5"/>
        <v/>
      </c>
      <c r="H59" s="6" t="str">
        <f t="shared" si="2"/>
        <v/>
      </c>
      <c r="I59" s="268" t="str">
        <f t="shared" si="6"/>
        <v>Please provide explanation for the fluctuation noted here</v>
      </c>
      <c r="M59" s="7"/>
    </row>
    <row r="60" spans="1:13" x14ac:dyDescent="0.25">
      <c r="A60" s="1" t="s">
        <v>753</v>
      </c>
      <c r="B60" s="268">
        <f>'Prior Year'!AV86</f>
        <v>3110776</v>
      </c>
      <c r="C60" s="268">
        <f>data!AV85</f>
        <v>3394701</v>
      </c>
      <c r="D60" s="268" t="s">
        <v>724</v>
      </c>
      <c r="E60" s="4" t="s">
        <v>724</v>
      </c>
      <c r="F60" s="232"/>
      <c r="G60" s="232"/>
      <c r="H60" s="6"/>
      <c r="I60" s="268" t="str">
        <f t="shared" si="6"/>
        <v/>
      </c>
      <c r="M60" s="7"/>
    </row>
    <row r="61" spans="1:13" x14ac:dyDescent="0.25">
      <c r="A61" s="1" t="s">
        <v>754</v>
      </c>
      <c r="B61" s="268">
        <f>'Prior Year'!AW86</f>
        <v>0</v>
      </c>
      <c r="C61" s="268">
        <f>data!AW85</f>
        <v>0</v>
      </c>
      <c r="D61" s="268" t="s">
        <v>724</v>
      </c>
      <c r="E61" s="4" t="s">
        <v>724</v>
      </c>
      <c r="F61" s="232"/>
      <c r="G61" s="232"/>
      <c r="H61" s="6"/>
      <c r="I61" s="268" t="str">
        <f t="shared" si="6"/>
        <v/>
      </c>
      <c r="M61" s="7"/>
    </row>
    <row r="62" spans="1:13" x14ac:dyDescent="0.25">
      <c r="A62" s="1" t="s">
        <v>755</v>
      </c>
      <c r="B62" s="268">
        <f>'Prior Year'!AX86</f>
        <v>0</v>
      </c>
      <c r="C62" s="268">
        <f>data!AX85</f>
        <v>0</v>
      </c>
      <c r="D62" s="268" t="s">
        <v>724</v>
      </c>
      <c r="E62" s="4" t="s">
        <v>724</v>
      </c>
      <c r="F62" s="232"/>
      <c r="G62" s="232"/>
      <c r="H62" s="6"/>
      <c r="I62" s="268" t="str">
        <f t="shared" si="6"/>
        <v/>
      </c>
      <c r="M62" s="7"/>
    </row>
    <row r="63" spans="1:13" x14ac:dyDescent="0.25">
      <c r="A63" s="1" t="s">
        <v>756</v>
      </c>
      <c r="B63" s="268">
        <f>'Prior Year'!AY86</f>
        <v>1545624</v>
      </c>
      <c r="C63" s="268">
        <f>data!AY85</f>
        <v>1680447</v>
      </c>
      <c r="D63" s="268">
        <f>'Prior Year'!AY60</f>
        <v>15221</v>
      </c>
      <c r="E63" s="1">
        <f>data!AY59</f>
        <v>16852</v>
      </c>
      <c r="F63" s="232">
        <f>IF(B63=0,"",IF(D63=0,"",B63/D63))</f>
        <v>101.54549635372183</v>
      </c>
      <c r="G63" s="232">
        <f t="shared" si="5"/>
        <v>99.717956325658676</v>
      </c>
      <c r="H63" s="6" t="str">
        <f>IF(B63=0,"",IF(C63=0,"",IF(D63=0,"",IF(E63=0,"",IF(G63/F63-1&lt;-0.25,G63/F63-1,IF(G63/F63-1&gt;0.25,G63/F63-1,""))))))</f>
        <v/>
      </c>
      <c r="I63" s="268" t="str">
        <f t="shared" si="6"/>
        <v>Please provide explanation for the fluctuation noted here</v>
      </c>
      <c r="M63" s="7"/>
    </row>
    <row r="64" spans="1:13" x14ac:dyDescent="0.25">
      <c r="A64" s="1" t="s">
        <v>757</v>
      </c>
      <c r="B64" s="268">
        <f>'Prior Year'!AZ86</f>
        <v>0</v>
      </c>
      <c r="C64" s="268">
        <f>data!AZ85</f>
        <v>143973</v>
      </c>
      <c r="D64" s="268">
        <f>'Prior Year'!AZ60</f>
        <v>0</v>
      </c>
      <c r="E64" s="1">
        <f>data!AZ59</f>
        <v>0</v>
      </c>
      <c r="F64" s="232" t="str">
        <f>IF(B64=0,"",IF(D64=0,"",B64/D64))</f>
        <v/>
      </c>
      <c r="G64" s="232" t="str">
        <f t="shared" si="5"/>
        <v/>
      </c>
      <c r="H64" s="6" t="str">
        <f>IF(B64=0,"",IF(C64=0,"",IF(D64=0,"",IF(E64=0,"",IF(G64/F64-1&lt;-0.25,G64/F64-1,IF(G64/F64-1&gt;0.25,G64/F64-1,""))))))</f>
        <v/>
      </c>
      <c r="I64" s="268" t="str">
        <f t="shared" si="6"/>
        <v>Please provide explanation for the fluctuation noted here</v>
      </c>
      <c r="M64" s="7"/>
    </row>
    <row r="65" spans="1:13" x14ac:dyDescent="0.25">
      <c r="A65" s="1" t="s">
        <v>758</v>
      </c>
      <c r="B65" s="268">
        <f>'Prior Year'!BA86</f>
        <v>386095</v>
      </c>
      <c r="C65" s="268">
        <f>data!BA85</f>
        <v>343589</v>
      </c>
      <c r="D65" s="268">
        <f>'Prior Year'!BA60</f>
        <v>0</v>
      </c>
      <c r="E65" s="1">
        <f>data!BA59</f>
        <v>279208</v>
      </c>
      <c r="F65" s="232" t="str">
        <f>IF(B65=0,"",IF(D65=0,"",B65/D65))</f>
        <v/>
      </c>
      <c r="G65" s="232">
        <f t="shared" si="5"/>
        <v>1.2305843672101087</v>
      </c>
      <c r="H65" s="6" t="str">
        <f>IF(B65=0,"",IF(C65=0,"",IF(D65=0,"",IF(E65=0,"",IF(G65/F65-1&lt;-0.25,G65/F65-1,IF(G65/F65-1&gt;0.25,G65/F65-1,""))))))</f>
        <v/>
      </c>
      <c r="I65" s="268" t="str">
        <f t="shared" si="6"/>
        <v>Please provide explanation for the fluctuation noted here</v>
      </c>
      <c r="M65" s="7"/>
    </row>
    <row r="66" spans="1:13" x14ac:dyDescent="0.25">
      <c r="A66" s="1" t="s">
        <v>759</v>
      </c>
      <c r="B66" s="268">
        <f>'Prior Year'!BB86</f>
        <v>0</v>
      </c>
      <c r="C66" s="268">
        <f>data!BB85</f>
        <v>0</v>
      </c>
      <c r="D66" s="268" t="s">
        <v>724</v>
      </c>
      <c r="E66" s="4" t="s">
        <v>724</v>
      </c>
      <c r="F66" s="232"/>
      <c r="G66" s="232" t="str">
        <f t="shared" ref="G66:G68" si="7">IFERROR(IF(C66=0,"",IF(E66=0,"",C66/E66)),"")</f>
        <v/>
      </c>
      <c r="H66" s="6"/>
      <c r="I66" s="268" t="str">
        <f t="shared" si="6"/>
        <v/>
      </c>
      <c r="M66" s="7"/>
    </row>
    <row r="67" spans="1:13" x14ac:dyDescent="0.25">
      <c r="A67" s="1" t="s">
        <v>760</v>
      </c>
      <c r="B67" s="268">
        <f>'Prior Year'!BC86</f>
        <v>0</v>
      </c>
      <c r="C67" s="268">
        <f>data!BC85</f>
        <v>0</v>
      </c>
      <c r="D67" s="268" t="s">
        <v>724</v>
      </c>
      <c r="E67" s="4" t="s">
        <v>724</v>
      </c>
      <c r="F67" s="232"/>
      <c r="G67" s="232" t="str">
        <f t="shared" si="7"/>
        <v/>
      </c>
      <c r="H67" s="6"/>
      <c r="I67" s="268" t="str">
        <f t="shared" si="6"/>
        <v/>
      </c>
      <c r="M67" s="7"/>
    </row>
    <row r="68" spans="1:13" x14ac:dyDescent="0.25">
      <c r="A68" s="1" t="s">
        <v>761</v>
      </c>
      <c r="B68" s="268">
        <f>'Prior Year'!BD86</f>
        <v>427029</v>
      </c>
      <c r="C68" s="268">
        <f>data!BD85</f>
        <v>484268</v>
      </c>
      <c r="D68" s="268" t="s">
        <v>724</v>
      </c>
      <c r="E68" s="4" t="s">
        <v>724</v>
      </c>
      <c r="F68" s="232"/>
      <c r="G68" s="232" t="str">
        <f t="shared" si="7"/>
        <v/>
      </c>
      <c r="H68" s="6"/>
      <c r="I68" s="268" t="str">
        <f t="shared" si="6"/>
        <v/>
      </c>
      <c r="M68" s="7"/>
    </row>
    <row r="69" spans="1:13" x14ac:dyDescent="0.25">
      <c r="A69" s="1" t="s">
        <v>762</v>
      </c>
      <c r="B69" s="268">
        <f>'Prior Year'!BE86</f>
        <v>3053129</v>
      </c>
      <c r="C69" s="268">
        <f>data!BE85</f>
        <v>3022789</v>
      </c>
      <c r="D69" s="268">
        <f>'Prior Year'!BE60</f>
        <v>140333</v>
      </c>
      <c r="E69" s="1">
        <f>data!BE59</f>
        <v>149248</v>
      </c>
      <c r="F69" s="232">
        <f>IF(B69=0,"",IF(D69=0,"",B69/D69))</f>
        <v>21.756315335665882</v>
      </c>
      <c r="G69" s="232">
        <f t="shared" si="5"/>
        <v>20.253464033018869</v>
      </c>
      <c r="H69" s="6" t="str">
        <f>IF(B69=0,"",IF(C69=0,"",IF(D69=0,"",IF(E69=0,"",IF(G69/F69-1&lt;-0.25,G69/F69-1,IF(G69/F69-1&gt;0.25,G69/F69-1,""))))))</f>
        <v/>
      </c>
      <c r="I69" s="268" t="str">
        <f t="shared" si="6"/>
        <v>Please provide explanation for the fluctuation noted here</v>
      </c>
      <c r="M69" s="7"/>
    </row>
    <row r="70" spans="1:13" x14ac:dyDescent="0.25">
      <c r="A70" s="1" t="s">
        <v>763</v>
      </c>
      <c r="B70" s="268">
        <f>'Prior Year'!BF86</f>
        <v>1597177</v>
      </c>
      <c r="C70" s="268">
        <f>data!BF85</f>
        <v>1727807</v>
      </c>
      <c r="D70" s="268" t="s">
        <v>724</v>
      </c>
      <c r="E70" s="4" t="s">
        <v>724</v>
      </c>
      <c r="F70" s="232" t="str">
        <f t="shared" ref="F70:F94" si="8">IFERROR(IF(B70=0,"",IF(D70=0,"",B70/D70)),"")</f>
        <v/>
      </c>
      <c r="G70" s="232" t="str">
        <f t="shared" ref="G70:G94" si="9">IFERROR(IF(C70=0,"",IF(E70=0,"",C70/E70)),"")</f>
        <v/>
      </c>
      <c r="H70" s="6" t="str">
        <f t="shared" ref="H70:H94" si="10">IFERROR(IF(B70=0,"",IF(C70=0,"",IF(D70=0,"",IF(E70=0,"",IF(G70/F70-1&lt;-0.25,G70/F70-1,IF(G70/F70-1&gt;0.25,G70/F70-1,"")))))),"")</f>
        <v/>
      </c>
      <c r="I70" s="268" t="str">
        <f t="shared" si="6"/>
        <v>Please provide explanation for the fluctuation noted here</v>
      </c>
      <c r="M70" s="7"/>
    </row>
    <row r="71" spans="1:13" x14ac:dyDescent="0.25">
      <c r="A71" s="1" t="s">
        <v>764</v>
      </c>
      <c r="B71" s="268">
        <f>'Prior Year'!BG86</f>
        <v>252219</v>
      </c>
      <c r="C71" s="268">
        <f>data!BG85</f>
        <v>419193</v>
      </c>
      <c r="D71" s="268" t="s">
        <v>724</v>
      </c>
      <c r="E71" s="4" t="s">
        <v>724</v>
      </c>
      <c r="F71" s="232" t="str">
        <f t="shared" si="8"/>
        <v/>
      </c>
      <c r="G71" s="232" t="str">
        <f t="shared" si="9"/>
        <v/>
      </c>
      <c r="H71" s="6" t="str">
        <f t="shared" si="10"/>
        <v/>
      </c>
      <c r="I71" s="268" t="str">
        <f t="shared" si="6"/>
        <v>Please provide explanation for the fluctuation noted here</v>
      </c>
      <c r="M71" s="7"/>
    </row>
    <row r="72" spans="1:13" x14ac:dyDescent="0.25">
      <c r="A72" s="1" t="s">
        <v>765</v>
      </c>
      <c r="B72" s="268">
        <f>'Prior Year'!BH86</f>
        <v>4043198</v>
      </c>
      <c r="C72" s="268">
        <f>data!BH85</f>
        <v>4942289</v>
      </c>
      <c r="D72" s="268" t="s">
        <v>724</v>
      </c>
      <c r="E72" s="4" t="s">
        <v>724</v>
      </c>
      <c r="F72" s="232" t="str">
        <f t="shared" si="8"/>
        <v/>
      </c>
      <c r="G72" s="232" t="str">
        <f t="shared" si="9"/>
        <v/>
      </c>
      <c r="H72" s="6" t="str">
        <f t="shared" si="10"/>
        <v/>
      </c>
      <c r="I72" s="268" t="str">
        <f t="shared" si="6"/>
        <v>Please provide explanation for the fluctuation noted here</v>
      </c>
      <c r="M72" s="7"/>
    </row>
    <row r="73" spans="1:13" x14ac:dyDescent="0.25">
      <c r="A73" s="1" t="s">
        <v>766</v>
      </c>
      <c r="B73" s="268">
        <f>'Prior Year'!BI86</f>
        <v>0</v>
      </c>
      <c r="C73" s="268">
        <f>data!BI85</f>
        <v>0</v>
      </c>
      <c r="D73" s="268" t="s">
        <v>724</v>
      </c>
      <c r="E73" s="4" t="s">
        <v>724</v>
      </c>
      <c r="F73" s="232" t="str">
        <f t="shared" si="8"/>
        <v/>
      </c>
      <c r="G73" s="232" t="str">
        <f t="shared" si="9"/>
        <v/>
      </c>
      <c r="H73" s="6" t="str">
        <f t="shared" si="10"/>
        <v/>
      </c>
      <c r="I73" s="268" t="str">
        <f t="shared" si="6"/>
        <v>Please provide explanation for the fluctuation noted here</v>
      </c>
      <c r="M73" s="7"/>
    </row>
    <row r="74" spans="1:13" x14ac:dyDescent="0.25">
      <c r="A74" s="1" t="s">
        <v>767</v>
      </c>
      <c r="B74" s="268">
        <f>'Prior Year'!BJ86</f>
        <v>0</v>
      </c>
      <c r="C74" s="268">
        <f>data!BJ85</f>
        <v>0</v>
      </c>
      <c r="D74" s="268" t="s">
        <v>724</v>
      </c>
      <c r="E74" s="4" t="s">
        <v>724</v>
      </c>
      <c r="F74" s="232" t="str">
        <f t="shared" si="8"/>
        <v/>
      </c>
      <c r="G74" s="232" t="str">
        <f t="shared" si="9"/>
        <v/>
      </c>
      <c r="H74" s="6" t="str">
        <f t="shared" si="10"/>
        <v/>
      </c>
      <c r="I74" s="268" t="str">
        <f t="shared" si="6"/>
        <v>Please provide explanation for the fluctuation noted here</v>
      </c>
      <c r="M74" s="7"/>
    </row>
    <row r="75" spans="1:13" x14ac:dyDescent="0.25">
      <c r="A75" s="1" t="s">
        <v>768</v>
      </c>
      <c r="B75" s="268">
        <f>'Prior Year'!BK86</f>
        <v>2351073</v>
      </c>
      <c r="C75" s="268">
        <f>data!BK85</f>
        <v>2787744</v>
      </c>
      <c r="D75" s="268" t="s">
        <v>724</v>
      </c>
      <c r="E75" s="4" t="s">
        <v>724</v>
      </c>
      <c r="F75" s="232" t="str">
        <f t="shared" si="8"/>
        <v/>
      </c>
      <c r="G75" s="232" t="str">
        <f t="shared" si="9"/>
        <v/>
      </c>
      <c r="H75" s="6" t="str">
        <f t="shared" si="10"/>
        <v/>
      </c>
      <c r="I75" s="268" t="str">
        <f t="shared" si="6"/>
        <v>Please provide explanation for the fluctuation noted here</v>
      </c>
      <c r="M75" s="7"/>
    </row>
    <row r="76" spans="1:13" x14ac:dyDescent="0.25">
      <c r="A76" s="1" t="s">
        <v>769</v>
      </c>
      <c r="B76" s="268">
        <f>'Prior Year'!BL86</f>
        <v>968563</v>
      </c>
      <c r="C76" s="268">
        <f>data!BL85</f>
        <v>1110024</v>
      </c>
      <c r="D76" s="268" t="s">
        <v>724</v>
      </c>
      <c r="E76" s="4" t="s">
        <v>724</v>
      </c>
      <c r="F76" s="232" t="str">
        <f t="shared" si="8"/>
        <v/>
      </c>
      <c r="G76" s="232" t="str">
        <f t="shared" si="9"/>
        <v/>
      </c>
      <c r="H76" s="6" t="str">
        <f t="shared" si="10"/>
        <v/>
      </c>
      <c r="I76" s="268" t="str">
        <f t="shared" si="6"/>
        <v>Please provide explanation for the fluctuation noted here</v>
      </c>
      <c r="M76" s="7"/>
    </row>
    <row r="77" spans="1:13" x14ac:dyDescent="0.25">
      <c r="A77" s="1" t="s">
        <v>770</v>
      </c>
      <c r="B77" s="268">
        <f>'Prior Year'!BM86</f>
        <v>0</v>
      </c>
      <c r="C77" s="268">
        <f>data!BM85</f>
        <v>0</v>
      </c>
      <c r="D77" s="268" t="s">
        <v>724</v>
      </c>
      <c r="E77" s="4" t="s">
        <v>724</v>
      </c>
      <c r="F77" s="232" t="str">
        <f t="shared" si="8"/>
        <v/>
      </c>
      <c r="G77" s="232" t="str">
        <f t="shared" si="9"/>
        <v/>
      </c>
      <c r="H77" s="6" t="str">
        <f t="shared" si="10"/>
        <v/>
      </c>
      <c r="I77" s="268" t="str">
        <f t="shared" si="6"/>
        <v>Please provide explanation for the fluctuation noted here</v>
      </c>
      <c r="M77" s="7"/>
    </row>
    <row r="78" spans="1:13" x14ac:dyDescent="0.25">
      <c r="A78" s="1" t="s">
        <v>771</v>
      </c>
      <c r="B78" s="268">
        <f>'Prior Year'!BN86</f>
        <v>0</v>
      </c>
      <c r="C78" s="268">
        <f>data!BN85</f>
        <v>0</v>
      </c>
      <c r="D78" s="268" t="s">
        <v>724</v>
      </c>
      <c r="E78" s="4" t="s">
        <v>724</v>
      </c>
      <c r="F78" s="232" t="str">
        <f t="shared" si="8"/>
        <v/>
      </c>
      <c r="G78" s="232" t="str">
        <f t="shared" si="9"/>
        <v/>
      </c>
      <c r="H78" s="6" t="str">
        <f t="shared" si="10"/>
        <v/>
      </c>
      <c r="I78" s="268" t="str">
        <f t="shared" si="6"/>
        <v>Please provide explanation for the fluctuation noted here</v>
      </c>
      <c r="M78" s="7"/>
    </row>
    <row r="79" spans="1:13" x14ac:dyDescent="0.25">
      <c r="A79" s="1" t="s">
        <v>772</v>
      </c>
      <c r="B79" s="268">
        <f>'Prior Year'!BO86</f>
        <v>71150</v>
      </c>
      <c r="C79" s="268">
        <f>data!BO85</f>
        <v>286711</v>
      </c>
      <c r="D79" s="268" t="s">
        <v>724</v>
      </c>
      <c r="E79" s="4" t="s">
        <v>724</v>
      </c>
      <c r="F79" s="232" t="str">
        <f t="shared" si="8"/>
        <v/>
      </c>
      <c r="G79" s="232" t="str">
        <f t="shared" si="9"/>
        <v/>
      </c>
      <c r="H79" s="6" t="str">
        <f t="shared" si="10"/>
        <v/>
      </c>
      <c r="I79" s="268" t="str">
        <f t="shared" ref="I79:I94" si="11">IF(H79&gt;ABS(25%),"Please provide explanation for the fluctuation noted here","")</f>
        <v>Please provide explanation for the fluctuation noted here</v>
      </c>
      <c r="M79" s="7"/>
    </row>
    <row r="80" spans="1:13" x14ac:dyDescent="0.25">
      <c r="A80" s="1" t="s">
        <v>773</v>
      </c>
      <c r="B80" s="268">
        <f>'Prior Year'!BP86</f>
        <v>0</v>
      </c>
      <c r="C80" s="268">
        <f>data!BP85</f>
        <v>0</v>
      </c>
      <c r="D80" s="268" t="s">
        <v>724</v>
      </c>
      <c r="E80" s="4" t="s">
        <v>724</v>
      </c>
      <c r="F80" s="232" t="str">
        <f t="shared" si="8"/>
        <v/>
      </c>
      <c r="G80" s="232" t="str">
        <f t="shared" si="9"/>
        <v/>
      </c>
      <c r="H80" s="6" t="str">
        <f t="shared" si="10"/>
        <v/>
      </c>
      <c r="I80" s="268" t="str">
        <f t="shared" si="11"/>
        <v>Please provide explanation for the fluctuation noted here</v>
      </c>
      <c r="M80" s="7"/>
    </row>
    <row r="81" spans="1:13" x14ac:dyDescent="0.25">
      <c r="A81" s="1" t="s">
        <v>774</v>
      </c>
      <c r="B81" s="268">
        <f>'Prior Year'!BQ86</f>
        <v>0</v>
      </c>
      <c r="C81" s="268">
        <f>data!BQ85</f>
        <v>0</v>
      </c>
      <c r="D81" s="268" t="s">
        <v>724</v>
      </c>
      <c r="E81" s="4" t="s">
        <v>724</v>
      </c>
      <c r="F81" s="232" t="str">
        <f t="shared" si="8"/>
        <v/>
      </c>
      <c r="G81" s="232" t="str">
        <f t="shared" si="9"/>
        <v/>
      </c>
      <c r="H81" s="6" t="str">
        <f t="shared" si="10"/>
        <v/>
      </c>
      <c r="I81" s="268" t="str">
        <f t="shared" si="11"/>
        <v>Please provide explanation for the fluctuation noted here</v>
      </c>
      <c r="M81" s="7"/>
    </row>
    <row r="82" spans="1:13" x14ac:dyDescent="0.25">
      <c r="A82" s="1" t="s">
        <v>775</v>
      </c>
      <c r="B82" s="268">
        <f>'Prior Year'!BR86</f>
        <v>1602780</v>
      </c>
      <c r="C82" s="268">
        <f>data!BR85</f>
        <v>1524067</v>
      </c>
      <c r="D82" s="268" t="s">
        <v>724</v>
      </c>
      <c r="E82" s="4" t="s">
        <v>724</v>
      </c>
      <c r="F82" s="232" t="str">
        <f t="shared" si="8"/>
        <v/>
      </c>
      <c r="G82" s="232" t="str">
        <f t="shared" si="9"/>
        <v/>
      </c>
      <c r="H82" s="6" t="str">
        <f t="shared" si="10"/>
        <v/>
      </c>
      <c r="I82" s="268" t="str">
        <f t="shared" si="11"/>
        <v>Please provide explanation for the fluctuation noted here</v>
      </c>
      <c r="M82" s="7"/>
    </row>
    <row r="83" spans="1:13" x14ac:dyDescent="0.25">
      <c r="A83" s="1" t="s">
        <v>776</v>
      </c>
      <c r="B83" s="268">
        <f>'Prior Year'!BS86</f>
        <v>0</v>
      </c>
      <c r="C83" s="268">
        <f>data!BS85</f>
        <v>0</v>
      </c>
      <c r="D83" s="268" t="s">
        <v>724</v>
      </c>
      <c r="E83" s="4" t="s">
        <v>724</v>
      </c>
      <c r="F83" s="232" t="str">
        <f t="shared" si="8"/>
        <v/>
      </c>
      <c r="G83" s="232" t="str">
        <f t="shared" si="9"/>
        <v/>
      </c>
      <c r="H83" s="6" t="str">
        <f t="shared" si="10"/>
        <v/>
      </c>
      <c r="I83" s="268" t="str">
        <f t="shared" si="11"/>
        <v>Please provide explanation for the fluctuation noted here</v>
      </c>
      <c r="M83" s="7"/>
    </row>
    <row r="84" spans="1:13" x14ac:dyDescent="0.25">
      <c r="A84" s="1" t="s">
        <v>777</v>
      </c>
      <c r="B84" s="268">
        <f>'Prior Year'!BT86</f>
        <v>0</v>
      </c>
      <c r="C84" s="268">
        <f>data!BT85</f>
        <v>0</v>
      </c>
      <c r="D84" s="268" t="s">
        <v>724</v>
      </c>
      <c r="E84" s="4" t="s">
        <v>724</v>
      </c>
      <c r="F84" s="232" t="str">
        <f t="shared" si="8"/>
        <v/>
      </c>
      <c r="G84" s="232" t="str">
        <f t="shared" si="9"/>
        <v/>
      </c>
      <c r="H84" s="6" t="str">
        <f t="shared" si="10"/>
        <v/>
      </c>
      <c r="I84" s="268" t="str">
        <f t="shared" si="11"/>
        <v>Please provide explanation for the fluctuation noted here</v>
      </c>
      <c r="M84" s="7"/>
    </row>
    <row r="85" spans="1:13" x14ac:dyDescent="0.25">
      <c r="A85" s="1" t="s">
        <v>778</v>
      </c>
      <c r="B85" s="268">
        <f>'Prior Year'!BU86</f>
        <v>0</v>
      </c>
      <c r="C85" s="268">
        <f>data!BU85</f>
        <v>0</v>
      </c>
      <c r="D85" s="268" t="s">
        <v>724</v>
      </c>
      <c r="E85" s="4" t="s">
        <v>724</v>
      </c>
      <c r="F85" s="232" t="str">
        <f t="shared" si="8"/>
        <v/>
      </c>
      <c r="G85" s="232" t="str">
        <f t="shared" si="9"/>
        <v/>
      </c>
      <c r="H85" s="6" t="str">
        <f t="shared" si="10"/>
        <v/>
      </c>
      <c r="I85" s="268" t="str">
        <f t="shared" si="11"/>
        <v>Please provide explanation for the fluctuation noted here</v>
      </c>
      <c r="M85" s="7"/>
    </row>
    <row r="86" spans="1:13" x14ac:dyDescent="0.25">
      <c r="A86" s="1" t="s">
        <v>779</v>
      </c>
      <c r="B86" s="268">
        <f>'Prior Year'!BV86</f>
        <v>831122</v>
      </c>
      <c r="C86" s="268">
        <f>data!BV85</f>
        <v>909911</v>
      </c>
      <c r="D86" s="268" t="s">
        <v>724</v>
      </c>
      <c r="E86" s="4" t="s">
        <v>724</v>
      </c>
      <c r="F86" s="232" t="str">
        <f t="shared" si="8"/>
        <v/>
      </c>
      <c r="G86" s="232" t="str">
        <f t="shared" si="9"/>
        <v/>
      </c>
      <c r="H86" s="6" t="str">
        <f t="shared" si="10"/>
        <v/>
      </c>
      <c r="I86" s="268" t="str">
        <f t="shared" si="11"/>
        <v>Please provide explanation for the fluctuation noted here</v>
      </c>
      <c r="M86" s="7"/>
    </row>
    <row r="87" spans="1:13" x14ac:dyDescent="0.25">
      <c r="A87" s="1" t="s">
        <v>780</v>
      </c>
      <c r="B87" s="268">
        <f>'Prior Year'!BW86</f>
        <v>0</v>
      </c>
      <c r="C87" s="268">
        <f>data!BW85</f>
        <v>0</v>
      </c>
      <c r="D87" s="268" t="s">
        <v>724</v>
      </c>
      <c r="E87" s="4" t="s">
        <v>724</v>
      </c>
      <c r="F87" s="232" t="str">
        <f t="shared" si="8"/>
        <v/>
      </c>
      <c r="G87" s="232" t="str">
        <f t="shared" si="9"/>
        <v/>
      </c>
      <c r="H87" s="6" t="str">
        <f t="shared" si="10"/>
        <v/>
      </c>
      <c r="I87" s="268" t="str">
        <f t="shared" si="11"/>
        <v>Please provide explanation for the fluctuation noted here</v>
      </c>
      <c r="M87" s="7"/>
    </row>
    <row r="88" spans="1:13" x14ac:dyDescent="0.25">
      <c r="A88" s="1" t="s">
        <v>781</v>
      </c>
      <c r="B88" s="268">
        <f>'Prior Year'!BX86</f>
        <v>0</v>
      </c>
      <c r="C88" s="268">
        <f>data!BX85</f>
        <v>0</v>
      </c>
      <c r="D88" s="268" t="s">
        <v>724</v>
      </c>
      <c r="E88" s="4" t="s">
        <v>724</v>
      </c>
      <c r="F88" s="232" t="str">
        <f t="shared" si="8"/>
        <v/>
      </c>
      <c r="G88" s="232" t="str">
        <f t="shared" si="9"/>
        <v/>
      </c>
      <c r="H88" s="6" t="str">
        <f t="shared" si="10"/>
        <v/>
      </c>
      <c r="I88" s="268" t="str">
        <f t="shared" si="11"/>
        <v>Please provide explanation for the fluctuation noted here</v>
      </c>
      <c r="M88" s="7"/>
    </row>
    <row r="89" spans="1:13" x14ac:dyDescent="0.25">
      <c r="A89" s="1" t="s">
        <v>782</v>
      </c>
      <c r="B89" s="268">
        <f>'Prior Year'!BY86</f>
        <v>2972307</v>
      </c>
      <c r="C89" s="268">
        <f>data!BY85</f>
        <v>3176969</v>
      </c>
      <c r="D89" s="268" t="s">
        <v>724</v>
      </c>
      <c r="E89" s="4" t="s">
        <v>724</v>
      </c>
      <c r="F89" s="232" t="str">
        <f t="shared" si="8"/>
        <v/>
      </c>
      <c r="G89" s="232" t="str">
        <f t="shared" si="9"/>
        <v/>
      </c>
      <c r="H89" s="6" t="str">
        <f t="shared" si="10"/>
        <v/>
      </c>
      <c r="I89" s="268" t="str">
        <f t="shared" si="11"/>
        <v>Please provide explanation for the fluctuation noted here</v>
      </c>
      <c r="M89" s="7"/>
    </row>
    <row r="90" spans="1:13" x14ac:dyDescent="0.25">
      <c r="A90" s="1" t="s">
        <v>783</v>
      </c>
      <c r="B90" s="268">
        <f>'Prior Year'!BZ86</f>
        <v>0</v>
      </c>
      <c r="C90" s="268">
        <f>data!BZ85</f>
        <v>0</v>
      </c>
      <c r="D90" s="268" t="s">
        <v>724</v>
      </c>
      <c r="E90" s="4" t="s">
        <v>724</v>
      </c>
      <c r="F90" s="232" t="str">
        <f t="shared" si="8"/>
        <v/>
      </c>
      <c r="G90" s="232" t="str">
        <f t="shared" si="9"/>
        <v/>
      </c>
      <c r="H90" s="6" t="str">
        <f t="shared" si="10"/>
        <v/>
      </c>
      <c r="I90" s="268" t="str">
        <f t="shared" si="11"/>
        <v>Please provide explanation for the fluctuation noted here</v>
      </c>
      <c r="M90" s="7"/>
    </row>
    <row r="91" spans="1:13" x14ac:dyDescent="0.25">
      <c r="A91" s="1" t="s">
        <v>784</v>
      </c>
      <c r="B91" s="268">
        <f>'Prior Year'!CA86</f>
        <v>0</v>
      </c>
      <c r="C91" s="268">
        <f>data!CA85</f>
        <v>0</v>
      </c>
      <c r="D91" s="268" t="s">
        <v>724</v>
      </c>
      <c r="E91" s="4" t="s">
        <v>724</v>
      </c>
      <c r="F91" s="232" t="str">
        <f t="shared" si="8"/>
        <v/>
      </c>
      <c r="G91" s="232" t="str">
        <f t="shared" si="9"/>
        <v/>
      </c>
      <c r="H91" s="6" t="str">
        <f t="shared" si="10"/>
        <v/>
      </c>
      <c r="I91" s="268" t="str">
        <f t="shared" si="11"/>
        <v>Please provide explanation for the fluctuation noted here</v>
      </c>
      <c r="M91" s="7"/>
    </row>
    <row r="92" spans="1:13" x14ac:dyDescent="0.25">
      <c r="A92" s="1" t="s">
        <v>785</v>
      </c>
      <c r="B92" s="268">
        <f>'Prior Year'!CB86</f>
        <v>0</v>
      </c>
      <c r="C92" s="268">
        <f>data!CB85</f>
        <v>0</v>
      </c>
      <c r="D92" s="268" t="s">
        <v>724</v>
      </c>
      <c r="E92" s="4" t="s">
        <v>724</v>
      </c>
      <c r="F92" s="232" t="str">
        <f t="shared" si="8"/>
        <v/>
      </c>
      <c r="G92" s="232" t="str">
        <f t="shared" si="9"/>
        <v/>
      </c>
      <c r="H92" s="6" t="str">
        <f t="shared" si="10"/>
        <v/>
      </c>
      <c r="I92" s="268" t="str">
        <f t="shared" si="11"/>
        <v>Please provide explanation for the fluctuation noted here</v>
      </c>
      <c r="M92" s="7"/>
    </row>
    <row r="93" spans="1:13" x14ac:dyDescent="0.25">
      <c r="A93" s="1" t="s">
        <v>786</v>
      </c>
      <c r="B93" s="268">
        <f>'Prior Year'!CC86</f>
        <v>8250678</v>
      </c>
      <c r="C93" s="268">
        <f>data!CC85</f>
        <v>8237999</v>
      </c>
      <c r="D93" s="268" t="s">
        <v>724</v>
      </c>
      <c r="E93" s="4" t="s">
        <v>724</v>
      </c>
      <c r="F93" s="232" t="str">
        <f t="shared" si="8"/>
        <v/>
      </c>
      <c r="G93" s="232" t="str">
        <f t="shared" si="9"/>
        <v/>
      </c>
      <c r="H93" s="6" t="str">
        <f t="shared" si="10"/>
        <v/>
      </c>
      <c r="I93" s="268" t="str">
        <f t="shared" si="11"/>
        <v>Please provide explanation for the fluctuation noted here</v>
      </c>
      <c r="M93" s="7"/>
    </row>
    <row r="94" spans="1:13" x14ac:dyDescent="0.25">
      <c r="A94" s="1" t="s">
        <v>787</v>
      </c>
      <c r="B94" s="268">
        <f>'Prior Year'!CD86</f>
        <v>-6178073</v>
      </c>
      <c r="C94" s="268">
        <f>data!CD85</f>
        <v>3379143</v>
      </c>
      <c r="D94" s="268" t="s">
        <v>724</v>
      </c>
      <c r="E94" s="4" t="s">
        <v>724</v>
      </c>
      <c r="F94" s="232" t="str">
        <f t="shared" si="8"/>
        <v/>
      </c>
      <c r="G94" s="232" t="str">
        <f t="shared" si="9"/>
        <v/>
      </c>
      <c r="H94" s="6" t="str">
        <f t="shared" si="10"/>
        <v/>
      </c>
      <c r="I94" s="268" t="str">
        <f t="shared" si="11"/>
        <v>Please provide explanation for the fluctuation noted here</v>
      </c>
      <c r="M94" s="7"/>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DED-37F7-4C82-BF8F-10C9AD620919}">
  <sheetPr codeName="Sheet10">
    <tabColor theme="0" tint="-0.249977111117893"/>
  </sheetPr>
  <dimension ref="A1:D35"/>
  <sheetViews>
    <sheetView workbookViewId="0">
      <selection activeCell="B25" sqref="B25"/>
    </sheetView>
  </sheetViews>
  <sheetFormatPr defaultColWidth="8.6640625" defaultRowHeight="15" x14ac:dyDescent="0.25"/>
  <cols>
    <col min="1" max="1" width="22.6640625" style="12" customWidth="1"/>
    <col min="2" max="3" width="8.6640625" style="12" customWidth="1"/>
    <col min="4" max="4" width="12.33203125" style="12" bestFit="1" customWidth="1"/>
    <col min="5" max="6" width="8.6640625" style="12" customWidth="1"/>
    <col min="7" max="16384" width="8.6640625" style="12"/>
  </cols>
  <sheetData>
    <row r="1" spans="1:4" x14ac:dyDescent="0.25">
      <c r="A1" s="324" t="s">
        <v>1345</v>
      </c>
    </row>
    <row r="3" spans="1:4" x14ac:dyDescent="0.25">
      <c r="A3" s="11" t="s">
        <v>788</v>
      </c>
    </row>
    <row r="4" spans="1:4" x14ac:dyDescent="0.25">
      <c r="A4" s="322" t="s">
        <v>1343</v>
      </c>
    </row>
    <row r="5" spans="1:4" x14ac:dyDescent="0.25">
      <c r="A5" s="323" t="s">
        <v>1341</v>
      </c>
    </row>
    <row r="6" spans="1:4" x14ac:dyDescent="0.25">
      <c r="A6" s="321"/>
    </row>
    <row r="7" spans="1:4" x14ac:dyDescent="0.25">
      <c r="A7" s="322" t="s">
        <v>1344</v>
      </c>
    </row>
    <row r="8" spans="1:4" x14ac:dyDescent="0.25">
      <c r="A8" s="323" t="s">
        <v>1342</v>
      </c>
    </row>
    <row r="11" spans="1:4" x14ac:dyDescent="0.25">
      <c r="A11" s="13" t="s">
        <v>789</v>
      </c>
      <c r="D11" s="269">
        <f>data!C380</f>
        <v>895957</v>
      </c>
    </row>
    <row r="12" spans="1:4" x14ac:dyDescent="0.25">
      <c r="A12" s="13" t="s">
        <v>790</v>
      </c>
      <c r="D12" s="269" t="str">
        <f>IF(OR(data!C380&gt;1000000,data!C380/(data!D360+data!D383)&gt;0.01),"Yes","No")</f>
        <v>No</v>
      </c>
    </row>
    <row r="14" spans="1:4" x14ac:dyDescent="0.25">
      <c r="A14" s="13" t="s">
        <v>791</v>
      </c>
      <c r="D14" s="14" t="s">
        <v>792</v>
      </c>
    </row>
    <row r="15" spans="1:4" x14ac:dyDescent="0.25">
      <c r="A15" s="12" t="s">
        <v>793</v>
      </c>
      <c r="D15" s="15"/>
    </row>
    <row r="16" spans="1:4" x14ac:dyDescent="0.25">
      <c r="A16" s="12" t="s">
        <v>793</v>
      </c>
      <c r="D16" s="15"/>
    </row>
    <row r="17" spans="1:4" x14ac:dyDescent="0.25">
      <c r="A17" s="12" t="s">
        <v>793</v>
      </c>
      <c r="D17" s="15"/>
    </row>
    <row r="18" spans="1:4" x14ac:dyDescent="0.25">
      <c r="A18" s="12" t="s">
        <v>793</v>
      </c>
      <c r="D18" s="15"/>
    </row>
    <row r="19" spans="1:4" x14ac:dyDescent="0.25">
      <c r="A19" s="12" t="s">
        <v>793</v>
      </c>
      <c r="D19" s="15"/>
    </row>
    <row r="20" spans="1:4" x14ac:dyDescent="0.25">
      <c r="A20" s="12" t="s">
        <v>793</v>
      </c>
      <c r="D20" s="15"/>
    </row>
    <row r="21" spans="1:4" x14ac:dyDescent="0.25">
      <c r="A21" s="12" t="s">
        <v>793</v>
      </c>
      <c r="D21" s="15"/>
    </row>
    <row r="25" spans="1:4" x14ac:dyDescent="0.25">
      <c r="A25" s="13" t="s">
        <v>794</v>
      </c>
      <c r="D25" s="270">
        <f>data!C414</f>
        <v>1353830</v>
      </c>
    </row>
    <row r="26" spans="1:4" x14ac:dyDescent="0.25">
      <c r="A26" s="13" t="s">
        <v>790</v>
      </c>
      <c r="D26" s="270" t="str">
        <f>IF(OR(data!C414&gt;1000000,data!C414/(data!D416)&gt;0.01),"Yes","No")</f>
        <v>Yes</v>
      </c>
    </row>
    <row r="28" spans="1:4" x14ac:dyDescent="0.25">
      <c r="A28" s="13" t="s">
        <v>791</v>
      </c>
      <c r="D28" s="14" t="s">
        <v>792</v>
      </c>
    </row>
    <row r="29" spans="1:4" x14ac:dyDescent="0.25">
      <c r="A29" s="12" t="s">
        <v>795</v>
      </c>
      <c r="D29" s="15"/>
    </row>
    <row r="30" spans="1:4" x14ac:dyDescent="0.25">
      <c r="A30" s="12" t="s">
        <v>795</v>
      </c>
      <c r="D30" s="15"/>
    </row>
    <row r="31" spans="1:4" x14ac:dyDescent="0.25">
      <c r="A31" s="12" t="s">
        <v>795</v>
      </c>
      <c r="D31" s="15"/>
    </row>
    <row r="32" spans="1:4" x14ac:dyDescent="0.25">
      <c r="A32" s="12" t="s">
        <v>795</v>
      </c>
      <c r="D32" s="15"/>
    </row>
    <row r="33" spans="1:4" x14ac:dyDescent="0.25">
      <c r="A33" s="12" t="s">
        <v>795</v>
      </c>
      <c r="D33" s="15"/>
    </row>
    <row r="34" spans="1:4" x14ac:dyDescent="0.25">
      <c r="A34" s="12" t="s">
        <v>795</v>
      </c>
      <c r="D34" s="15"/>
    </row>
    <row r="35" spans="1:4" x14ac:dyDescent="0.25">
      <c r="A35" s="12" t="s">
        <v>795</v>
      </c>
      <c r="D35" s="15"/>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0"/>
  <sheetViews>
    <sheetView view="pageBreakPreview" zoomScale="60" zoomScaleNormal="100" workbookViewId="0">
      <selection activeCell="E16" sqref="E16"/>
    </sheetView>
  </sheetViews>
  <sheetFormatPr defaultColWidth="8.77734375" defaultRowHeight="18" customHeight="1" x14ac:dyDescent="0.25"/>
  <cols>
    <col min="1" max="1" width="4.77734375" style="1" customWidth="1"/>
    <col min="2" max="2" width="15.44140625" style="1" customWidth="1"/>
    <col min="3" max="3" width="4.77734375" style="1" customWidth="1"/>
    <col min="4" max="4" width="15.77734375" style="1" customWidth="1"/>
    <col min="5" max="5" width="4.77734375" style="1" customWidth="1"/>
    <col min="6" max="7" width="13.77734375" style="1" customWidth="1"/>
    <col min="8" max="9" width="8.77734375" style="1" customWidth="1"/>
    <col min="10" max="16384" width="8.77734375" style="1"/>
  </cols>
  <sheetData>
    <row r="1" spans="1:10" ht="20.100000000000001" customHeight="1" x14ac:dyDescent="0.25">
      <c r="G1" s="75" t="s">
        <v>796</v>
      </c>
    </row>
    <row r="2" spans="1:10" ht="20.100000000000001" customHeight="1" x14ac:dyDescent="0.25">
      <c r="A2" s="76" t="s">
        <v>797</v>
      </c>
      <c r="B2" s="382"/>
      <c r="C2" s="131"/>
      <c r="D2" s="131"/>
      <c r="E2" s="131"/>
      <c r="F2" s="131"/>
      <c r="G2" s="79"/>
      <c r="H2" s="79"/>
      <c r="I2" s="79"/>
      <c r="J2" s="145"/>
    </row>
    <row r="3" spans="1:10" ht="20.100000000000001" customHeight="1" x14ac:dyDescent="0.25">
      <c r="B3" s="385"/>
      <c r="C3" s="76"/>
      <c r="D3" s="76"/>
      <c r="E3" s="76"/>
      <c r="F3" s="76"/>
      <c r="G3" s="76"/>
      <c r="J3" s="94"/>
    </row>
    <row r="4" spans="1:10" ht="20.100000000000001" customHeight="1" x14ac:dyDescent="0.25">
      <c r="A4" s="77">
        <v>1</v>
      </c>
      <c r="B4" s="154" t="str">
        <f>"Fiscal Year Ended:  "&amp;data!C96</f>
        <v>Fiscal Year Ended:  12/31/2022</v>
      </c>
      <c r="C4" s="77"/>
      <c r="D4" s="154"/>
      <c r="E4" s="154"/>
      <c r="F4" s="77" t="str">
        <f>"License Number:  "&amp;"H-"&amp;FIXED(data!C97,0)</f>
        <v>License Number:  H-85</v>
      </c>
      <c r="G4" s="77"/>
      <c r="J4" s="94"/>
    </row>
    <row r="5" spans="1:10" ht="20.100000000000001" customHeight="1" x14ac:dyDescent="0.25">
      <c r="A5" s="77">
        <v>2</v>
      </c>
      <c r="B5" s="77" t="s">
        <v>285</v>
      </c>
      <c r="C5" s="77"/>
      <c r="D5" s="77" t="str">
        <f>"  "&amp;data!C98</f>
        <v xml:space="preserve">  Jefferson County Public Hospital District No 2</v>
      </c>
      <c r="E5" s="154"/>
      <c r="F5" s="154"/>
      <c r="G5" s="77"/>
      <c r="J5" s="94"/>
    </row>
    <row r="6" spans="1:10" ht="20.100000000000001" customHeight="1" x14ac:dyDescent="0.25">
      <c r="A6" s="77">
        <v>3</v>
      </c>
      <c r="B6" s="77" t="s">
        <v>290</v>
      </c>
      <c r="C6" s="77"/>
      <c r="D6" s="77" t="str">
        <f>data!C103</f>
        <v>Jefferson County</v>
      </c>
      <c r="E6" s="154"/>
      <c r="F6" s="154"/>
      <c r="G6" s="77"/>
      <c r="J6" s="94"/>
    </row>
    <row r="7" spans="1:10" ht="20.100000000000001" customHeight="1" x14ac:dyDescent="0.25">
      <c r="A7" s="175">
        <v>4</v>
      </c>
      <c r="B7" s="77" t="s">
        <v>798</v>
      </c>
      <c r="C7" s="77"/>
      <c r="D7" s="77" t="str">
        <f>data!C104</f>
        <v>Mike Glenn</v>
      </c>
      <c r="E7" s="154"/>
      <c r="F7" s="154"/>
      <c r="G7" s="77"/>
      <c r="J7" s="94"/>
    </row>
    <row r="8" spans="1:10" ht="20.100000000000001" customHeight="1" x14ac:dyDescent="0.25">
      <c r="A8" s="175">
        <v>5</v>
      </c>
      <c r="B8" s="77" t="s">
        <v>799</v>
      </c>
      <c r="C8" s="77"/>
      <c r="D8" s="77" t="str">
        <f>data!C105</f>
        <v>Tyler Freeman</v>
      </c>
      <c r="E8" s="154"/>
      <c r="F8" s="154"/>
      <c r="G8" s="77"/>
      <c r="J8" s="94"/>
    </row>
    <row r="9" spans="1:10" ht="20.100000000000001" customHeight="1" x14ac:dyDescent="0.25">
      <c r="A9" s="175">
        <v>6</v>
      </c>
      <c r="B9" s="77" t="s">
        <v>800</v>
      </c>
      <c r="C9" s="77"/>
      <c r="D9" s="77" t="str">
        <f>data!C106</f>
        <v>Jill Rienstra</v>
      </c>
      <c r="E9" s="154"/>
      <c r="F9" s="154"/>
      <c r="G9" s="77"/>
      <c r="J9" s="94"/>
    </row>
    <row r="10" spans="1:10" ht="20.100000000000001" customHeight="1" x14ac:dyDescent="0.25">
      <c r="A10" s="175">
        <v>7</v>
      </c>
      <c r="B10" s="77" t="s">
        <v>801</v>
      </c>
      <c r="C10" s="77"/>
      <c r="D10" s="77" t="str">
        <f>"  "&amp;data!C107</f>
        <v xml:space="preserve">  360-385-2200</v>
      </c>
      <c r="E10" s="154"/>
      <c r="F10" s="154"/>
      <c r="G10" s="77"/>
      <c r="J10" s="94"/>
    </row>
    <row r="11" spans="1:10" ht="20.100000000000001" customHeight="1" x14ac:dyDescent="0.25">
      <c r="A11" s="77">
        <v>8</v>
      </c>
      <c r="B11" s="77" t="s">
        <v>802</v>
      </c>
      <c r="C11" s="77"/>
      <c r="D11" s="77" t="str">
        <f>"  "&amp;data!C108</f>
        <v xml:space="preserve">  360-379-2242</v>
      </c>
      <c r="E11" s="154"/>
      <c r="F11" s="154"/>
      <c r="G11" s="77"/>
      <c r="J11" s="94"/>
    </row>
    <row r="12" spans="1:10" ht="20.100000000000001" customHeight="1" x14ac:dyDescent="0.25">
      <c r="A12" s="82"/>
      <c r="B12" s="77"/>
      <c r="C12" s="77"/>
      <c r="D12" s="77"/>
      <c r="E12" s="77"/>
      <c r="F12" s="77"/>
      <c r="G12" s="77"/>
      <c r="J12" s="94"/>
    </row>
    <row r="13" spans="1:10" ht="20.100000000000001" customHeight="1" x14ac:dyDescent="0.25">
      <c r="A13" s="85"/>
      <c r="B13" s="154"/>
      <c r="C13" s="154"/>
      <c r="D13" s="154"/>
      <c r="E13" s="154"/>
      <c r="F13" s="154"/>
      <c r="G13" s="154"/>
      <c r="J13" s="94"/>
    </row>
    <row r="14" spans="1:10" ht="20.100000000000001" customHeight="1" x14ac:dyDescent="0.25">
      <c r="A14" s="77">
        <v>9</v>
      </c>
      <c r="B14" s="77" t="s">
        <v>803</v>
      </c>
      <c r="C14" s="77"/>
      <c r="D14" s="77"/>
      <c r="E14" s="77"/>
      <c r="F14" s="77"/>
      <c r="G14" s="77"/>
      <c r="H14" s="144"/>
      <c r="I14" s="144"/>
      <c r="J14" s="86"/>
    </row>
    <row r="15" spans="1:10" ht="20.100000000000001" customHeight="1" x14ac:dyDescent="0.25">
      <c r="A15" s="87" t="s">
        <v>299</v>
      </c>
      <c r="B15" s="157"/>
      <c r="C15" s="157" t="s">
        <v>301</v>
      </c>
      <c r="D15" s="157"/>
      <c r="E15" s="157" t="s">
        <v>303</v>
      </c>
      <c r="F15" s="398"/>
      <c r="G15" s="398"/>
    </row>
    <row r="16" spans="1:10" ht="20.100000000000001" customHeight="1" thickBot="1" x14ac:dyDescent="0.3">
      <c r="A16" s="173" t="str">
        <f>IF(data!C113&gt;0," X","")</f>
        <v/>
      </c>
      <c r="B16" s="77" t="s">
        <v>288</v>
      </c>
      <c r="C16" s="90" t="str">
        <f>IF(data!C117&gt;0," X","")</f>
        <v/>
      </c>
      <c r="D16" s="355" t="s">
        <v>804</v>
      </c>
      <c r="E16" s="271" t="str">
        <f>IF(data!C120&gt;0," X","")</f>
        <v/>
      </c>
      <c r="F16" s="271"/>
      <c r="G16" s="77"/>
      <c r="H16" s="344"/>
    </row>
    <row r="17" spans="1:7" ht="20.100000000000001" customHeight="1" thickTop="1" x14ac:dyDescent="0.25">
      <c r="A17" s="173" t="str">
        <f>IF(data!C114&gt;0," X","")</f>
        <v/>
      </c>
      <c r="B17" s="77" t="s">
        <v>290</v>
      </c>
      <c r="C17" s="90" t="str">
        <f>IF(data!C118&gt;0," X","")</f>
        <v/>
      </c>
      <c r="D17" s="355" t="s">
        <v>384</v>
      </c>
      <c r="E17" s="271" t="str">
        <f>IF(data!C121&gt;0," X","")</f>
        <v/>
      </c>
      <c r="F17" s="77"/>
      <c r="G17" s="77"/>
    </row>
    <row r="18" spans="1:7" ht="20.100000000000001" customHeight="1" x14ac:dyDescent="0.25">
      <c r="A18" s="175"/>
      <c r="B18" s="77" t="s">
        <v>805</v>
      </c>
      <c r="C18" s="77"/>
      <c r="D18" s="77"/>
      <c r="E18" s="271" t="str">
        <f>IF(data!C122&gt;0," X","")</f>
        <v/>
      </c>
      <c r="F18" s="77"/>
      <c r="G18" s="77"/>
    </row>
    <row r="19" spans="1:7" ht="20.100000000000001" customHeight="1" x14ac:dyDescent="0.25">
      <c r="A19" s="173" t="str">
        <f>IF(data!C115&gt;0," X","")</f>
        <v xml:space="preserve"> X</v>
      </c>
      <c r="B19" s="355" t="s">
        <v>806</v>
      </c>
      <c r="C19" s="77"/>
      <c r="D19" s="77"/>
      <c r="E19" s="77"/>
      <c r="F19" s="77"/>
      <c r="G19" s="77"/>
    </row>
    <row r="20" spans="1:7" ht="20.100000000000001" customHeight="1" x14ac:dyDescent="0.25">
      <c r="A20" s="82"/>
      <c r="B20" s="77"/>
      <c r="C20" s="77"/>
      <c r="D20" s="77"/>
      <c r="E20" s="77"/>
      <c r="F20" s="77"/>
      <c r="G20" s="77"/>
    </row>
    <row r="21" spans="1:7" ht="20.100000000000001" customHeight="1" x14ac:dyDescent="0.25">
      <c r="A21" s="85"/>
      <c r="B21" s="154"/>
      <c r="C21" s="154"/>
      <c r="D21" s="154"/>
      <c r="E21" s="154"/>
      <c r="F21" s="154"/>
      <c r="G21" s="154"/>
    </row>
    <row r="22" spans="1:7" ht="20.100000000000001" customHeight="1" x14ac:dyDescent="0.25">
      <c r="A22" s="175">
        <v>10</v>
      </c>
      <c r="B22" s="77" t="s">
        <v>807</v>
      </c>
      <c r="C22" s="77"/>
      <c r="D22" s="77"/>
      <c r="E22" s="77"/>
      <c r="F22" s="90" t="s">
        <v>309</v>
      </c>
      <c r="G22" s="90" t="s">
        <v>227</v>
      </c>
    </row>
    <row r="23" spans="1:7" ht="20.100000000000001" customHeight="1" x14ac:dyDescent="0.25">
      <c r="A23" s="77"/>
      <c r="B23" s="78" t="s">
        <v>808</v>
      </c>
      <c r="C23" s="78"/>
      <c r="D23" s="78"/>
      <c r="E23" s="78"/>
      <c r="F23" s="77">
        <f>data!C127</f>
        <v>1339</v>
      </c>
      <c r="G23" s="81">
        <f>data!D127</f>
        <v>4371</v>
      </c>
    </row>
    <row r="24" spans="1:7" ht="20.100000000000001" customHeight="1" x14ac:dyDescent="0.25">
      <c r="A24" s="77"/>
      <c r="B24" s="78" t="s">
        <v>809</v>
      </c>
      <c r="C24" s="78"/>
      <c r="D24" s="78"/>
      <c r="E24" s="78"/>
      <c r="F24" s="77">
        <f>data!C128</f>
        <v>9</v>
      </c>
      <c r="G24" s="81">
        <f>data!D128</f>
        <v>94</v>
      </c>
    </row>
    <row r="25" spans="1:7" ht="20.100000000000001" customHeight="1" x14ac:dyDescent="0.25">
      <c r="A25" s="77"/>
      <c r="B25" s="78" t="s">
        <v>810</v>
      </c>
      <c r="C25" s="78"/>
      <c r="D25" s="78"/>
      <c r="E25" s="78"/>
      <c r="F25" s="77">
        <f>data!C129</f>
        <v>0</v>
      </c>
      <c r="G25" s="81">
        <f>data!D129</f>
        <v>0</v>
      </c>
    </row>
    <row r="26" spans="1:7" ht="20.100000000000001" customHeight="1" x14ac:dyDescent="0.25">
      <c r="A26" s="77">
        <v>11</v>
      </c>
      <c r="B26" s="78" t="s">
        <v>313</v>
      </c>
      <c r="C26" s="78"/>
      <c r="D26" s="78"/>
      <c r="E26" s="78"/>
      <c r="F26" s="77">
        <f>data!C130</f>
        <v>96</v>
      </c>
      <c r="G26" s="81">
        <f>data!D130</f>
        <v>161</v>
      </c>
    </row>
    <row r="27" spans="1:7" ht="20.100000000000001" customHeight="1" x14ac:dyDescent="0.25">
      <c r="A27" s="82"/>
      <c r="B27" s="83"/>
      <c r="C27" s="83"/>
      <c r="D27" s="83"/>
      <c r="E27" s="83"/>
      <c r="F27" s="83"/>
      <c r="G27" s="84"/>
    </row>
    <row r="28" spans="1:7" ht="20.100000000000001" customHeight="1" x14ac:dyDescent="0.25">
      <c r="A28" s="85"/>
      <c r="G28" s="94"/>
    </row>
    <row r="29" spans="1:7" ht="20.100000000000001" customHeight="1" x14ac:dyDescent="0.25">
      <c r="A29" s="77">
        <v>12</v>
      </c>
      <c r="B29" s="95" t="s">
        <v>811</v>
      </c>
      <c r="C29" s="81"/>
      <c r="D29" s="91" t="s">
        <v>179</v>
      </c>
      <c r="E29" s="95" t="s">
        <v>811</v>
      </c>
      <c r="F29" s="81"/>
      <c r="G29" s="91" t="s">
        <v>179</v>
      </c>
    </row>
    <row r="30" spans="1:7" ht="20.100000000000001" customHeight="1" x14ac:dyDescent="0.25">
      <c r="A30" s="77"/>
      <c r="B30" s="78" t="s">
        <v>315</v>
      </c>
      <c r="C30" s="81"/>
      <c r="D30" s="81">
        <f>data!C132</f>
        <v>6</v>
      </c>
      <c r="E30" s="78" t="s">
        <v>321</v>
      </c>
      <c r="F30" s="81"/>
      <c r="G30" s="81">
        <f>data!C139</f>
        <v>0</v>
      </c>
    </row>
    <row r="31" spans="1:7" ht="20.100000000000001" customHeight="1" x14ac:dyDescent="0.25">
      <c r="A31" s="77"/>
      <c r="B31" s="95" t="s">
        <v>812</v>
      </c>
      <c r="C31" s="81"/>
      <c r="D31" s="81">
        <f>data!C133</f>
        <v>0</v>
      </c>
      <c r="E31" s="78" t="s">
        <v>322</v>
      </c>
      <c r="F31" s="81"/>
      <c r="G31" s="81">
        <f>data!C140</f>
        <v>0</v>
      </c>
    </row>
    <row r="32" spans="1:7" ht="20.100000000000001" customHeight="1" x14ac:dyDescent="0.25">
      <c r="A32" s="77"/>
      <c r="B32" s="95" t="s">
        <v>813</v>
      </c>
      <c r="C32" s="81"/>
      <c r="D32" s="81">
        <f>data!C134</f>
        <v>19</v>
      </c>
      <c r="E32" s="78" t="s">
        <v>814</v>
      </c>
      <c r="F32" s="81"/>
      <c r="G32" s="81">
        <f>data!C141</f>
        <v>0</v>
      </c>
    </row>
    <row r="33" spans="1:7" ht="20.100000000000001" customHeight="1" x14ac:dyDescent="0.25">
      <c r="A33" s="77"/>
      <c r="B33" s="95" t="s">
        <v>815</v>
      </c>
      <c r="C33" s="81"/>
      <c r="D33" s="81">
        <f>data!C135</f>
        <v>0</v>
      </c>
      <c r="E33" s="78" t="s">
        <v>816</v>
      </c>
      <c r="F33" s="81"/>
      <c r="G33" s="81">
        <f>data!C142</f>
        <v>0</v>
      </c>
    </row>
    <row r="34" spans="1:7" ht="20.100000000000001" customHeight="1" x14ac:dyDescent="0.25">
      <c r="A34" s="77"/>
      <c r="B34" s="95" t="s">
        <v>817</v>
      </c>
      <c r="C34" s="81"/>
      <c r="D34" s="81">
        <f>data!C136</f>
        <v>0</v>
      </c>
      <c r="E34" s="78" t="s">
        <v>324</v>
      </c>
      <c r="F34" s="81"/>
      <c r="G34" s="81">
        <f>data!E143</f>
        <v>25</v>
      </c>
    </row>
    <row r="35" spans="1:7" ht="20.100000000000001" customHeight="1" x14ac:dyDescent="0.25">
      <c r="A35" s="77"/>
      <c r="B35" s="95" t="s">
        <v>818</v>
      </c>
      <c r="C35" s="81"/>
      <c r="D35" s="81">
        <f>data!C137</f>
        <v>0</v>
      </c>
      <c r="E35" s="78" t="s">
        <v>819</v>
      </c>
      <c r="F35" s="96"/>
      <c r="G35" s="81"/>
    </row>
    <row r="36" spans="1:7" ht="20.100000000000001" customHeight="1" x14ac:dyDescent="0.25">
      <c r="A36" s="77"/>
      <c r="B36" s="78" t="s">
        <v>108</v>
      </c>
      <c r="C36" s="81"/>
      <c r="D36" s="81">
        <f>data!C138</f>
        <v>0</v>
      </c>
      <c r="E36" s="78" t="s">
        <v>325</v>
      </c>
      <c r="F36" s="81"/>
      <c r="G36" s="81">
        <f>data!C144</f>
        <v>25</v>
      </c>
    </row>
    <row r="37" spans="1:7" ht="20.100000000000001" customHeight="1" x14ac:dyDescent="0.25">
      <c r="A37" s="77"/>
      <c r="E37" s="78" t="s">
        <v>326</v>
      </c>
      <c r="F37" s="81"/>
      <c r="G37" s="81">
        <f>data!C145</f>
        <v>4</v>
      </c>
    </row>
    <row r="38" spans="1:7" ht="20.100000000000001" customHeight="1" x14ac:dyDescent="0.25">
      <c r="A38" s="77"/>
      <c r="B38" s="78"/>
      <c r="C38" s="78"/>
      <c r="D38" s="78"/>
      <c r="E38" s="78"/>
      <c r="F38" s="78"/>
      <c r="G38" s="81"/>
    </row>
    <row r="39" spans="1:7" ht="20.100000000000001" customHeight="1" x14ac:dyDescent="0.25">
      <c r="A39" s="97">
        <v>13</v>
      </c>
      <c r="B39" s="98" t="s">
        <v>321</v>
      </c>
      <c r="C39" s="94"/>
      <c r="D39" s="94"/>
      <c r="E39" s="99"/>
      <c r="F39" s="99"/>
      <c r="G39" s="100"/>
    </row>
    <row r="40" spans="1:7" ht="20.100000000000001" customHeight="1" x14ac:dyDescent="0.25">
      <c r="A40" s="101"/>
      <c r="B40" s="102" t="s">
        <v>820</v>
      </c>
      <c r="C40" s="103" t="s">
        <v>284</v>
      </c>
      <c r="D40" s="86">
        <f>data!C147</f>
        <v>0</v>
      </c>
      <c r="E40" s="104"/>
      <c r="F40" s="104"/>
      <c r="G40" s="105"/>
    </row>
  </sheetData>
  <phoneticPr fontId="0" type="noConversion"/>
  <printOptions horizontalCentered="1" verticalCentered="1" gridLines="1" gridLinesSet="0"/>
  <pageMargins left="0" right="0" top="0" bottom="0"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33"/>
  <sheetViews>
    <sheetView zoomScaleNormal="100" workbookViewId="0">
      <selection activeCell="E16" sqref="E16"/>
    </sheetView>
  </sheetViews>
  <sheetFormatPr defaultColWidth="8.77734375" defaultRowHeight="20.100000000000001" customHeight="1" x14ac:dyDescent="0.25"/>
  <cols>
    <col min="1" max="1" width="10.33203125" style="1" customWidth="1"/>
    <col min="2" max="2" width="10.77734375" style="1" customWidth="1"/>
    <col min="3" max="3" width="12.77734375" style="1" customWidth="1"/>
    <col min="4" max="4" width="11.77734375" style="1" customWidth="1"/>
    <col min="5" max="6" width="13.77734375" style="1" customWidth="1"/>
    <col min="7" max="7" width="14.77734375" style="1" customWidth="1"/>
    <col min="8" max="9" width="8.77734375" style="1" customWidth="1"/>
    <col min="10" max="16384" width="8.77734375" style="1"/>
  </cols>
  <sheetData>
    <row r="1" spans="1:10" ht="20.100000000000001" customHeight="1" x14ac:dyDescent="0.25">
      <c r="A1" s="129" t="s">
        <v>821</v>
      </c>
      <c r="G1" s="75" t="s">
        <v>822</v>
      </c>
    </row>
    <row r="2" spans="1:10" ht="20.100000000000001" customHeight="1" x14ac:dyDescent="0.25">
      <c r="A2" s="1" t="str">
        <f>"Hospital: "&amp;data!C98</f>
        <v>Hospital: Jefferson County Public Hospital District No 2</v>
      </c>
      <c r="B2" s="379"/>
      <c r="C2" s="79"/>
      <c r="D2" s="79"/>
      <c r="E2" s="79"/>
      <c r="F2" s="79"/>
      <c r="G2" s="381" t="s">
        <v>823</v>
      </c>
      <c r="H2" s="79"/>
      <c r="I2" s="79"/>
      <c r="J2" s="145"/>
    </row>
    <row r="3" spans="1:10" ht="20.100000000000001" customHeight="1" x14ac:dyDescent="0.25">
      <c r="B3" s="85"/>
      <c r="G3" s="4" t="str">
        <f>"FYE: "&amp;data!C96</f>
        <v>FYE: 12/31/2022</v>
      </c>
      <c r="J3" s="94"/>
    </row>
    <row r="4" spans="1:10" ht="20.100000000000001" customHeight="1" x14ac:dyDescent="0.25">
      <c r="A4" s="130" t="s">
        <v>824</v>
      </c>
      <c r="B4" s="382"/>
      <c r="C4" s="131"/>
      <c r="D4" s="131"/>
      <c r="E4" s="131"/>
      <c r="F4" s="131"/>
      <c r="G4" s="132"/>
      <c r="J4" s="94"/>
    </row>
    <row r="5" spans="1:10" ht="20.100000000000001" customHeight="1" x14ac:dyDescent="0.25">
      <c r="A5" s="133"/>
      <c r="B5" s="157" t="s">
        <v>825</v>
      </c>
      <c r="C5" s="88"/>
      <c r="D5" s="88"/>
      <c r="E5" s="134" t="s">
        <v>336</v>
      </c>
      <c r="F5" s="88"/>
      <c r="G5" s="88"/>
      <c r="J5" s="94"/>
    </row>
    <row r="6" spans="1:10" ht="20.100000000000001" customHeight="1" x14ac:dyDescent="0.25">
      <c r="A6" s="135" t="s">
        <v>826</v>
      </c>
      <c r="B6" s="383" t="s">
        <v>309</v>
      </c>
      <c r="C6" s="160" t="s">
        <v>827</v>
      </c>
      <c r="D6" s="160" t="s">
        <v>332</v>
      </c>
      <c r="E6" s="160" t="s">
        <v>180</v>
      </c>
      <c r="F6" s="160" t="s">
        <v>143</v>
      </c>
      <c r="G6" s="160" t="s">
        <v>215</v>
      </c>
      <c r="J6" s="94"/>
    </row>
    <row r="7" spans="1:10" ht="20.100000000000001" customHeight="1" x14ac:dyDescent="0.25">
      <c r="A7" s="175" t="s">
        <v>330</v>
      </c>
      <c r="B7" s="349">
        <f>data!B154</f>
        <v>804</v>
      </c>
      <c r="C7" s="349">
        <f>data!B155</f>
        <v>2765</v>
      </c>
      <c r="D7" s="399">
        <f>data!B156</f>
        <v>0</v>
      </c>
      <c r="E7" s="349">
        <f>data!B157</f>
        <v>26219926</v>
      </c>
      <c r="F7" s="349">
        <f>data!B158</f>
        <v>170851069</v>
      </c>
      <c r="G7" s="349">
        <f>data!B157+data!B158</f>
        <v>197070995</v>
      </c>
      <c r="J7" s="94"/>
    </row>
    <row r="8" spans="1:10" ht="20.100000000000001" customHeight="1" x14ac:dyDescent="0.25">
      <c r="A8" s="175" t="s">
        <v>331</v>
      </c>
      <c r="B8" s="349">
        <f>data!C154</f>
        <v>247</v>
      </c>
      <c r="C8" s="349">
        <f>data!C155</f>
        <v>23</v>
      </c>
      <c r="D8" s="400">
        <f>data!C156</f>
        <v>0</v>
      </c>
      <c r="E8" s="349">
        <f>data!C157</f>
        <v>7703861</v>
      </c>
      <c r="F8" s="349">
        <f>data!C158</f>
        <v>34429469</v>
      </c>
      <c r="G8" s="349">
        <f>data!C157+data!C158</f>
        <v>42133330</v>
      </c>
      <c r="J8" s="94"/>
    </row>
    <row r="9" spans="1:10" ht="20.100000000000001" customHeight="1" x14ac:dyDescent="0.25">
      <c r="A9" s="175" t="s">
        <v>828</v>
      </c>
      <c r="B9" s="349">
        <f>data!D154</f>
        <v>384</v>
      </c>
      <c r="C9" s="349">
        <f>data!D155</f>
        <v>1744</v>
      </c>
      <c r="D9" s="401">
        <f>data!D156</f>
        <v>0</v>
      </c>
      <c r="E9" s="349">
        <f>data!D157</f>
        <v>8330148</v>
      </c>
      <c r="F9" s="349">
        <f>data!D158</f>
        <v>72320283</v>
      </c>
      <c r="G9" s="349">
        <f>data!D157+data!D158</f>
        <v>80650431</v>
      </c>
      <c r="J9" s="94"/>
    </row>
    <row r="10" spans="1:10" ht="20.100000000000001" customHeight="1" x14ac:dyDescent="0.25">
      <c r="A10" s="173" t="s">
        <v>215</v>
      </c>
      <c r="B10" s="349">
        <f>data!E154</f>
        <v>1435</v>
      </c>
      <c r="C10" s="349">
        <f>data!E155</f>
        <v>4532</v>
      </c>
      <c r="D10" s="399">
        <f>data!E156</f>
        <v>0</v>
      </c>
      <c r="E10" s="349">
        <f>data!E157</f>
        <v>42253935</v>
      </c>
      <c r="F10" s="349">
        <f>data!E158</f>
        <v>277600821</v>
      </c>
      <c r="G10" s="349">
        <f>E10+F10</f>
        <v>319854756</v>
      </c>
      <c r="J10" s="94"/>
    </row>
    <row r="11" spans="1:10" ht="20.100000000000001" customHeight="1" x14ac:dyDescent="0.25">
      <c r="A11" s="137"/>
      <c r="B11" s="384"/>
      <c r="C11" s="138"/>
      <c r="D11" s="138"/>
      <c r="E11" s="138"/>
      <c r="F11" s="138"/>
      <c r="G11" s="139"/>
      <c r="J11" s="94"/>
    </row>
    <row r="12" spans="1:10" ht="20.100000000000001" customHeight="1" x14ac:dyDescent="0.25">
      <c r="A12" s="82"/>
      <c r="B12" s="82"/>
      <c r="C12" s="83"/>
      <c r="D12" s="83"/>
      <c r="E12" s="83"/>
      <c r="F12" s="83"/>
      <c r="G12" s="84"/>
      <c r="J12" s="94"/>
    </row>
    <row r="13" spans="1:10" ht="20.100000000000001" customHeight="1" x14ac:dyDescent="0.25">
      <c r="A13" s="140" t="s">
        <v>829</v>
      </c>
      <c r="B13" s="385"/>
      <c r="C13" s="76"/>
      <c r="D13" s="76"/>
      <c r="E13" s="76"/>
      <c r="F13" s="76"/>
      <c r="G13" s="141"/>
      <c r="J13" s="94"/>
    </row>
    <row r="14" spans="1:10" ht="20.100000000000001" customHeight="1" x14ac:dyDescent="0.25">
      <c r="A14" s="77"/>
      <c r="B14" s="157" t="s">
        <v>825</v>
      </c>
      <c r="C14" s="157"/>
      <c r="D14" s="157"/>
      <c r="E14" s="157" t="s">
        <v>336</v>
      </c>
      <c r="F14" s="157"/>
      <c r="G14" s="157"/>
      <c r="H14" s="144"/>
      <c r="I14" s="144"/>
      <c r="J14" s="86"/>
    </row>
    <row r="15" spans="1:10" ht="20.100000000000001" customHeight="1" x14ac:dyDescent="0.25">
      <c r="A15" s="90" t="s">
        <v>826</v>
      </c>
      <c r="B15" s="90" t="s">
        <v>309</v>
      </c>
      <c r="C15" s="90" t="s">
        <v>827</v>
      </c>
      <c r="D15" s="90" t="s">
        <v>332</v>
      </c>
      <c r="E15" s="90" t="s">
        <v>180</v>
      </c>
      <c r="F15" s="90" t="s">
        <v>143</v>
      </c>
      <c r="G15" s="90" t="s">
        <v>215</v>
      </c>
    </row>
    <row r="16" spans="1:10" ht="20.100000000000001" customHeight="1" x14ac:dyDescent="0.25">
      <c r="A16" s="77" t="s">
        <v>330</v>
      </c>
      <c r="B16" s="349">
        <f>data!B160</f>
        <v>4</v>
      </c>
      <c r="C16" s="349">
        <f>data!B161</f>
        <v>31</v>
      </c>
      <c r="D16" s="349">
        <f>data!B162</f>
        <v>0</v>
      </c>
      <c r="E16" s="349">
        <f>data!B163</f>
        <v>56424</v>
      </c>
      <c r="F16" s="349"/>
      <c r="G16" s="349">
        <f>E16+F16</f>
        <v>56424</v>
      </c>
    </row>
    <row r="17" spans="1:7" ht="20.100000000000001" customHeight="1" x14ac:dyDescent="0.25">
      <c r="A17" s="77" t="s">
        <v>331</v>
      </c>
      <c r="B17" s="349">
        <f>data!C160</f>
        <v>5</v>
      </c>
      <c r="C17" s="349">
        <f>data!C161</f>
        <v>63</v>
      </c>
      <c r="D17" s="349">
        <f>data!C162</f>
        <v>0</v>
      </c>
      <c r="E17" s="349">
        <f>data!C163</f>
        <v>114669</v>
      </c>
      <c r="F17" s="349"/>
      <c r="G17" s="349">
        <f t="shared" ref="G17:G19" si="0">E17+F17</f>
        <v>114669</v>
      </c>
    </row>
    <row r="18" spans="1:7" ht="20.100000000000001" customHeight="1" x14ac:dyDescent="0.25">
      <c r="A18" s="77" t="s">
        <v>828</v>
      </c>
      <c r="B18" s="349">
        <f>data!D160</f>
        <v>0</v>
      </c>
      <c r="C18" s="349">
        <f>data!D161</f>
        <v>0</v>
      </c>
      <c r="D18" s="349">
        <f>data!D162</f>
        <v>0</v>
      </c>
      <c r="E18" s="349">
        <f>data!D163</f>
        <v>0</v>
      </c>
      <c r="F18" s="349"/>
      <c r="G18" s="349">
        <f t="shared" si="0"/>
        <v>0</v>
      </c>
    </row>
    <row r="19" spans="1:7" ht="20.100000000000001" customHeight="1" x14ac:dyDescent="0.25">
      <c r="A19" s="90" t="s">
        <v>215</v>
      </c>
      <c r="B19" s="349">
        <f>data!E160</f>
        <v>9</v>
      </c>
      <c r="C19" s="349">
        <f>data!E161</f>
        <v>94</v>
      </c>
      <c r="D19" s="349">
        <f>data!E162</f>
        <v>0</v>
      </c>
      <c r="E19" s="349">
        <f>data!E163</f>
        <v>171093</v>
      </c>
      <c r="F19" s="349"/>
      <c r="G19" s="349">
        <f t="shared" si="0"/>
        <v>171093</v>
      </c>
    </row>
    <row r="20" spans="1:7" ht="20.100000000000001" customHeight="1" x14ac:dyDescent="0.25">
      <c r="A20" s="137"/>
      <c r="B20" s="138"/>
      <c r="C20" s="138"/>
      <c r="D20" s="138"/>
      <c r="E20" s="138"/>
      <c r="F20" s="138"/>
      <c r="G20" s="139"/>
    </row>
    <row r="21" spans="1:7" ht="20.100000000000001" customHeight="1" x14ac:dyDescent="0.25">
      <c r="A21" s="82"/>
      <c r="B21" s="83"/>
      <c r="C21" s="83"/>
      <c r="D21" s="83"/>
      <c r="E21" s="83"/>
      <c r="F21" s="83"/>
      <c r="G21" s="84"/>
    </row>
    <row r="22" spans="1:7" ht="20.100000000000001" customHeight="1" x14ac:dyDescent="0.25">
      <c r="A22" s="140" t="s">
        <v>830</v>
      </c>
      <c r="B22" s="76"/>
      <c r="C22" s="76"/>
      <c r="D22" s="76"/>
      <c r="E22" s="76"/>
      <c r="F22" s="76"/>
      <c r="G22" s="141"/>
    </row>
    <row r="23" spans="1:7" ht="20.100000000000001" customHeight="1" x14ac:dyDescent="0.25">
      <c r="A23" s="133"/>
      <c r="B23" s="88" t="s">
        <v>825</v>
      </c>
      <c r="C23" s="88"/>
      <c r="D23" s="88"/>
      <c r="E23" s="88" t="s">
        <v>336</v>
      </c>
      <c r="F23" s="88"/>
      <c r="G23" s="88"/>
    </row>
    <row r="24" spans="1:7" ht="20.100000000000001" customHeight="1" x14ac:dyDescent="0.25">
      <c r="A24" s="135" t="s">
        <v>826</v>
      </c>
      <c r="B24" s="91" t="s">
        <v>309</v>
      </c>
      <c r="C24" s="91" t="s">
        <v>827</v>
      </c>
      <c r="D24" s="91" t="s">
        <v>332</v>
      </c>
      <c r="E24" s="91" t="s">
        <v>180</v>
      </c>
      <c r="F24" s="91" t="s">
        <v>143</v>
      </c>
      <c r="G24" s="91" t="s">
        <v>215</v>
      </c>
    </row>
    <row r="25" spans="1:7" ht="20.100000000000001" customHeight="1" x14ac:dyDescent="0.25">
      <c r="A25" s="77" t="s">
        <v>330</v>
      </c>
      <c r="B25" s="136">
        <f>data!B166</f>
        <v>0</v>
      </c>
      <c r="C25" s="136">
        <f>data!B167</f>
        <v>0</v>
      </c>
      <c r="D25" s="136">
        <f>data!B168</f>
        <v>0</v>
      </c>
      <c r="E25" s="136">
        <f>data!B169</f>
        <v>0</v>
      </c>
      <c r="F25" s="136">
        <f>data!B170</f>
        <v>0</v>
      </c>
      <c r="G25" s="136">
        <f>data!B169+data!B170</f>
        <v>0</v>
      </c>
    </row>
    <row r="26" spans="1:7" ht="20.100000000000001" customHeight="1" x14ac:dyDescent="0.25">
      <c r="A26" s="77" t="s">
        <v>331</v>
      </c>
      <c r="B26" s="136">
        <f>data!C166</f>
        <v>0</v>
      </c>
      <c r="C26" s="136">
        <f>data!C167</f>
        <v>0</v>
      </c>
      <c r="D26" s="136">
        <f>data!C168</f>
        <v>0</v>
      </c>
      <c r="E26" s="136">
        <f>data!C169</f>
        <v>0</v>
      </c>
      <c r="F26" s="136">
        <f>data!C170</f>
        <v>0</v>
      </c>
      <c r="G26" s="136">
        <f>data!C169+data!C170</f>
        <v>0</v>
      </c>
    </row>
    <row r="27" spans="1:7" ht="20.100000000000001" customHeight="1" x14ac:dyDescent="0.25">
      <c r="A27" s="77" t="s">
        <v>828</v>
      </c>
      <c r="B27" s="136">
        <f>data!D166</f>
        <v>0</v>
      </c>
      <c r="C27" s="136">
        <f>data!D167</f>
        <v>0</v>
      </c>
      <c r="D27" s="136">
        <f>data!D168</f>
        <v>0</v>
      </c>
      <c r="E27" s="136">
        <f>data!D169</f>
        <v>0</v>
      </c>
      <c r="F27" s="136">
        <f>data!D170</f>
        <v>0</v>
      </c>
      <c r="G27" s="136">
        <f>data!D169+data!D170</f>
        <v>0</v>
      </c>
    </row>
    <row r="28" spans="1:7" ht="20.100000000000001" customHeight="1" x14ac:dyDescent="0.25">
      <c r="A28" s="90" t="s">
        <v>215</v>
      </c>
      <c r="B28" s="136">
        <f>data!E166</f>
        <v>0</v>
      </c>
      <c r="C28" s="136">
        <f>data!E167</f>
        <v>0</v>
      </c>
      <c r="D28" s="136">
        <f>data!E168</f>
        <v>0</v>
      </c>
      <c r="E28" s="136">
        <f>data!E169</f>
        <v>0</v>
      </c>
      <c r="F28" s="136">
        <f>data!E170</f>
        <v>0</v>
      </c>
      <c r="G28" s="136">
        <f>data!E169+data!E170</f>
        <v>0</v>
      </c>
    </row>
    <row r="29" spans="1:7" ht="20.100000000000001" customHeight="1" x14ac:dyDescent="0.25">
      <c r="A29" s="137"/>
      <c r="B29" s="138"/>
      <c r="C29" s="138"/>
      <c r="D29" s="138"/>
      <c r="E29" s="138"/>
      <c r="F29" s="138"/>
      <c r="G29" s="139"/>
    </row>
    <row r="30" spans="1:7" ht="20.100000000000001" customHeight="1" x14ac:dyDescent="0.25">
      <c r="A30" s="82"/>
      <c r="B30" s="93"/>
      <c r="C30" s="83"/>
      <c r="D30" s="83"/>
      <c r="E30" s="83"/>
      <c r="F30" s="83"/>
      <c r="G30" s="84"/>
    </row>
    <row r="31" spans="1:7" ht="20.100000000000001" customHeight="1" x14ac:dyDescent="0.25">
      <c r="A31" s="143" t="s">
        <v>831</v>
      </c>
      <c r="B31" s="144"/>
      <c r="C31" s="80"/>
      <c r="D31" s="79"/>
      <c r="E31" s="79"/>
      <c r="F31" s="79"/>
      <c r="G31" s="145"/>
    </row>
    <row r="32" spans="1:7" ht="20.100000000000001" customHeight="1" x14ac:dyDescent="0.25">
      <c r="A32" s="146"/>
      <c r="B32" s="147" t="s">
        <v>832</v>
      </c>
      <c r="C32" s="148">
        <f>data!B173</f>
        <v>39193843</v>
      </c>
      <c r="D32" s="80"/>
      <c r="E32" s="80"/>
      <c r="F32" s="80"/>
      <c r="G32" s="96"/>
    </row>
    <row r="33" spans="1:7" ht="20.100000000000001" customHeight="1" x14ac:dyDescent="0.25">
      <c r="A33" s="146"/>
      <c r="B33" s="149" t="s">
        <v>833</v>
      </c>
      <c r="C33" s="144">
        <f>data!C173</f>
        <v>14884096</v>
      </c>
      <c r="D33" s="144"/>
      <c r="E33" s="144"/>
      <c r="F33" s="144"/>
      <c r="G33" s="86"/>
    </row>
  </sheetData>
  <phoneticPr fontId="0" type="noConversion"/>
  <printOptions horizontalCentered="1" verticalCentered="1" gridLines="1" gridLinesSet="0"/>
  <pageMargins left="0" right="0" top="0" bottom="0"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41"/>
  <sheetViews>
    <sheetView topLeftCell="A28" workbookViewId="0">
      <selection activeCell="E16" sqref="E16"/>
    </sheetView>
  </sheetViews>
  <sheetFormatPr defaultColWidth="8.77734375" defaultRowHeight="15" x14ac:dyDescent="0.25"/>
  <cols>
    <col min="1" max="1" width="5.77734375" style="1" customWidth="1"/>
    <col min="2" max="2" width="54.109375" style="1" customWidth="1"/>
    <col min="3" max="3" width="13.77734375" style="1" customWidth="1"/>
    <col min="4" max="5" width="8.77734375" style="1" customWidth="1"/>
    <col min="6" max="16384" width="8.77734375" style="1"/>
  </cols>
  <sheetData>
    <row r="1" spans="1:10" ht="20.100000000000001" customHeight="1" x14ac:dyDescent="0.25">
      <c r="A1" s="150" t="s">
        <v>339</v>
      </c>
      <c r="B1" s="76"/>
      <c r="C1" s="75" t="s">
        <v>834</v>
      </c>
    </row>
    <row r="2" spans="1:10" ht="20.100000000000001" customHeight="1" x14ac:dyDescent="0.25">
      <c r="A2" s="98"/>
      <c r="B2" s="379"/>
      <c r="C2" s="79"/>
      <c r="D2" s="79"/>
      <c r="E2" s="79"/>
      <c r="F2" s="79"/>
      <c r="G2" s="79"/>
      <c r="H2" s="79"/>
      <c r="I2" s="79"/>
      <c r="J2" s="145"/>
    </row>
    <row r="3" spans="1:10" ht="20.100000000000001" customHeight="1" x14ac:dyDescent="0.25">
      <c r="A3" s="129" t="str">
        <f>"Hospital: "&amp;data!C98</f>
        <v>Hospital: Jefferson County Public Hospital District No 2</v>
      </c>
      <c r="B3" s="82"/>
      <c r="C3" s="151" t="str">
        <f>"FYE: "&amp;data!C96</f>
        <v>FYE: 12/31/2022</v>
      </c>
      <c r="J3" s="94"/>
    </row>
    <row r="4" spans="1:10" ht="20.100000000000001" customHeight="1" x14ac:dyDescent="0.25">
      <c r="A4" s="83"/>
      <c r="B4" s="85"/>
      <c r="J4" s="94"/>
    </row>
    <row r="5" spans="1:10" ht="20.100000000000001" customHeight="1" x14ac:dyDescent="0.25">
      <c r="A5" s="77">
        <v>1</v>
      </c>
      <c r="B5" s="87" t="s">
        <v>340</v>
      </c>
      <c r="C5" s="132"/>
      <c r="J5" s="94"/>
    </row>
    <row r="6" spans="1:10" ht="20.100000000000001" customHeight="1" x14ac:dyDescent="0.25">
      <c r="A6" s="152">
        <v>2</v>
      </c>
      <c r="B6" s="375" t="s">
        <v>835</v>
      </c>
      <c r="C6" s="133">
        <f>data!C181</f>
        <v>5031859</v>
      </c>
      <c r="J6" s="94"/>
    </row>
    <row r="7" spans="1:10" ht="20.100000000000001" customHeight="1" x14ac:dyDescent="0.25">
      <c r="A7" s="353">
        <v>3</v>
      </c>
      <c r="B7" s="380" t="s">
        <v>342</v>
      </c>
      <c r="C7" s="83">
        <f>data!C182</f>
        <v>278740</v>
      </c>
      <c r="J7" s="94"/>
    </row>
    <row r="8" spans="1:10" ht="20.100000000000001" customHeight="1" x14ac:dyDescent="0.25">
      <c r="A8" s="353">
        <v>4</v>
      </c>
      <c r="B8" s="82" t="s">
        <v>343</v>
      </c>
      <c r="C8" s="83">
        <f>data!C183</f>
        <v>456119</v>
      </c>
      <c r="J8" s="94"/>
    </row>
    <row r="9" spans="1:10" ht="20.100000000000001" customHeight="1" x14ac:dyDescent="0.25">
      <c r="A9" s="353">
        <v>5</v>
      </c>
      <c r="B9" s="82" t="s">
        <v>344</v>
      </c>
      <c r="C9" s="83">
        <f>data!C184</f>
        <v>7394553</v>
      </c>
      <c r="J9" s="94"/>
    </row>
    <row r="10" spans="1:10" ht="20.100000000000001" customHeight="1" x14ac:dyDescent="0.25">
      <c r="A10" s="353">
        <v>6</v>
      </c>
      <c r="B10" s="82" t="s">
        <v>345</v>
      </c>
      <c r="C10" s="83">
        <f>data!C185</f>
        <v>0</v>
      </c>
      <c r="J10" s="94"/>
    </row>
    <row r="11" spans="1:10" ht="20.100000000000001" customHeight="1" x14ac:dyDescent="0.25">
      <c r="A11" s="153">
        <v>7</v>
      </c>
      <c r="B11" s="353" t="s">
        <v>346</v>
      </c>
      <c r="C11" s="153">
        <f>data!C186</f>
        <v>2981927</v>
      </c>
      <c r="J11" s="94"/>
    </row>
    <row r="12" spans="1:10" ht="20.100000000000001" customHeight="1" x14ac:dyDescent="0.25">
      <c r="A12" s="153">
        <v>8</v>
      </c>
      <c r="B12" s="175" t="s">
        <v>347</v>
      </c>
      <c r="C12" s="77">
        <f>data!C187</f>
        <v>105076</v>
      </c>
      <c r="J12" s="94"/>
    </row>
    <row r="13" spans="1:10" ht="20.100000000000001" customHeight="1" x14ac:dyDescent="0.25">
      <c r="A13" s="153">
        <v>9</v>
      </c>
      <c r="B13" s="175" t="s">
        <v>347</v>
      </c>
      <c r="C13" s="77">
        <f>data!C188</f>
        <v>0</v>
      </c>
      <c r="J13" s="94"/>
    </row>
    <row r="14" spans="1:10" ht="20.100000000000001" customHeight="1" x14ac:dyDescent="0.25">
      <c r="A14" s="153">
        <v>10</v>
      </c>
      <c r="B14" s="175" t="s">
        <v>836</v>
      </c>
      <c r="C14" s="77">
        <f>data!D189</f>
        <v>16248274</v>
      </c>
      <c r="D14" s="144"/>
      <c r="E14" s="144"/>
      <c r="F14" s="144"/>
      <c r="G14" s="144"/>
      <c r="H14" s="144"/>
      <c r="I14" s="144"/>
      <c r="J14" s="86"/>
    </row>
    <row r="15" spans="1:10" ht="20.100000000000001" customHeight="1" x14ac:dyDescent="0.25">
      <c r="A15" s="82"/>
      <c r="B15" s="83"/>
      <c r="C15" s="84"/>
    </row>
    <row r="16" spans="1:10" ht="20.100000000000001" customHeight="1" thickBot="1" x14ac:dyDescent="0.3">
      <c r="A16" s="82"/>
      <c r="B16" s="397"/>
      <c r="C16" s="347"/>
      <c r="D16" s="344"/>
      <c r="E16" s="344"/>
      <c r="F16" s="344"/>
      <c r="G16" s="344"/>
      <c r="H16" s="344"/>
    </row>
    <row r="17" spans="1:3" ht="20.100000000000001" customHeight="1" thickTop="1" x14ac:dyDescent="0.25">
      <c r="A17" s="154">
        <v>11</v>
      </c>
      <c r="B17" s="387" t="s">
        <v>348</v>
      </c>
      <c r="C17" s="388"/>
    </row>
    <row r="18" spans="1:3" ht="20.100000000000001" customHeight="1" x14ac:dyDescent="0.25">
      <c r="A18" s="77">
        <v>12</v>
      </c>
      <c r="B18" s="78" t="s">
        <v>837</v>
      </c>
      <c r="C18" s="77">
        <f>data!C191</f>
        <v>285332</v>
      </c>
    </row>
    <row r="19" spans="1:3" ht="20.100000000000001" customHeight="1" x14ac:dyDescent="0.25">
      <c r="A19" s="77">
        <v>13</v>
      </c>
      <c r="B19" s="78" t="s">
        <v>838</v>
      </c>
      <c r="C19" s="77">
        <f>data!C192</f>
        <v>414914</v>
      </c>
    </row>
    <row r="20" spans="1:3" ht="20.100000000000001" customHeight="1" x14ac:dyDescent="0.25">
      <c r="A20" s="77">
        <v>14</v>
      </c>
      <c r="B20" s="78" t="s">
        <v>839</v>
      </c>
      <c r="C20" s="77">
        <f>data!D193</f>
        <v>700246</v>
      </c>
    </row>
    <row r="21" spans="1:3" ht="20.100000000000001" customHeight="1" x14ac:dyDescent="0.25">
      <c r="A21" s="82"/>
      <c r="B21" s="83"/>
      <c r="C21" s="84"/>
    </row>
    <row r="22" spans="1:3" ht="20.100000000000001" customHeight="1" x14ac:dyDescent="0.25">
      <c r="A22" s="82"/>
      <c r="C22" s="155"/>
    </row>
    <row r="23" spans="1:3" ht="20.100000000000001" customHeight="1" x14ac:dyDescent="0.25">
      <c r="A23" s="133">
        <v>15</v>
      </c>
      <c r="B23" s="156" t="s">
        <v>351</v>
      </c>
      <c r="C23" s="132"/>
    </row>
    <row r="24" spans="1:3" ht="20.100000000000001" customHeight="1" x14ac:dyDescent="0.25">
      <c r="A24" s="77">
        <v>16</v>
      </c>
      <c r="B24" s="89" t="s">
        <v>840</v>
      </c>
      <c r="C24" s="157"/>
    </row>
    <row r="25" spans="1:3" ht="20.100000000000001" customHeight="1" x14ac:dyDescent="0.25">
      <c r="A25" s="77">
        <v>17</v>
      </c>
      <c r="B25" s="78" t="s">
        <v>841</v>
      </c>
      <c r="C25" s="77">
        <f>data!C195</f>
        <v>1215125</v>
      </c>
    </row>
    <row r="26" spans="1:3" ht="20.100000000000001" customHeight="1" x14ac:dyDescent="0.25">
      <c r="A26" s="77">
        <v>18</v>
      </c>
      <c r="B26" s="78" t="s">
        <v>353</v>
      </c>
      <c r="C26" s="77">
        <f>data!C196</f>
        <v>174477</v>
      </c>
    </row>
    <row r="27" spans="1:3" ht="20.100000000000001" customHeight="1" x14ac:dyDescent="0.25">
      <c r="A27" s="77">
        <v>19</v>
      </c>
      <c r="B27" s="78" t="s">
        <v>842</v>
      </c>
      <c r="C27" s="77">
        <f>data!D197</f>
        <v>1389602</v>
      </c>
    </row>
    <row r="28" spans="1:3" ht="20.100000000000001" customHeight="1" x14ac:dyDescent="0.25">
      <c r="A28" s="82"/>
      <c r="B28" s="83"/>
      <c r="C28" s="84"/>
    </row>
    <row r="29" spans="1:3" ht="20.100000000000001" customHeight="1" x14ac:dyDescent="0.25">
      <c r="A29" s="82"/>
      <c r="B29" s="83"/>
      <c r="C29" s="84"/>
    </row>
    <row r="30" spans="1:3" ht="20.100000000000001" customHeight="1" x14ac:dyDescent="0.25">
      <c r="A30" s="133">
        <v>20</v>
      </c>
      <c r="B30" s="156" t="s">
        <v>843</v>
      </c>
      <c r="C30" s="142"/>
    </row>
    <row r="31" spans="1:3" ht="20.100000000000001" customHeight="1" x14ac:dyDescent="0.25">
      <c r="A31" s="77">
        <v>21</v>
      </c>
      <c r="B31" s="78" t="s">
        <v>355</v>
      </c>
      <c r="C31" s="77">
        <f>data!C199</f>
        <v>1014306</v>
      </c>
    </row>
    <row r="32" spans="1:3" ht="20.100000000000001" customHeight="1" x14ac:dyDescent="0.25">
      <c r="A32" s="77">
        <v>22</v>
      </c>
      <c r="B32" s="78" t="s">
        <v>844</v>
      </c>
      <c r="C32" s="77">
        <f>data!C200</f>
        <v>0</v>
      </c>
    </row>
    <row r="33" spans="1:3" ht="20.100000000000001" customHeight="1" x14ac:dyDescent="0.25">
      <c r="A33" s="77">
        <v>23</v>
      </c>
      <c r="B33" s="78" t="s">
        <v>144</v>
      </c>
      <c r="C33" s="77">
        <f>data!C201</f>
        <v>0</v>
      </c>
    </row>
    <row r="34" spans="1:3" ht="20.100000000000001" customHeight="1" x14ac:dyDescent="0.25">
      <c r="A34" s="77">
        <v>24</v>
      </c>
      <c r="B34" s="78" t="s">
        <v>845</v>
      </c>
      <c r="C34" s="77">
        <f>data!D202</f>
        <v>1014306</v>
      </c>
    </row>
    <row r="35" spans="1:3" ht="20.100000000000001" customHeight="1" x14ac:dyDescent="0.25">
      <c r="A35" s="82"/>
      <c r="B35" s="83"/>
      <c r="C35" s="84"/>
    </row>
    <row r="36" spans="1:3" ht="20.100000000000001" customHeight="1" x14ac:dyDescent="0.25">
      <c r="A36" s="82"/>
      <c r="B36" s="83"/>
      <c r="C36" s="84"/>
    </row>
    <row r="37" spans="1:3" ht="20.100000000000001" customHeight="1" x14ac:dyDescent="0.25">
      <c r="A37" s="133">
        <v>25</v>
      </c>
      <c r="B37" s="156" t="s">
        <v>357</v>
      </c>
      <c r="C37" s="132"/>
    </row>
    <row r="38" spans="1:3" ht="20.100000000000001" customHeight="1" x14ac:dyDescent="0.25">
      <c r="A38" s="77">
        <v>26</v>
      </c>
      <c r="B38" s="78" t="s">
        <v>846</v>
      </c>
      <c r="C38" s="77">
        <f>data!C204</f>
        <v>90</v>
      </c>
    </row>
    <row r="39" spans="1:3" ht="20.100000000000001" customHeight="1" x14ac:dyDescent="0.25">
      <c r="A39" s="77">
        <v>27</v>
      </c>
      <c r="B39" s="78" t="s">
        <v>359</v>
      </c>
      <c r="C39" s="77">
        <f>data!C205</f>
        <v>950558</v>
      </c>
    </row>
    <row r="40" spans="1:3" ht="20.100000000000001" customHeight="1" x14ac:dyDescent="0.25">
      <c r="A40" s="77">
        <v>28</v>
      </c>
      <c r="B40" s="78" t="s">
        <v>847</v>
      </c>
      <c r="C40" s="77">
        <f>data!D206</f>
        <v>950648</v>
      </c>
    </row>
    <row r="41" spans="1:3" x14ac:dyDescent="0.25">
      <c r="A41" s="83"/>
      <c r="B41" s="83"/>
      <c r="C41" s="83"/>
    </row>
  </sheetData>
  <phoneticPr fontId="0" type="noConversion"/>
  <printOptions horizontalCentered="1" verticalCentered="1" gridLines="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32"/>
  <sheetViews>
    <sheetView tabSelected="1" workbookViewId="0">
      <selection activeCell="L17" sqref="L17"/>
    </sheetView>
  </sheetViews>
  <sheetFormatPr defaultColWidth="8.77734375" defaultRowHeight="20.100000000000001" customHeight="1" x14ac:dyDescent="0.25"/>
  <cols>
    <col min="1" max="1" width="5.77734375" style="1" customWidth="1"/>
    <col min="2" max="2" width="22.5546875" style="1" customWidth="1"/>
    <col min="3" max="5" width="13.77734375" style="1" customWidth="1"/>
    <col min="6" max="6" width="15.77734375" style="1" customWidth="1"/>
    <col min="7" max="8" width="8.77734375" style="1" customWidth="1"/>
    <col min="9" max="16384" width="8.77734375" style="1"/>
  </cols>
  <sheetData>
    <row r="1" spans="1:10" ht="20.100000000000001" customHeight="1" x14ac:dyDescent="0.25">
      <c r="A1" s="150" t="s">
        <v>360</v>
      </c>
      <c r="B1" s="76"/>
      <c r="C1" s="76"/>
      <c r="D1" s="76"/>
      <c r="E1" s="76"/>
      <c r="F1" s="75" t="s">
        <v>848</v>
      </c>
    </row>
    <row r="2" spans="1:10" ht="20.100000000000001" customHeight="1" x14ac:dyDescent="0.25">
      <c r="B2" s="379"/>
      <c r="C2" s="79"/>
      <c r="D2" s="79"/>
      <c r="E2" s="79"/>
      <c r="F2" s="79"/>
      <c r="G2" s="79"/>
      <c r="H2" s="79"/>
      <c r="I2" s="79"/>
      <c r="J2" s="145"/>
    </row>
    <row r="3" spans="1:10" ht="20.100000000000001" customHeight="1" x14ac:dyDescent="0.25">
      <c r="A3" s="129" t="str">
        <f>"Hospital: "&amp;data!C98</f>
        <v>Hospital: Jefferson County Public Hospital District No 2</v>
      </c>
      <c r="B3" s="85"/>
      <c r="F3" s="151" t="str">
        <f>"FYE: "&amp;data!C96</f>
        <v>FYE: 12/31/2022</v>
      </c>
      <c r="J3" s="94"/>
    </row>
    <row r="4" spans="1:10" ht="20.100000000000001" customHeight="1" x14ac:dyDescent="0.25">
      <c r="A4" s="157" t="s">
        <v>361</v>
      </c>
      <c r="B4" s="157"/>
      <c r="C4" s="88"/>
      <c r="D4" s="89"/>
      <c r="E4" s="89"/>
      <c r="F4" s="88"/>
      <c r="J4" s="94"/>
    </row>
    <row r="5" spans="1:10" ht="20.100000000000001" customHeight="1" x14ac:dyDescent="0.25">
      <c r="A5" s="133"/>
      <c r="B5" s="133"/>
      <c r="C5" s="160" t="s">
        <v>849</v>
      </c>
      <c r="D5" s="160"/>
      <c r="E5" s="160"/>
      <c r="F5" s="160" t="s">
        <v>850</v>
      </c>
      <c r="J5" s="94"/>
    </row>
    <row r="6" spans="1:10" ht="20.100000000000001" customHeight="1" x14ac:dyDescent="0.25">
      <c r="A6" s="161"/>
      <c r="B6" s="161"/>
      <c r="C6" s="162" t="s">
        <v>851</v>
      </c>
      <c r="D6" s="162"/>
      <c r="E6" s="162" t="s">
        <v>852</v>
      </c>
      <c r="F6" s="162" t="s">
        <v>851</v>
      </c>
      <c r="J6" s="94"/>
    </row>
    <row r="7" spans="1:10" ht="20.100000000000001" customHeight="1" x14ac:dyDescent="0.25">
      <c r="A7" s="175">
        <v>1</v>
      </c>
      <c r="B7" s="82" t="s">
        <v>366</v>
      </c>
      <c r="C7" s="83">
        <f>data!B211</f>
        <v>1722171</v>
      </c>
      <c r="D7" s="168"/>
      <c r="E7" s="83">
        <f>data!D211</f>
        <v>0</v>
      </c>
      <c r="F7" s="83">
        <f>data!E211</f>
        <v>2164252</v>
      </c>
      <c r="J7" s="94"/>
    </row>
    <row r="8" spans="1:10" ht="20.100000000000001" customHeight="1" x14ac:dyDescent="0.25">
      <c r="A8" s="175">
        <v>2</v>
      </c>
      <c r="B8" s="82" t="s">
        <v>367</v>
      </c>
      <c r="C8" s="83">
        <f>data!B212</f>
        <v>4028158</v>
      </c>
      <c r="D8" s="168"/>
      <c r="E8" s="83">
        <f>data!D212</f>
        <v>0</v>
      </c>
      <c r="F8" s="83">
        <f>data!E212</f>
        <v>4028158</v>
      </c>
      <c r="J8" s="94"/>
    </row>
    <row r="9" spans="1:10" ht="20.100000000000001" customHeight="1" x14ac:dyDescent="0.25">
      <c r="A9" s="175">
        <v>3</v>
      </c>
      <c r="B9" s="82" t="s">
        <v>368</v>
      </c>
      <c r="C9" s="83">
        <f>data!B213</f>
        <v>49251245</v>
      </c>
      <c r="E9" s="83">
        <f>data!D213</f>
        <v>0</v>
      </c>
      <c r="F9" s="83">
        <f>data!E213</f>
        <v>55883157</v>
      </c>
      <c r="J9" s="94"/>
    </row>
    <row r="10" spans="1:10" ht="20.100000000000001" customHeight="1" x14ac:dyDescent="0.25">
      <c r="A10" s="175">
        <v>4</v>
      </c>
      <c r="B10" s="82" t="s">
        <v>853</v>
      </c>
      <c r="C10" s="83">
        <f>data!B214</f>
        <v>0</v>
      </c>
      <c r="D10" s="83">
        <f>data!C214</f>
        <v>0</v>
      </c>
      <c r="E10" s="83">
        <f>data!D214</f>
        <v>0</v>
      </c>
      <c r="F10" s="83">
        <f>data!E214</f>
        <v>0</v>
      </c>
      <c r="J10" s="94"/>
    </row>
    <row r="11" spans="1:10" ht="20.100000000000001" customHeight="1" x14ac:dyDescent="0.25">
      <c r="A11" s="77">
        <v>5</v>
      </c>
      <c r="B11" s="153" t="s">
        <v>854</v>
      </c>
      <c r="C11" s="165">
        <f>data!B215</f>
        <v>22413231</v>
      </c>
      <c r="D11" s="165">
        <f>data!C215</f>
        <v>359527</v>
      </c>
      <c r="E11" s="165">
        <f>data!D215</f>
        <v>0</v>
      </c>
      <c r="F11" s="165">
        <f>data!E215</f>
        <v>22772758</v>
      </c>
      <c r="J11" s="94"/>
    </row>
    <row r="12" spans="1:10" ht="20.100000000000001" customHeight="1" x14ac:dyDescent="0.25">
      <c r="A12" s="77">
        <v>6</v>
      </c>
      <c r="B12" s="77" t="s">
        <v>855</v>
      </c>
      <c r="C12" s="81">
        <f>data!B216</f>
        <v>10736103</v>
      </c>
      <c r="D12" s="81">
        <f>data!C216</f>
        <v>419414</v>
      </c>
      <c r="E12" s="81">
        <f>data!D216</f>
        <v>0</v>
      </c>
      <c r="F12" s="81">
        <f>data!E216</f>
        <v>11155517</v>
      </c>
      <c r="J12" s="94"/>
    </row>
    <row r="13" spans="1:10" ht="20.100000000000001" customHeight="1" x14ac:dyDescent="0.25">
      <c r="A13" s="77">
        <v>7</v>
      </c>
      <c r="B13" s="77" t="s">
        <v>856</v>
      </c>
      <c r="C13" s="81">
        <f>data!B217</f>
        <v>0</v>
      </c>
      <c r="D13" s="81">
        <f>data!C217</f>
        <v>0</v>
      </c>
      <c r="E13" s="81">
        <f>data!D217</f>
        <v>0</v>
      </c>
      <c r="F13" s="81">
        <f>data!E217</f>
        <v>0</v>
      </c>
      <c r="J13" s="94"/>
    </row>
    <row r="14" spans="1:10" ht="20.100000000000001" customHeight="1" x14ac:dyDescent="0.25">
      <c r="A14" s="77">
        <v>8</v>
      </c>
      <c r="B14" s="77" t="s">
        <v>373</v>
      </c>
      <c r="C14" s="81">
        <f>data!B218</f>
        <v>1361180</v>
      </c>
      <c r="D14" s="81">
        <f>data!C218</f>
        <v>8106</v>
      </c>
      <c r="E14" s="81">
        <f>data!D218</f>
        <v>0</v>
      </c>
      <c r="F14" s="81">
        <f>data!E218</f>
        <v>1369286</v>
      </c>
      <c r="G14" s="144"/>
      <c r="H14" s="144"/>
      <c r="I14" s="144"/>
      <c r="J14" s="86"/>
    </row>
    <row r="15" spans="1:10" ht="20.100000000000001" customHeight="1" x14ac:dyDescent="0.25">
      <c r="A15" s="77">
        <v>9</v>
      </c>
      <c r="B15" s="165" t="s">
        <v>857</v>
      </c>
      <c r="C15" s="165">
        <f>data!B219</f>
        <v>1394976</v>
      </c>
      <c r="D15" s="165">
        <f>data!C219</f>
        <v>3355794</v>
      </c>
      <c r="E15" s="165">
        <f>data!D219</f>
        <v>653850</v>
      </c>
      <c r="F15" s="84">
        <f>data!E219</f>
        <v>4096920</v>
      </c>
    </row>
    <row r="16" spans="1:10" ht="20.100000000000001" customHeight="1" thickBot="1" x14ac:dyDescent="0.3">
      <c r="A16" s="77">
        <v>10</v>
      </c>
      <c r="B16" s="345" t="s">
        <v>587</v>
      </c>
      <c r="C16" s="345">
        <f>data!B220</f>
        <v>90907064</v>
      </c>
      <c r="D16" s="345">
        <f>data!C220</f>
        <v>11216834</v>
      </c>
      <c r="E16" s="395">
        <f>data!D220</f>
        <v>653850</v>
      </c>
      <c r="F16" s="84">
        <f>data!E220</f>
        <v>101470048</v>
      </c>
      <c r="G16" s="344"/>
      <c r="H16" s="344"/>
    </row>
    <row r="17" spans="1:7" ht="20.100000000000001" customHeight="1" thickTop="1" x14ac:dyDescent="0.25">
      <c r="A17" s="82"/>
      <c r="B17" s="83"/>
      <c r="C17" s="83"/>
      <c r="D17" s="83"/>
      <c r="E17" s="83"/>
      <c r="F17" s="83"/>
      <c r="G17" s="83"/>
    </row>
    <row r="18" spans="1:7" ht="20.100000000000001" customHeight="1" x14ac:dyDescent="0.25">
      <c r="A18" s="85"/>
    </row>
    <row r="19" spans="1:7" ht="20.100000000000001" customHeight="1" x14ac:dyDescent="0.25">
      <c r="A19" s="85"/>
    </row>
    <row r="20" spans="1:7" ht="20.100000000000001" customHeight="1" x14ac:dyDescent="0.25">
      <c r="A20" s="157" t="s">
        <v>375</v>
      </c>
      <c r="B20" s="88"/>
      <c r="C20" s="88"/>
      <c r="D20" s="88"/>
      <c r="E20" s="88"/>
      <c r="F20" s="348"/>
    </row>
    <row r="21" spans="1:7" ht="20.100000000000001" customHeight="1" x14ac:dyDescent="0.25">
      <c r="A21" s="163"/>
      <c r="B21" s="155"/>
      <c r="C21" s="162" t="s">
        <v>849</v>
      </c>
      <c r="D21" s="4" t="s">
        <v>215</v>
      </c>
      <c r="E21" s="162"/>
      <c r="F21" s="162" t="s">
        <v>850</v>
      </c>
    </row>
    <row r="22" spans="1:7" ht="20.100000000000001" customHeight="1" x14ac:dyDescent="0.25">
      <c r="A22" s="163"/>
      <c r="B22" s="155"/>
      <c r="C22" s="162" t="s">
        <v>851</v>
      </c>
      <c r="D22" s="162" t="s">
        <v>858</v>
      </c>
      <c r="E22" s="162" t="s">
        <v>852</v>
      </c>
      <c r="F22" s="162" t="s">
        <v>851</v>
      </c>
    </row>
    <row r="23" spans="1:7" ht="20.100000000000001" customHeight="1" x14ac:dyDescent="0.25">
      <c r="A23" s="77">
        <v>11</v>
      </c>
      <c r="B23" s="164" t="s">
        <v>366</v>
      </c>
      <c r="C23" s="164"/>
      <c r="D23" s="164"/>
      <c r="E23" s="164"/>
      <c r="F23" s="164"/>
    </row>
    <row r="24" spans="1:7" ht="20.100000000000001" customHeight="1" x14ac:dyDescent="0.25">
      <c r="A24" s="77">
        <v>12</v>
      </c>
      <c r="B24" s="81" t="s">
        <v>367</v>
      </c>
      <c r="C24" s="81">
        <f>data!B225</f>
        <v>2013984</v>
      </c>
      <c r="D24" s="81">
        <f>data!C225</f>
        <v>245336</v>
      </c>
      <c r="E24" s="81">
        <f>data!D225</f>
        <v>0</v>
      </c>
      <c r="F24" s="81">
        <f>data!E225</f>
        <v>2259320</v>
      </c>
    </row>
    <row r="25" spans="1:7" ht="20.100000000000001" customHeight="1" x14ac:dyDescent="0.25">
      <c r="A25" s="77">
        <v>13</v>
      </c>
      <c r="B25" s="81" t="s">
        <v>368</v>
      </c>
      <c r="C25" s="81">
        <f>data!B226</f>
        <v>23433158</v>
      </c>
      <c r="D25" s="81">
        <f>data!C226</f>
        <v>3415105</v>
      </c>
      <c r="E25" s="81">
        <f>data!D226</f>
        <v>0</v>
      </c>
      <c r="F25" s="81">
        <f>data!E226</f>
        <v>26848263</v>
      </c>
    </row>
    <row r="26" spans="1:7" ht="20.100000000000001" customHeight="1" x14ac:dyDescent="0.25">
      <c r="A26" s="77">
        <v>14</v>
      </c>
      <c r="B26" s="81" t="s">
        <v>853</v>
      </c>
      <c r="C26" s="81">
        <f>data!B227</f>
        <v>0</v>
      </c>
      <c r="D26" s="81">
        <f>data!C227</f>
        <v>0</v>
      </c>
      <c r="E26" s="81">
        <f>data!D227</f>
        <v>0</v>
      </c>
      <c r="F26" s="81">
        <f>data!E227</f>
        <v>0</v>
      </c>
    </row>
    <row r="27" spans="1:7" ht="20.100000000000001" customHeight="1" x14ac:dyDescent="0.25">
      <c r="A27" s="77">
        <v>15</v>
      </c>
      <c r="B27" s="81" t="s">
        <v>854</v>
      </c>
      <c r="C27" s="81">
        <f>data!B228</f>
        <v>11721768</v>
      </c>
      <c r="D27" s="81">
        <f>data!C228</f>
        <v>1250957</v>
      </c>
      <c r="E27" s="81">
        <f>data!D228</f>
        <v>0</v>
      </c>
      <c r="F27" s="81">
        <f>data!E228</f>
        <v>12972725</v>
      </c>
    </row>
    <row r="28" spans="1:7" ht="20.100000000000001" customHeight="1" x14ac:dyDescent="0.25">
      <c r="A28" s="77">
        <v>16</v>
      </c>
      <c r="B28" s="81" t="s">
        <v>855</v>
      </c>
      <c r="C28" s="81">
        <f>data!B229</f>
        <v>15988664</v>
      </c>
      <c r="D28" s="81">
        <f>data!C229</f>
        <v>2372700</v>
      </c>
      <c r="E28" s="81">
        <f>data!D229</f>
        <v>0</v>
      </c>
      <c r="F28" s="81">
        <f>data!E229</f>
        <v>18361364</v>
      </c>
    </row>
    <row r="29" spans="1:7" ht="20.100000000000001" customHeight="1" x14ac:dyDescent="0.25">
      <c r="A29" s="77">
        <v>17</v>
      </c>
      <c r="B29" s="81" t="s">
        <v>856</v>
      </c>
      <c r="C29" s="81">
        <f>data!B230</f>
        <v>0</v>
      </c>
      <c r="D29" s="81">
        <f>data!C230</f>
        <v>0</v>
      </c>
      <c r="E29" s="81">
        <f>data!D230</f>
        <v>0</v>
      </c>
      <c r="F29" s="81">
        <f>data!E230</f>
        <v>0</v>
      </c>
    </row>
    <row r="30" spans="1:7" ht="20.100000000000001" customHeight="1" x14ac:dyDescent="0.25">
      <c r="A30" s="77">
        <v>18</v>
      </c>
      <c r="B30" s="81" t="s">
        <v>373</v>
      </c>
      <c r="C30" s="81">
        <f>data!B231</f>
        <v>1008024</v>
      </c>
      <c r="D30" s="81">
        <f>data!C231</f>
        <v>80938</v>
      </c>
      <c r="E30" s="81">
        <f>data!D231</f>
        <v>0</v>
      </c>
      <c r="F30" s="81">
        <f>data!E231</f>
        <v>1088962</v>
      </c>
    </row>
    <row r="31" spans="1:7" ht="20.100000000000001" customHeight="1" x14ac:dyDescent="0.25">
      <c r="A31" s="77">
        <v>19</v>
      </c>
      <c r="B31" s="81" t="s">
        <v>857</v>
      </c>
      <c r="C31" s="81">
        <f>data!B232</f>
        <v>0</v>
      </c>
      <c r="D31" s="81">
        <f>data!C232</f>
        <v>0</v>
      </c>
      <c r="E31" s="81">
        <f>data!D232</f>
        <v>0</v>
      </c>
      <c r="F31" s="81">
        <f>data!E232</f>
        <v>0</v>
      </c>
    </row>
    <row r="32" spans="1:7" ht="20.100000000000001" customHeight="1" x14ac:dyDescent="0.25">
      <c r="A32" s="77">
        <v>20</v>
      </c>
      <c r="B32" s="81" t="s">
        <v>587</v>
      </c>
      <c r="C32" s="81">
        <f>data!B233</f>
        <v>54165598</v>
      </c>
      <c r="D32" s="81">
        <f>data!C233</f>
        <v>7365036</v>
      </c>
      <c r="E32" s="81">
        <f>data!D233</f>
        <v>0</v>
      </c>
      <c r="F32" s="81">
        <f>data!E233</f>
        <v>61530634</v>
      </c>
    </row>
  </sheetData>
  <phoneticPr fontId="0" type="noConversion"/>
  <printOptions horizontalCentered="1" verticalCentered="1" gridLines="1" gridLinesSet="0"/>
  <pageMargins left="0" right="0" top="0" bottom="0" header="0" footer="0"/>
  <pageSetup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34"/>
  <sheetViews>
    <sheetView topLeftCell="A13" workbookViewId="0">
      <selection activeCell="E16" sqref="E16"/>
    </sheetView>
  </sheetViews>
  <sheetFormatPr defaultColWidth="8.77734375" defaultRowHeight="20.100000000000001" customHeight="1" x14ac:dyDescent="0.25"/>
  <cols>
    <col min="1" max="1" width="5.77734375" style="1" customWidth="1"/>
    <col min="2" max="2" width="7.77734375" style="1" customWidth="1"/>
    <col min="3" max="3" width="40.77734375" style="1" customWidth="1"/>
    <col min="4" max="4" width="15.77734375" style="1" customWidth="1"/>
    <col min="5" max="6" width="8.77734375" style="1" customWidth="1"/>
    <col min="7" max="16384" width="8.77734375" style="1"/>
  </cols>
  <sheetData>
    <row r="1" spans="1:10" ht="20.100000000000001" customHeight="1" x14ac:dyDescent="0.25">
      <c r="A1" s="76" t="s">
        <v>859</v>
      </c>
      <c r="B1" s="76"/>
      <c r="C1" s="76"/>
      <c r="D1" s="75" t="s">
        <v>860</v>
      </c>
    </row>
    <row r="2" spans="1:10" ht="20.100000000000001" customHeight="1" x14ac:dyDescent="0.25">
      <c r="A2" s="129" t="str">
        <f>"Hospital: "&amp;data!C98</f>
        <v>Hospital: Jefferson County Public Hospital District No 2</v>
      </c>
      <c r="B2" s="375"/>
      <c r="C2" s="340"/>
      <c r="D2" s="376" t="str">
        <f>"FYE: "&amp;data!C96</f>
        <v>FYE: 12/31/2022</v>
      </c>
      <c r="E2" s="79"/>
      <c r="F2" s="79"/>
      <c r="G2" s="79"/>
      <c r="H2" s="79"/>
      <c r="I2" s="79"/>
      <c r="J2" s="145"/>
    </row>
    <row r="3" spans="1:10" ht="20.100000000000001" customHeight="1" x14ac:dyDescent="0.25">
      <c r="A3" s="133"/>
      <c r="B3" s="133"/>
      <c r="C3" s="159"/>
      <c r="D3" s="159"/>
      <c r="J3" s="94"/>
    </row>
    <row r="4" spans="1:10" ht="20.100000000000001" customHeight="1" x14ac:dyDescent="0.25">
      <c r="A4" s="153"/>
      <c r="B4" s="153" t="s">
        <v>861</v>
      </c>
      <c r="C4" s="165" t="s">
        <v>862</v>
      </c>
      <c r="D4" s="166"/>
      <c r="J4" s="94"/>
    </row>
    <row r="5" spans="1:10" ht="20.100000000000001" customHeight="1" x14ac:dyDescent="0.25">
      <c r="A5" s="133">
        <v>1</v>
      </c>
      <c r="B5" s="170"/>
      <c r="C5" s="92" t="s">
        <v>377</v>
      </c>
      <c r="D5" s="81">
        <f>data!D237</f>
        <v>3772732</v>
      </c>
      <c r="J5" s="94"/>
    </row>
    <row r="6" spans="1:10" ht="20.100000000000001" customHeight="1" x14ac:dyDescent="0.25">
      <c r="A6" s="77">
        <v>2</v>
      </c>
      <c r="B6" s="82"/>
      <c r="C6" s="151" t="s">
        <v>473</v>
      </c>
      <c r="D6" s="162"/>
      <c r="J6" s="94"/>
    </row>
    <row r="7" spans="1:10" ht="20.100000000000001" customHeight="1" x14ac:dyDescent="0.25">
      <c r="A7" s="175">
        <v>3</v>
      </c>
      <c r="B7" s="377">
        <v>5810</v>
      </c>
      <c r="C7" s="83" t="s">
        <v>330</v>
      </c>
      <c r="D7" s="168"/>
      <c r="J7" s="94"/>
    </row>
    <row r="8" spans="1:10" ht="20.100000000000001" customHeight="1" x14ac:dyDescent="0.25">
      <c r="A8" s="175">
        <v>4</v>
      </c>
      <c r="B8" s="377">
        <v>5820</v>
      </c>
      <c r="C8" s="83" t="s">
        <v>331</v>
      </c>
      <c r="D8" s="168"/>
      <c r="J8" s="94"/>
    </row>
    <row r="9" spans="1:10" ht="20.100000000000001" customHeight="1" x14ac:dyDescent="0.25">
      <c r="A9" s="175">
        <v>5</v>
      </c>
      <c r="B9" s="377">
        <v>5830</v>
      </c>
      <c r="C9" s="83" t="s">
        <v>343</v>
      </c>
      <c r="J9" s="94"/>
    </row>
    <row r="10" spans="1:10" ht="20.100000000000001" customHeight="1" x14ac:dyDescent="0.25">
      <c r="A10" s="175">
        <v>6</v>
      </c>
      <c r="B10" s="377">
        <v>5840</v>
      </c>
      <c r="C10" s="83" t="s">
        <v>382</v>
      </c>
      <c r="D10" s="83">
        <f>data!C242</f>
        <v>0</v>
      </c>
      <c r="J10" s="94"/>
    </row>
    <row r="11" spans="1:10" ht="20.100000000000001" customHeight="1" x14ac:dyDescent="0.25">
      <c r="A11" s="77">
        <v>7</v>
      </c>
      <c r="B11" s="378">
        <v>5850</v>
      </c>
      <c r="C11" s="165" t="s">
        <v>863</v>
      </c>
      <c r="D11" s="165">
        <f>data!C243</f>
        <v>0</v>
      </c>
      <c r="J11" s="94"/>
    </row>
    <row r="12" spans="1:10" ht="20.100000000000001" customHeight="1" x14ac:dyDescent="0.25">
      <c r="A12" s="77">
        <v>8</v>
      </c>
      <c r="B12" s="170">
        <v>5860</v>
      </c>
      <c r="C12" s="81" t="s">
        <v>144</v>
      </c>
      <c r="D12" s="81">
        <f>data!C244</f>
        <v>29079742</v>
      </c>
      <c r="J12" s="94"/>
    </row>
    <row r="13" spans="1:10" ht="20.100000000000001" customHeight="1" x14ac:dyDescent="0.25">
      <c r="A13" s="77">
        <v>9</v>
      </c>
      <c r="B13" s="77"/>
      <c r="C13" s="81" t="s">
        <v>864</v>
      </c>
      <c r="D13" s="81">
        <f>data!D245</f>
        <v>162559200</v>
      </c>
      <c r="J13" s="94"/>
    </row>
    <row r="14" spans="1:10" ht="20.100000000000001" customHeight="1" x14ac:dyDescent="0.25">
      <c r="A14" s="161">
        <v>10</v>
      </c>
      <c r="B14" s="90"/>
      <c r="C14" s="91"/>
      <c r="D14" s="91"/>
      <c r="E14" s="144"/>
      <c r="F14" s="144"/>
      <c r="G14" s="144"/>
      <c r="H14" s="144"/>
      <c r="I14" s="144"/>
      <c r="J14" s="86"/>
    </row>
    <row r="15" spans="1:10" ht="20.100000000000001" customHeight="1" x14ac:dyDescent="0.25">
      <c r="A15" s="77">
        <v>11</v>
      </c>
      <c r="B15" s="168"/>
      <c r="C15" s="168" t="s">
        <v>386</v>
      </c>
      <c r="D15" s="162"/>
    </row>
    <row r="16" spans="1:10" ht="20.100000000000001" customHeight="1" thickBot="1" x14ac:dyDescent="0.3">
      <c r="A16" s="161">
        <v>12</v>
      </c>
      <c r="B16" s="394"/>
      <c r="C16" s="395" t="s">
        <v>865</v>
      </c>
      <c r="D16" s="396">
        <f>data!C247</f>
        <v>744</v>
      </c>
      <c r="E16" s="344"/>
      <c r="F16" s="344"/>
      <c r="G16" s="344"/>
      <c r="H16" s="344"/>
    </row>
    <row r="17" spans="1:4" ht="20.100000000000001" customHeight="1" thickTop="1" x14ac:dyDescent="0.25">
      <c r="A17" s="77">
        <v>13</v>
      </c>
      <c r="B17" s="168"/>
      <c r="C17" s="83"/>
      <c r="D17" s="84"/>
    </row>
    <row r="18" spans="1:4" ht="20.100000000000001" customHeight="1" x14ac:dyDescent="0.25">
      <c r="A18" s="77">
        <v>14</v>
      </c>
      <c r="B18" s="169">
        <v>5900</v>
      </c>
      <c r="C18" s="81" t="s">
        <v>388</v>
      </c>
      <c r="D18" s="81">
        <f>data!C249</f>
        <v>252260</v>
      </c>
    </row>
    <row r="19" spans="1:4" ht="20.100000000000001" customHeight="1" x14ac:dyDescent="0.25">
      <c r="A19" s="170">
        <v>15</v>
      </c>
      <c r="B19" s="167">
        <v>5910</v>
      </c>
      <c r="C19" s="92" t="s">
        <v>866</v>
      </c>
      <c r="D19" s="81">
        <f>data!C250</f>
        <v>3028305</v>
      </c>
    </row>
    <row r="20" spans="1:4" ht="20.100000000000001" customHeight="1" x14ac:dyDescent="0.25">
      <c r="A20" s="77">
        <v>16</v>
      </c>
      <c r="B20" s="81"/>
      <c r="C20" s="81"/>
      <c r="D20" s="91"/>
    </row>
    <row r="21" spans="1:4" ht="20.100000000000001" customHeight="1" x14ac:dyDescent="0.25">
      <c r="A21" s="77">
        <v>17</v>
      </c>
      <c r="B21" s="91"/>
      <c r="C21" s="91"/>
      <c r="D21" s="91"/>
    </row>
    <row r="22" spans="1:4" ht="20.100000000000001" customHeight="1" x14ac:dyDescent="0.25">
      <c r="A22" s="161">
        <v>18</v>
      </c>
      <c r="B22" s="91"/>
      <c r="C22" s="91" t="s">
        <v>867</v>
      </c>
      <c r="D22" s="81">
        <f>data!D252</f>
        <v>3280565</v>
      </c>
    </row>
    <row r="23" spans="1:4" ht="20.100000000000001" customHeight="1" x14ac:dyDescent="0.25">
      <c r="A23" s="170">
        <v>19</v>
      </c>
      <c r="B23" s="168"/>
      <c r="C23" s="168"/>
      <c r="D23" s="162"/>
    </row>
    <row r="24" spans="1:4" ht="20.100000000000001" customHeight="1" x14ac:dyDescent="0.25">
      <c r="A24" s="171">
        <v>20</v>
      </c>
      <c r="B24" s="167">
        <v>5970</v>
      </c>
      <c r="C24" s="81" t="s">
        <v>392</v>
      </c>
      <c r="D24" s="81">
        <f>data!C254</f>
        <v>0</v>
      </c>
    </row>
    <row r="25" spans="1:4" ht="20.100000000000001" customHeight="1" x14ac:dyDescent="0.25">
      <c r="A25" s="170">
        <v>21</v>
      </c>
      <c r="B25" s="83"/>
      <c r="C25" s="83"/>
      <c r="D25" s="162"/>
    </row>
    <row r="26" spans="1:4" ht="20.100000000000001" customHeight="1" x14ac:dyDescent="0.25">
      <c r="A26" s="77">
        <v>22</v>
      </c>
      <c r="B26" s="167">
        <v>5980</v>
      </c>
      <c r="C26" s="81" t="s">
        <v>868</v>
      </c>
      <c r="D26" s="81">
        <f>data!C255</f>
        <v>0</v>
      </c>
    </row>
    <row r="27" spans="1:4" ht="20.100000000000001" customHeight="1" x14ac:dyDescent="0.25">
      <c r="A27" s="153">
        <v>23</v>
      </c>
      <c r="B27" s="172" t="s">
        <v>869</v>
      </c>
      <c r="C27" s="91"/>
      <c r="D27" s="81">
        <f>data!D258</f>
        <v>169612497</v>
      </c>
    </row>
    <row r="28" spans="1:4" ht="20.100000000000001" customHeight="1" x14ac:dyDescent="0.25">
      <c r="A28" s="86">
        <v>24</v>
      </c>
      <c r="B28" s="147" t="s">
        <v>870</v>
      </c>
      <c r="C28" s="93"/>
      <c r="D28" s="166"/>
    </row>
    <row r="29" spans="1:4" ht="20.100000000000001" customHeight="1" x14ac:dyDescent="0.25">
      <c r="A29" s="173"/>
      <c r="B29" s="174"/>
      <c r="C29" s="174"/>
      <c r="D29" s="91"/>
    </row>
    <row r="30" spans="1:4" ht="20.100000000000001" customHeight="1" x14ac:dyDescent="0.25">
      <c r="A30" s="175"/>
      <c r="B30" s="78"/>
      <c r="C30" s="78"/>
      <c r="D30" s="91"/>
    </row>
    <row r="31" spans="1:4" ht="20.100000000000001" customHeight="1" x14ac:dyDescent="0.25">
      <c r="A31" s="175"/>
      <c r="B31" s="78"/>
      <c r="C31" s="78"/>
      <c r="D31" s="91"/>
    </row>
    <row r="32" spans="1:4" ht="20.100000000000001" customHeight="1" x14ac:dyDescent="0.25">
      <c r="A32" s="175"/>
      <c r="B32" s="78"/>
      <c r="C32" s="78"/>
      <c r="D32" s="91"/>
    </row>
    <row r="33" spans="1:4" ht="20.100000000000001" customHeight="1" x14ac:dyDescent="0.25">
      <c r="A33" s="175"/>
      <c r="B33" s="78"/>
      <c r="C33" s="78"/>
      <c r="D33" s="81"/>
    </row>
    <row r="34" spans="1:4" ht="20.100000000000001" customHeight="1" x14ac:dyDescent="0.25">
      <c r="A34" s="176"/>
      <c r="B34" s="80"/>
      <c r="C34" s="80"/>
      <c r="D34" s="96"/>
    </row>
  </sheetData>
  <phoneticPr fontId="0" type="noConversion"/>
  <printOptions horizontalCentered="1" verticalCentered="1" gridLines="1" gridLinesSet="0"/>
  <pageMargins left="0"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data</vt:lpstr>
      <vt:lpstr>Transmittal</vt:lpstr>
      <vt:lpstr>Responses-1</vt:lpstr>
      <vt:lpstr>Responses-2</vt:lpstr>
      <vt:lpstr>INFO_PG1</vt:lpstr>
      <vt:lpstr>INFO_PG2</vt:lpstr>
      <vt:lpstr>SS2_3_5_6</vt:lpstr>
      <vt:lpstr>SS4</vt:lpstr>
      <vt:lpstr>SS8</vt:lpstr>
      <vt:lpstr>FS</vt:lpstr>
      <vt:lpstr>CC</vt:lpstr>
      <vt:lpstr>Prior Year</vt:lpstr>
      <vt:lpstr>Contact</vt:lpstr>
      <vt:lpstr>Support</vt:lpstr>
      <vt:lpstr>Hospital</vt:lpstr>
      <vt:lpstr>Funds</vt:lpstr>
      <vt:lpstr>CostCenter</vt:lpstr>
      <vt:lpstr>CostCenter!Costcenter</vt:lpstr>
      <vt:lpstr>data!Extract</vt:lpstr>
      <vt:lpstr>'Prior Year'!Extract</vt:lpstr>
      <vt:lpstr>CostCenter!Funds</vt:lpstr>
      <vt:lpstr>Funds!Funds</vt:lpstr>
      <vt:lpstr>Hospital!Hospital</vt:lpstr>
      <vt:lpstr>CC!Print_Area</vt:lpstr>
      <vt:lpstr>FS!Print_Area</vt:lpstr>
      <vt:lpstr>INFO_PG1!Print_Area</vt:lpstr>
      <vt:lpstr>INFO_PG2!Print_Area</vt:lpstr>
      <vt:lpstr>SS2_3_5_6!Print_Area</vt:lpstr>
      <vt:lpstr>'SS4'!Print_Area</vt:lpstr>
      <vt:lpstr>'SS8'!Print_Area</vt:lpstr>
      <vt:lpstr>CostCenter!Support</vt:lpstr>
      <vt:lpstr>Funds!Support</vt:lpstr>
      <vt:lpstr>Hospital!Support</vt:lpstr>
      <vt:lpstr>Support!Support</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Year End Report</dc:title>
  <dc:subject>Hospital Year End Report</dc:subject>
  <dc:creator>Washington State Department of Health, Health Systems Quality Assurance, Community Health Systems</dc:creator>
  <cp:keywords>Hospital Year End Report</cp:keywords>
  <cp:lastModifiedBy>Bringetto, Lisa I (DOH)</cp:lastModifiedBy>
  <cp:lastPrinted>2023-06-22T21:04:47Z</cp:lastPrinted>
  <dcterms:created xsi:type="dcterms:W3CDTF">1999-06-02T22:01:56Z</dcterms:created>
  <dcterms:modified xsi:type="dcterms:W3CDTF">2023-07-03T20:36:17Z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2022-05-09T16:20:17Z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0a767031-047d-4cda-b2dc-bd144bba2c37</vt:lpwstr>
  </property>
  <property fmtid="{D5CDD505-2E9C-101B-9397-08002B2CF9AE}" pid="8" name="MSIP_Label_1520fa42-cf58-4c22-8b93-58cf1d3bd1cb_ContentBits">
    <vt:lpwstr>0</vt:lpwstr>
  </property>
  <property fmtid="{D5CDD505-2E9C-101B-9397-08002B2CF9AE}" pid="9" name="Tags">
    <vt:lpwstr>Hospital Year End Report</vt:lpwstr>
  </property>
  <property fmtid="{D5CDD505-2E9C-101B-9397-08002B2CF9AE}" pid="10" name="DeleteTemporaryFile">
    <vt:lpwstr>000000G6GB20230621043149.xlsx</vt:lpwstr>
  </property>
  <property fmtid="{D5CDD505-2E9C-101B-9397-08002B2CF9AE}" pid="11" name="GFRDocument">
    <vt:lpwstr>1</vt:lpwstr>
  </property>
  <property fmtid="{D5CDD505-2E9C-101B-9397-08002B2CF9AE}" pid="12" name="WebDocument">
    <vt:lpwstr>True</vt:lpwstr>
  </property>
</Properties>
</file>