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EA748156-FDD3-47E0-AB10-8F60A169585B}" xr6:coauthVersionLast="47" xr6:coauthVersionMax="47" xr10:uidLastSave="{00000000-0000-0000-0000-000000000000}"/>
  <workbookProtection workbookAlgorithmName="SHA-512" workbookHashValue="tap5zbwt9xRT6aRaEGlrgidybUfQL8onfVbXOKBH3Jh5FW+yBFO/ROUiQhpuqS+BP1ZIUA00zrTNMqAjxfNnhA==" workbookSaltValue="4O3dGp6pveVoXoGA+e20Yg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5" l="1"/>
  <c r="AC59" i="24" l="1"/>
  <c r="C348" i="24" l="1"/>
  <c r="C298" i="24"/>
  <c r="D329" i="24"/>
  <c r="C418" i="24"/>
  <c r="C216" i="24" l="1"/>
  <c r="C219" i="24"/>
  <c r="C187" i="24" l="1"/>
  <c r="B52" i="24" l="1"/>
  <c r="C173" i="24"/>
  <c r="D420" i="24" l="1"/>
  <c r="C380" i="24"/>
  <c r="C414" i="24" l="1"/>
  <c r="CE51" i="24" l="1"/>
  <c r="CD83" i="24" l="1"/>
  <c r="CE92" i="25" l="1"/>
  <c r="CE91" i="24"/>
  <c r="CF91" i="24" s="1"/>
  <c r="AJ94" i="24" l="1"/>
  <c r="CC47" i="24"/>
  <c r="C144" i="24" l="1"/>
  <c r="C317" i="24" l="1"/>
  <c r="C272" i="24"/>
  <c r="C269" i="24" l="1"/>
  <c r="C200" i="24" l="1"/>
  <c r="C199" i="24"/>
  <c r="C196" i="24"/>
  <c r="C186" i="24" l="1"/>
  <c r="CE93" i="24" l="1"/>
  <c r="AJ47" i="24" l="1"/>
  <c r="BY47" i="24"/>
  <c r="BX47" i="24"/>
  <c r="BW47" i="24"/>
  <c r="BV47" i="24"/>
  <c r="BR47" i="24"/>
  <c r="BO47" i="24"/>
  <c r="BN47" i="24"/>
  <c r="BL47" i="24"/>
  <c r="BK47" i="24"/>
  <c r="BJ47" i="24"/>
  <c r="BH47" i="24"/>
  <c r="BF47" i="24" l="1"/>
  <c r="BE47" i="24"/>
  <c r="BD47" i="24"/>
  <c r="AZ47" i="24"/>
  <c r="AK47" i="24"/>
  <c r="AJ59" i="24"/>
  <c r="AG47" i="24"/>
  <c r="AE47" i="24"/>
  <c r="AC47" i="24"/>
  <c r="AB47" i="24"/>
  <c r="Y47" i="24"/>
  <c r="X47" i="24"/>
  <c r="X59" i="24"/>
  <c r="W47" i="24"/>
  <c r="V59" i="24"/>
  <c r="U47" i="24"/>
  <c r="U59" i="24"/>
  <c r="S47" i="24"/>
  <c r="Q47" i="24" l="1"/>
  <c r="P47" i="24"/>
  <c r="N47" i="24"/>
  <c r="I47" i="24"/>
  <c r="E47" i="24"/>
  <c r="D47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H58" i="32" s="1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I90" i="32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E30" i="31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E38" i="31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E218" i="32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G613" i="25"/>
  <c r="CE91" i="25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C74" i="8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E230" i="24"/>
  <c r="F29" i="6" s="1"/>
  <c r="E229" i="24"/>
  <c r="E228" i="24"/>
  <c r="F27" i="6" s="1"/>
  <c r="E227" i="24"/>
  <c r="E226" i="24"/>
  <c r="E225" i="24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E215" i="24"/>
  <c r="F11" i="6" s="1"/>
  <c r="E214" i="24"/>
  <c r="F10" i="6" s="1"/>
  <c r="E213" i="24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I383" i="32"/>
  <c r="CE92" i="24"/>
  <c r="I382" i="32" s="1"/>
  <c r="CE90" i="24"/>
  <c r="CE88" i="24"/>
  <c r="CE87" i="24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CE66" i="24"/>
  <c r="CE65" i="24"/>
  <c r="CE64" i="24"/>
  <c r="CE63" i="24"/>
  <c r="CE61" i="24"/>
  <c r="CE60" i="24"/>
  <c r="B53" i="24"/>
  <c r="B49" i="24"/>
  <c r="CE47" i="24"/>
  <c r="CF90" i="24" l="1"/>
  <c r="CC52" i="24" s="1"/>
  <c r="I381" i="32"/>
  <c r="D613" i="25"/>
  <c r="CF91" i="25"/>
  <c r="C68" i="8"/>
  <c r="C16" i="8"/>
  <c r="F30" i="6"/>
  <c r="F28" i="6"/>
  <c r="F26" i="6"/>
  <c r="F25" i="6"/>
  <c r="F24" i="6"/>
  <c r="F12" i="6"/>
  <c r="F9" i="6"/>
  <c r="I384" i="32"/>
  <c r="I376" i="32"/>
  <c r="I370" i="32"/>
  <c r="I377" i="32"/>
  <c r="I367" i="32"/>
  <c r="I368" i="32"/>
  <c r="I365" i="32"/>
  <c r="I363" i="32"/>
  <c r="F90" i="32"/>
  <c r="AE8" i="31"/>
  <c r="AE14" i="31"/>
  <c r="D186" i="32"/>
  <c r="AE46" i="31"/>
  <c r="E58" i="32"/>
  <c r="F218" i="32"/>
  <c r="H90" i="32"/>
  <c r="G26" i="32"/>
  <c r="C154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G268" i="32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C44" i="32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I172" i="32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E12" i="32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G122" i="32"/>
  <c r="H154" i="32"/>
  <c r="D26" i="32"/>
  <c r="I186" i="32"/>
  <c r="G154" i="32"/>
  <c r="G186" i="32"/>
  <c r="AE10" i="31"/>
  <c r="D416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H186" i="32"/>
  <c r="C58" i="32"/>
  <c r="D90" i="32"/>
  <c r="AE33" i="31"/>
  <c r="E90" i="32"/>
  <c r="E122" i="32"/>
  <c r="F122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D32" i="6"/>
  <c r="D15" i="6"/>
  <c r="D367" i="24"/>
  <c r="AC49" i="25"/>
  <c r="AC63" i="25" s="1"/>
  <c r="E234" i="25"/>
  <c r="CE70" i="25"/>
  <c r="D342" i="25"/>
  <c r="D351" i="25" s="1"/>
  <c r="CB52" i="24" l="1"/>
  <c r="CB67" i="24" s="1"/>
  <c r="C369" i="32" s="1"/>
  <c r="CC67" i="24"/>
  <c r="D350" i="24"/>
  <c r="E414" i="24"/>
  <c r="I378" i="32"/>
  <c r="AV52" i="24"/>
  <c r="AV67" i="24" s="1"/>
  <c r="M47" i="31" s="1"/>
  <c r="BX52" i="24"/>
  <c r="BX67" i="24" s="1"/>
  <c r="BX85" i="24" s="1"/>
  <c r="X52" i="24"/>
  <c r="X67" i="24" s="1"/>
  <c r="X85" i="24" s="1"/>
  <c r="C689" i="24" s="1"/>
  <c r="L52" i="24"/>
  <c r="L67" i="24" s="1"/>
  <c r="M11" i="31" s="1"/>
  <c r="CD52" i="24"/>
  <c r="H74" i="31"/>
  <c r="H53" i="31"/>
  <c r="H9" i="31"/>
  <c r="H4" i="31"/>
  <c r="H51" i="31"/>
  <c r="H76" i="31"/>
  <c r="C12" i="32"/>
  <c r="I12" i="32"/>
  <c r="H65" i="31"/>
  <c r="F44" i="32"/>
  <c r="H10" i="31"/>
  <c r="H268" i="32"/>
  <c r="G236" i="32"/>
  <c r="H12" i="32"/>
  <c r="H48" i="31"/>
  <c r="I76" i="32"/>
  <c r="H35" i="31"/>
  <c r="H17" i="31"/>
  <c r="D300" i="32"/>
  <c r="H71" i="31"/>
  <c r="H62" i="31"/>
  <c r="H43" i="31"/>
  <c r="H37" i="31"/>
  <c r="H18" i="31"/>
  <c r="H39" i="31"/>
  <c r="D332" i="32"/>
  <c r="H23" i="31"/>
  <c r="F300" i="32"/>
  <c r="G76" i="32"/>
  <c r="D204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C704" i="25" s="1"/>
  <c r="AD53" i="25"/>
  <c r="AD68" i="25" s="1"/>
  <c r="AD86" i="25" s="1"/>
  <c r="V53" i="25"/>
  <c r="V68" i="25" s="1"/>
  <c r="V86" i="25" s="1"/>
  <c r="N53" i="25"/>
  <c r="N68" i="25" s="1"/>
  <c r="N86" i="25" s="1"/>
  <c r="C680" i="25" s="1"/>
  <c r="F53" i="25"/>
  <c r="F68" i="25" s="1"/>
  <c r="F86" i="25" s="1"/>
  <c r="C672" i="25" s="1"/>
  <c r="S53" i="25"/>
  <c r="S68" i="25" s="1"/>
  <c r="S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B49" i="1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K53" i="25"/>
  <c r="K68" i="25" s="1"/>
  <c r="K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C702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C53" i="25"/>
  <c r="AG53" i="25"/>
  <c r="AG68" i="25" s="1"/>
  <c r="AG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B30" i="15" s="1"/>
  <c r="J53" i="25"/>
  <c r="J68" i="25" s="1"/>
  <c r="J86" i="25" s="1"/>
  <c r="CB53" i="25"/>
  <c r="CB68" i="25" s="1"/>
  <c r="CB86" i="25" s="1"/>
  <c r="BT53" i="25"/>
  <c r="BT68" i="25" s="1"/>
  <c r="BT86" i="25" s="1"/>
  <c r="BL53" i="25"/>
  <c r="BL68" i="25" s="1"/>
  <c r="BL86" i="25" s="1"/>
  <c r="C638" i="25" s="1"/>
  <c r="BD53" i="25"/>
  <c r="BD68" i="25" s="1"/>
  <c r="BD86" i="25" s="1"/>
  <c r="AV53" i="25"/>
  <c r="AV68" i="25" s="1"/>
  <c r="AV86" i="25" s="1"/>
  <c r="B60" i="1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C53" i="25"/>
  <c r="CC68" i="25" s="1"/>
  <c r="CC86" i="25" s="1"/>
  <c r="C621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Y53" i="25"/>
  <c r="Y68" i="25" s="1"/>
  <c r="Y86" i="25" s="1"/>
  <c r="Q53" i="25"/>
  <c r="Q68" i="25" s="1"/>
  <c r="Q86" i="25" s="1"/>
  <c r="I53" i="25"/>
  <c r="I68" i="25" s="1"/>
  <c r="I86" i="25" s="1"/>
  <c r="C675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AC52" i="24"/>
  <c r="AC67" i="24" s="1"/>
  <c r="D52" i="24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BG52" i="24"/>
  <c r="BG67" i="24" s="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M79" i="31" l="1"/>
  <c r="CB85" i="24"/>
  <c r="C373" i="32" s="1"/>
  <c r="CE52" i="24"/>
  <c r="C103" i="8"/>
  <c r="E49" i="32"/>
  <c r="C113" i="32"/>
  <c r="M23" i="31"/>
  <c r="F337" i="32"/>
  <c r="AV85" i="24"/>
  <c r="C60" i="15" s="1"/>
  <c r="F209" i="32"/>
  <c r="M75" i="31"/>
  <c r="L85" i="24"/>
  <c r="C24" i="15" s="1"/>
  <c r="G24" i="15" s="1"/>
  <c r="M61" i="31"/>
  <c r="E17" i="32"/>
  <c r="E85" i="24"/>
  <c r="E21" i="32" s="1"/>
  <c r="S85" i="24"/>
  <c r="E85" i="32" s="1"/>
  <c r="C627" i="25"/>
  <c r="B82" i="15"/>
  <c r="F82" i="15" s="1"/>
  <c r="C698" i="25"/>
  <c r="B44" i="15"/>
  <c r="F44" i="15" s="1"/>
  <c r="B75" i="15"/>
  <c r="F75" i="15" s="1"/>
  <c r="C636" i="25"/>
  <c r="C673" i="25"/>
  <c r="B19" i="15"/>
  <c r="F19" i="15" s="1"/>
  <c r="B83" i="15"/>
  <c r="F83" i="15" s="1"/>
  <c r="C640" i="25"/>
  <c r="C709" i="25"/>
  <c r="B55" i="15"/>
  <c r="F55" i="15" s="1"/>
  <c r="C637" i="25"/>
  <c r="B72" i="15"/>
  <c r="B16" i="15"/>
  <c r="H16" i="15" s="1"/>
  <c r="I16" i="15" s="1"/>
  <c r="C670" i="25"/>
  <c r="B89" i="15"/>
  <c r="F89" i="15" s="1"/>
  <c r="C646" i="25"/>
  <c r="C620" i="25"/>
  <c r="B78" i="15"/>
  <c r="F78" i="15" s="1"/>
  <c r="B76" i="15"/>
  <c r="F76" i="15" s="1"/>
  <c r="C714" i="25"/>
  <c r="B18" i="15"/>
  <c r="H18" i="15" s="1"/>
  <c r="I18" i="15" s="1"/>
  <c r="B93" i="15"/>
  <c r="F93" i="15" s="1"/>
  <c r="C684" i="25"/>
  <c r="B21" i="15"/>
  <c r="F21" i="15" s="1"/>
  <c r="B66" i="15"/>
  <c r="C703" i="25"/>
  <c r="B54" i="15"/>
  <c r="F54" i="15" s="1"/>
  <c r="C682" i="25"/>
  <c r="B28" i="15"/>
  <c r="F28" i="15" s="1"/>
  <c r="C642" i="25"/>
  <c r="B85" i="15"/>
  <c r="H85" i="15" s="1"/>
  <c r="I85" i="15" s="1"/>
  <c r="C692" i="25"/>
  <c r="B38" i="15"/>
  <c r="F38" i="15" s="1"/>
  <c r="C622" i="25"/>
  <c r="B80" i="15"/>
  <c r="C711" i="25"/>
  <c r="B57" i="15"/>
  <c r="H57" i="15" s="1"/>
  <c r="I57" i="15" s="1"/>
  <c r="C688" i="25"/>
  <c r="B34" i="15"/>
  <c r="F34" i="15" s="1"/>
  <c r="C628" i="25"/>
  <c r="B79" i="15"/>
  <c r="B52" i="15"/>
  <c r="H52" i="15" s="1"/>
  <c r="I52" i="15" s="1"/>
  <c r="C706" i="25"/>
  <c r="C693" i="25"/>
  <c r="B39" i="15"/>
  <c r="F39" i="15" s="1"/>
  <c r="C647" i="25"/>
  <c r="B90" i="15"/>
  <c r="F90" i="15" s="1"/>
  <c r="C683" i="25"/>
  <c r="B29" i="15"/>
  <c r="F29" i="15" s="1"/>
  <c r="C625" i="25"/>
  <c r="B68" i="15"/>
  <c r="C678" i="25"/>
  <c r="B24" i="15"/>
  <c r="H24" i="15" s="1"/>
  <c r="I24" i="15" s="1"/>
  <c r="C645" i="25"/>
  <c r="B88" i="15"/>
  <c r="F88" i="15" s="1"/>
  <c r="C631" i="25"/>
  <c r="B65" i="15"/>
  <c r="F65" i="15" s="1"/>
  <c r="C696" i="25"/>
  <c r="B42" i="15"/>
  <c r="F42" i="15" s="1"/>
  <c r="C697" i="25"/>
  <c r="B43" i="15"/>
  <c r="F43" i="15" s="1"/>
  <c r="C691" i="25"/>
  <c r="B37" i="15"/>
  <c r="F37" i="15" s="1"/>
  <c r="B27" i="15"/>
  <c r="F27" i="15" s="1"/>
  <c r="C681" i="25"/>
  <c r="B91" i="15"/>
  <c r="F91" i="15" s="1"/>
  <c r="C648" i="25"/>
  <c r="B62" i="15"/>
  <c r="C617" i="25"/>
  <c r="C626" i="25"/>
  <c r="B63" i="15"/>
  <c r="F63" i="15" s="1"/>
  <c r="B32" i="15"/>
  <c r="F32" i="15" s="1"/>
  <c r="C686" i="25"/>
  <c r="C677" i="25"/>
  <c r="B23" i="15"/>
  <c r="F23" i="15" s="1"/>
  <c r="C635" i="25"/>
  <c r="B73" i="15"/>
  <c r="F73" i="15" s="1"/>
  <c r="C632" i="25"/>
  <c r="B61" i="15"/>
  <c r="C679" i="25"/>
  <c r="B25" i="15"/>
  <c r="F25" i="15" s="1"/>
  <c r="C634" i="25"/>
  <c r="B67" i="15"/>
  <c r="B53" i="15"/>
  <c r="H53" i="15" s="1"/>
  <c r="I53" i="15" s="1"/>
  <c r="C707" i="25"/>
  <c r="C689" i="25"/>
  <c r="B35" i="15"/>
  <c r="F35" i="15" s="1"/>
  <c r="C674" i="25"/>
  <c r="B20" i="15"/>
  <c r="H20" i="15" s="1"/>
  <c r="I20" i="15" s="1"/>
  <c r="B84" i="15"/>
  <c r="H84" i="15" s="1"/>
  <c r="I84" i="15" s="1"/>
  <c r="C641" i="25"/>
  <c r="B70" i="15"/>
  <c r="F70" i="15" s="1"/>
  <c r="C630" i="25"/>
  <c r="C619" i="25"/>
  <c r="B71" i="15"/>
  <c r="F71" i="15" s="1"/>
  <c r="C694" i="25"/>
  <c r="B40" i="15"/>
  <c r="F40" i="15" s="1"/>
  <c r="C671" i="25"/>
  <c r="B17" i="15"/>
  <c r="F17" i="15" s="1"/>
  <c r="C624" i="25"/>
  <c r="B81" i="15"/>
  <c r="F81" i="15" s="1"/>
  <c r="B58" i="15"/>
  <c r="F58" i="15" s="1"/>
  <c r="C712" i="25"/>
  <c r="C623" i="25"/>
  <c r="B92" i="15"/>
  <c r="F92" i="15" s="1"/>
  <c r="C615" i="25"/>
  <c r="D616" i="25" s="1"/>
  <c r="B69" i="15"/>
  <c r="F69" i="15" s="1"/>
  <c r="C705" i="25"/>
  <c r="B51" i="15"/>
  <c r="F51" i="15" s="1"/>
  <c r="B36" i="15"/>
  <c r="F36" i="15" s="1"/>
  <c r="C690" i="25"/>
  <c r="C676" i="25"/>
  <c r="B22" i="15"/>
  <c r="F22" i="15" s="1"/>
  <c r="B86" i="15"/>
  <c r="F86" i="15" s="1"/>
  <c r="C643" i="25"/>
  <c r="C644" i="25"/>
  <c r="B87" i="15"/>
  <c r="F87" i="15" s="1"/>
  <c r="C710" i="25"/>
  <c r="B56" i="15"/>
  <c r="F56" i="15" s="1"/>
  <c r="C687" i="25"/>
  <c r="B33" i="15"/>
  <c r="F33" i="15" s="1"/>
  <c r="C685" i="25"/>
  <c r="B31" i="15"/>
  <c r="F31" i="15" s="1"/>
  <c r="C618" i="25"/>
  <c r="B74" i="15"/>
  <c r="C639" i="25"/>
  <c r="B77" i="15"/>
  <c r="F77" i="15" s="1"/>
  <c r="C713" i="25"/>
  <c r="B59" i="15"/>
  <c r="H59" i="15" s="1"/>
  <c r="I59" i="15" s="1"/>
  <c r="C699" i="25"/>
  <c r="B45" i="15"/>
  <c r="F45" i="15" s="1"/>
  <c r="C629" i="25"/>
  <c r="B64" i="15"/>
  <c r="F64" i="15" s="1"/>
  <c r="C695" i="25"/>
  <c r="B41" i="15"/>
  <c r="F41" i="15" s="1"/>
  <c r="B50" i="15"/>
  <c r="F50" i="15" s="1"/>
  <c r="B26" i="15"/>
  <c r="F26" i="15" s="1"/>
  <c r="B47" i="15"/>
  <c r="F47" i="15" s="1"/>
  <c r="C68" i="25"/>
  <c r="CE68" i="25" s="1"/>
  <c r="CE53" i="25"/>
  <c r="B48" i="15"/>
  <c r="B46" i="15"/>
  <c r="F46" i="15" s="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A85" i="24"/>
  <c r="I341" i="32" s="1"/>
  <c r="M14" i="31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M21" i="31"/>
  <c r="H81" i="32"/>
  <c r="V85" i="24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F30" i="15"/>
  <c r="M62" i="31"/>
  <c r="G273" i="32"/>
  <c r="BK85" i="24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92" i="15"/>
  <c r="G92" i="15" s="1"/>
  <c r="F48" i="15" l="1"/>
  <c r="C622" i="24"/>
  <c r="C713" i="24"/>
  <c r="C677" i="24"/>
  <c r="F213" i="32"/>
  <c r="E53" i="32"/>
  <c r="F18" i="15"/>
  <c r="C17" i="15"/>
  <c r="G17" i="15" s="1"/>
  <c r="C684" i="24"/>
  <c r="C670" i="24"/>
  <c r="C31" i="15"/>
  <c r="G31" i="15" s="1"/>
  <c r="H277" i="32"/>
  <c r="F16" i="15"/>
  <c r="C74" i="15"/>
  <c r="G74" i="15" s="1"/>
  <c r="H36" i="15"/>
  <c r="I36" i="15" s="1"/>
  <c r="H55" i="15"/>
  <c r="I55" i="15" s="1"/>
  <c r="I117" i="32"/>
  <c r="H44" i="15"/>
  <c r="I44" i="15" s="1"/>
  <c r="F20" i="15"/>
  <c r="C695" i="24"/>
  <c r="F72" i="15"/>
  <c r="F52" i="15"/>
  <c r="H83" i="15"/>
  <c r="I83" i="15" s="1"/>
  <c r="C86" i="25"/>
  <c r="B15" i="15" s="1"/>
  <c r="H46" i="15"/>
  <c r="I46" i="15" s="1"/>
  <c r="H27" i="15"/>
  <c r="I27" i="15" s="1"/>
  <c r="F59" i="15"/>
  <c r="H23" i="15"/>
  <c r="I23" i="15" s="1"/>
  <c r="H22" i="15"/>
  <c r="I22" i="15" s="1"/>
  <c r="H25" i="15"/>
  <c r="I25" i="15" s="1"/>
  <c r="F79" i="15"/>
  <c r="H54" i="15"/>
  <c r="I54" i="15" s="1"/>
  <c r="F53" i="15"/>
  <c r="H47" i="15"/>
  <c r="I47" i="15" s="1"/>
  <c r="F84" i="15"/>
  <c r="F57" i="15"/>
  <c r="F24" i="15"/>
  <c r="H77" i="15"/>
  <c r="I77" i="15" s="1"/>
  <c r="H87" i="15"/>
  <c r="I87" i="15" s="1"/>
  <c r="H51" i="15"/>
  <c r="I51" i="15" s="1"/>
  <c r="F74" i="15"/>
  <c r="H81" i="15"/>
  <c r="I81" i="15" s="1"/>
  <c r="H58" i="15"/>
  <c r="I58" i="15" s="1"/>
  <c r="F85" i="15"/>
  <c r="C649" i="25"/>
  <c r="M717" i="25" s="1"/>
  <c r="F80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CE85" i="24" s="1"/>
  <c r="H88" i="15"/>
  <c r="I88" i="1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H40" i="15" l="1"/>
  <c r="I40" i="15" s="1"/>
  <c r="H31" i="15"/>
  <c r="I31" i="15" s="1"/>
  <c r="C669" i="25"/>
  <c r="C716" i="25" s="1"/>
  <c r="H74" i="15"/>
  <c r="I74" i="15" s="1"/>
  <c r="H76" i="15"/>
  <c r="I76" i="15" s="1"/>
  <c r="CE86" i="25"/>
  <c r="C717" i="25" s="1"/>
  <c r="H19" i="15"/>
  <c r="I19" i="15" s="1"/>
  <c r="G30" i="15"/>
  <c r="H30" i="15"/>
  <c r="I30" i="15" s="1"/>
  <c r="H21" i="15"/>
  <c r="I21" i="15" s="1"/>
  <c r="H80" i="15"/>
  <c r="I80" i="15" s="1"/>
  <c r="H26" i="15"/>
  <c r="I26" i="15" s="1"/>
  <c r="H79" i="15"/>
  <c r="I79" i="15" s="1"/>
  <c r="H91" i="15"/>
  <c r="I91" i="15" s="1"/>
  <c r="H69" i="15"/>
  <c r="I69" i="15" s="1"/>
  <c r="H71" i="15"/>
  <c r="I71" i="15" s="1"/>
  <c r="H72" i="15"/>
  <c r="I72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G78" i="15"/>
  <c r="H78" i="15" s="1"/>
  <c r="I78" i="15" s="1"/>
  <c r="G49" i="15"/>
  <c r="H49" i="15" s="1"/>
  <c r="D716" i="25"/>
  <c r="E624" i="25"/>
  <c r="G56" i="15"/>
  <c r="H56" i="15"/>
  <c r="I56" i="15" s="1"/>
  <c r="G64" i="15"/>
  <c r="H64" i="15" s="1"/>
  <c r="G43" i="15"/>
  <c r="H43" i="15" s="1"/>
  <c r="I43" i="15" s="1"/>
  <c r="E613" i="25" l="1"/>
  <c r="E696" i="25" s="1"/>
  <c r="H15" i="15"/>
  <c r="I15" i="15" s="1"/>
  <c r="E612" i="24"/>
  <c r="E717" i="25"/>
  <c r="I373" i="32"/>
  <c r="C716" i="24"/>
  <c r="D715" i="24"/>
  <c r="E623" i="24"/>
  <c r="E643" i="25" l="1"/>
  <c r="E705" i="25"/>
  <c r="E633" i="25"/>
  <c r="E629" i="25"/>
  <c r="E644" i="25"/>
  <c r="E695" i="25"/>
  <c r="E631" i="25"/>
  <c r="E647" i="25"/>
  <c r="E670" i="25"/>
  <c r="E689" i="25"/>
  <c r="E711" i="25"/>
  <c r="E634" i="25"/>
  <c r="E648" i="25"/>
  <c r="E677" i="25"/>
  <c r="E690" i="25"/>
  <c r="E673" i="25"/>
  <c r="E640" i="25"/>
  <c r="E681" i="25"/>
  <c r="E699" i="25"/>
  <c r="E706" i="25"/>
  <c r="E628" i="25"/>
  <c r="E641" i="25"/>
  <c r="E674" i="25"/>
  <c r="E672" i="25"/>
  <c r="E704" i="25"/>
  <c r="E630" i="25"/>
  <c r="E702" i="25"/>
  <c r="E712" i="25"/>
  <c r="E678" i="25"/>
  <c r="E637" i="25"/>
  <c r="E646" i="25"/>
  <c r="E694" i="25"/>
  <c r="E685" i="25"/>
  <c r="E713" i="25"/>
  <c r="E635" i="25"/>
  <c r="E645" i="25"/>
  <c r="E708" i="25"/>
  <c r="E680" i="25"/>
  <c r="E687" i="25"/>
  <c r="E693" i="25"/>
  <c r="E701" i="25"/>
  <c r="E684" i="25"/>
  <c r="E638" i="25"/>
  <c r="E700" i="25"/>
  <c r="E683" i="25"/>
  <c r="E669" i="25"/>
  <c r="E707" i="25"/>
  <c r="E682" i="25"/>
  <c r="E709" i="25"/>
  <c r="E675" i="25"/>
  <c r="E632" i="25"/>
  <c r="E639" i="25"/>
  <c r="E676" i="25"/>
  <c r="E671" i="25"/>
  <c r="E626" i="25"/>
  <c r="E710" i="25"/>
  <c r="E698" i="25"/>
  <c r="E688" i="25"/>
  <c r="E692" i="25"/>
  <c r="E625" i="25"/>
  <c r="F625" i="25" s="1"/>
  <c r="E636" i="25"/>
  <c r="E642" i="25"/>
  <c r="E627" i="25"/>
  <c r="E679" i="25"/>
  <c r="E691" i="25"/>
  <c r="E697" i="25"/>
  <c r="E686" i="25"/>
  <c r="E703" i="25"/>
  <c r="E714" i="25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 l="1"/>
  <c r="E715" i="24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K694" i="25"/>
  <c r="K686" i="25"/>
  <c r="K707" i="25"/>
  <c r="K699" i="25"/>
  <c r="M699" i="25" s="1"/>
  <c r="K691" i="25"/>
  <c r="K683" i="25"/>
  <c r="K712" i="25"/>
  <c r="K704" i="25"/>
  <c r="K696" i="25"/>
  <c r="K688" i="25"/>
  <c r="K680" i="25"/>
  <c r="K709" i="25"/>
  <c r="K701" i="25"/>
  <c r="K693" i="25"/>
  <c r="K685" i="25"/>
  <c r="K717" i="25"/>
  <c r="K708" i="25"/>
  <c r="K700" i="25"/>
  <c r="K692" i="25"/>
  <c r="K684" i="25"/>
  <c r="K714" i="25"/>
  <c r="K689" i="25"/>
  <c r="K687" i="25"/>
  <c r="K678" i="25"/>
  <c r="K670" i="25"/>
  <c r="K706" i="25"/>
  <c r="K681" i="25"/>
  <c r="K675" i="25"/>
  <c r="K698" i="25"/>
  <c r="K672" i="25"/>
  <c r="K690" i="25"/>
  <c r="K677" i="25"/>
  <c r="K669" i="25"/>
  <c r="K682" i="25"/>
  <c r="K674" i="25"/>
  <c r="K679" i="25"/>
  <c r="K671" i="25"/>
  <c r="K713" i="25"/>
  <c r="K703" i="25"/>
  <c r="K673" i="25"/>
  <c r="K697" i="25"/>
  <c r="K711" i="25"/>
  <c r="K676" i="25"/>
  <c r="K705" i="25"/>
  <c r="K695" i="25"/>
  <c r="L676" i="24" l="1"/>
  <c r="L713" i="24"/>
  <c r="L668" i="24"/>
  <c r="L712" i="24"/>
  <c r="L674" i="24"/>
  <c r="L681" i="24"/>
  <c r="L671" i="24"/>
  <c r="L697" i="24"/>
  <c r="L702" i="24"/>
  <c r="L678" i="24"/>
  <c r="L672" i="24"/>
  <c r="L703" i="24"/>
  <c r="L680" i="24"/>
  <c r="L688" i="24"/>
  <c r="L707" i="24"/>
  <c r="L700" i="24"/>
  <c r="L670" i="24"/>
  <c r="L709" i="24"/>
  <c r="L686" i="24"/>
  <c r="L677" i="24"/>
  <c r="L683" i="24"/>
  <c r="L696" i="24"/>
  <c r="L695" i="24"/>
  <c r="L685" i="24"/>
  <c r="L698" i="24"/>
  <c r="L691" i="24"/>
  <c r="L682" i="24"/>
  <c r="L711" i="24"/>
  <c r="L704" i="24"/>
  <c r="M674" i="25"/>
  <c r="M691" i="25"/>
  <c r="L694" i="24"/>
  <c r="L675" i="24"/>
  <c r="L684" i="24"/>
  <c r="L690" i="24"/>
  <c r="L699" i="24"/>
  <c r="L705" i="24"/>
  <c r="L687" i="24"/>
  <c r="L669" i="24"/>
  <c r="L710" i="24"/>
  <c r="L689" i="24"/>
  <c r="L679" i="24"/>
  <c r="L701" i="24"/>
  <c r="L673" i="24"/>
  <c r="L706" i="24"/>
  <c r="L692" i="24"/>
  <c r="L693" i="24"/>
  <c r="L716" i="24"/>
  <c r="M703" i="25"/>
  <c r="M685" i="25"/>
  <c r="M688" i="25"/>
  <c r="M677" i="25"/>
  <c r="M693" i="25"/>
  <c r="M710" i="25"/>
  <c r="M698" i="25"/>
  <c r="M687" i="25"/>
  <c r="M680" i="25"/>
  <c r="M681" i="25"/>
  <c r="M671" i="25"/>
  <c r="M694" i="25"/>
  <c r="M675" i="25"/>
  <c r="M711" i="25"/>
  <c r="M690" i="25"/>
  <c r="M670" i="25"/>
  <c r="M701" i="25"/>
  <c r="M707" i="25"/>
  <c r="M713" i="25"/>
  <c r="M704" i="25"/>
  <c r="M686" i="25"/>
  <c r="M695" i="25"/>
  <c r="M696" i="25"/>
  <c r="M673" i="25"/>
  <c r="M676" i="25"/>
  <c r="M679" i="25"/>
  <c r="M672" i="25"/>
  <c r="M700" i="25"/>
  <c r="M683" i="25"/>
  <c r="M714" i="25"/>
  <c r="M684" i="25"/>
  <c r="M692" i="25"/>
  <c r="M705" i="25"/>
  <c r="M697" i="25"/>
  <c r="M708" i="25"/>
  <c r="M689" i="25"/>
  <c r="M706" i="25"/>
  <c r="M678" i="25"/>
  <c r="M702" i="25"/>
  <c r="M682" i="25"/>
  <c r="L716" i="25"/>
  <c r="M709" i="25"/>
  <c r="M712" i="25"/>
  <c r="K713" i="24"/>
  <c r="K703" i="24"/>
  <c r="K695" i="24"/>
  <c r="K712" i="24"/>
  <c r="K711" i="24"/>
  <c r="K707" i="24"/>
  <c r="K699" i="24"/>
  <c r="K691" i="24"/>
  <c r="K683" i="24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K706" i="24"/>
  <c r="K705" i="24"/>
  <c r="K704" i="24"/>
  <c r="K686" i="24"/>
  <c r="K681" i="24"/>
  <c r="K676" i="24"/>
  <c r="K673" i="24"/>
  <c r="K709" i="24"/>
  <c r="K702" i="24"/>
  <c r="K700" i="24"/>
  <c r="M700" i="24" s="1"/>
  <c r="G151" i="32" s="1"/>
  <c r="K696" i="24"/>
  <c r="K677" i="24"/>
  <c r="K675" i="24"/>
  <c r="K671" i="24"/>
  <c r="K690" i="24"/>
  <c r="K692" i="24"/>
  <c r="M692" i="24" s="1"/>
  <c r="F119" i="32" s="1"/>
  <c r="K685" i="24"/>
  <c r="K710" i="24"/>
  <c r="K698" i="24"/>
  <c r="M698" i="24" s="1"/>
  <c r="E151" i="32" s="1"/>
  <c r="K687" i="24"/>
  <c r="M687" i="24" s="1"/>
  <c r="H87" i="32" s="1"/>
  <c r="K670" i="24"/>
  <c r="K680" i="24"/>
  <c r="K697" i="24"/>
  <c r="K682" i="24"/>
  <c r="K716" i="25"/>
  <c r="M669" i="25"/>
  <c r="M713" i="24" l="1"/>
  <c r="F215" i="32" s="1"/>
  <c r="M702" i="24"/>
  <c r="I151" i="32" s="1"/>
  <c r="M676" i="24"/>
  <c r="D55" i="32" s="1"/>
  <c r="M672" i="24"/>
  <c r="G23" i="32" s="1"/>
  <c r="M674" i="24"/>
  <c r="I23" i="32" s="1"/>
  <c r="M703" i="24"/>
  <c r="C183" i="32" s="1"/>
  <c r="M671" i="24"/>
  <c r="F23" i="32" s="1"/>
  <c r="M668" i="24"/>
  <c r="C23" i="32" s="1"/>
  <c r="M680" i="24"/>
  <c r="H55" i="32" s="1"/>
  <c r="M678" i="24"/>
  <c r="F55" i="32" s="1"/>
  <c r="M712" i="24"/>
  <c r="E215" i="32" s="1"/>
  <c r="M682" i="24"/>
  <c r="C87" i="32" s="1"/>
  <c r="M681" i="24"/>
  <c r="I55" i="32" s="1"/>
  <c r="M669" i="24"/>
  <c r="D23" i="32" s="1"/>
  <c r="M697" i="24"/>
  <c r="D151" i="32" s="1"/>
  <c r="M675" i="24"/>
  <c r="C55" i="32" s="1"/>
  <c r="M706" i="24"/>
  <c r="F183" i="32" s="1"/>
  <c r="M707" i="24"/>
  <c r="G183" i="32" s="1"/>
  <c r="M683" i="24"/>
  <c r="D87" i="32" s="1"/>
  <c r="M696" i="24"/>
  <c r="C151" i="32" s="1"/>
  <c r="M685" i="24"/>
  <c r="F87" i="32" s="1"/>
  <c r="M709" i="24"/>
  <c r="I183" i="32" s="1"/>
  <c r="M705" i="24"/>
  <c r="E183" i="32" s="1"/>
  <c r="M679" i="24"/>
  <c r="G55" i="32" s="1"/>
  <c r="M699" i="24"/>
  <c r="F151" i="32" s="1"/>
  <c r="M701" i="24"/>
  <c r="H151" i="32" s="1"/>
  <c r="M688" i="24"/>
  <c r="I87" i="32" s="1"/>
  <c r="M694" i="24"/>
  <c r="H119" i="32" s="1"/>
  <c r="M686" i="24"/>
  <c r="G87" i="32" s="1"/>
  <c r="M691" i="24"/>
  <c r="E119" i="32" s="1"/>
  <c r="M673" i="24"/>
  <c r="H23" i="32" s="1"/>
  <c r="M677" i="24"/>
  <c r="E55" i="32" s="1"/>
  <c r="M711" i="24"/>
  <c r="D215" i="32" s="1"/>
  <c r="L715" i="24"/>
  <c r="M704" i="24"/>
  <c r="D183" i="32" s="1"/>
  <c r="M693" i="24"/>
  <c r="G119" i="32" s="1"/>
  <c r="M695" i="24"/>
  <c r="I119" i="32" s="1"/>
  <c r="M690" i="24"/>
  <c r="D119" i="32" s="1"/>
  <c r="M684" i="24"/>
  <c r="E87" i="32" s="1"/>
  <c r="M670" i="24"/>
  <c r="E23" i="32" s="1"/>
  <c r="M710" i="24"/>
  <c r="C215" i="32" s="1"/>
  <c r="M689" i="24"/>
  <c r="C119" i="32" s="1"/>
  <c r="M716" i="25"/>
  <c r="K715" i="24"/>
  <c r="M715" i="24" l="1"/>
</calcChain>
</file>

<file path=xl/sharedStrings.xml><?xml version="1.0" encoding="utf-8"?>
<sst xmlns="http://schemas.openxmlformats.org/spreadsheetml/2006/main" count="5782" uniqueCount="1382">
  <si>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</si>
  <si>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</si>
  <si>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</si>
  <si>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</si>
  <si>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</si>
  <si>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</si>
  <si>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</si>
  <si>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</si>
  <si>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</si>
  <si>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</si>
  <si>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</si>
  <si>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</si>
  <si>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</si>
  <si>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</si>
  <si>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</si>
  <si>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</si>
  <si>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</si>
  <si>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</si>
  <si>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</si>
  <si>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</si>
  <si>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</si>
  <si>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</si>
  <si>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</si>
  <si>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</si>
  <si>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</si>
  <si>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</si>
  <si>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</si>
  <si>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</si>
  <si>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</si>
  <si>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</si>
  <si>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</si>
  <si>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</si>
  <si>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</si>
  <si>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</si>
  <si>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</si>
  <si>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</si>
  <si>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</si>
  <si>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</si>
  <si>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</si>
  <si>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</si>
  <si>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</si>
  <si>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</si>
  <si>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</si>
  <si>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</si>
  <si>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</si>
  <si>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</si>
  <si>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</si>
  <si>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</si>
  <si>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</si>
  <si>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</si>
  <si>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</si>
  <si>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</si>
  <si>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</si>
  <si>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</si>
  <si>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</si>
  <si>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</si>
  <si>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</si>
  <si>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</si>
  <si>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</si>
  <si>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</si>
  <si>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</si>
  <si>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</si>
  <si>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</si>
  <si>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</si>
  <si>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</si>
  <si>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</si>
  <si>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</si>
  <si>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</si>
  <si>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</si>
  <si>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</si>
  <si>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</si>
  <si>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</si>
  <si>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</si>
  <si>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</si>
  <si>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</si>
  <si>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</si>
  <si>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</si>
  <si>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</si>
  <si>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</si>
  <si>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</si>
  <si>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</si>
  <si>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</si>
  <si>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</si>
  <si>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</si>
  <si>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</si>
  <si>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</si>
  <si>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</si>
  <si>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</si>
  <si>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</si>
  <si>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</si>
  <si>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</si>
  <si>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</si>
  <si>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</si>
  <si>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</si>
  <si>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</si>
  <si>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</si>
  <si>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</si>
  <si>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</si>
  <si>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</si>
  <si>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</si>
  <si>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</si>
  <si>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</si>
  <si>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</si>
  <si>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</si>
  <si>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</si>
  <si>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</si>
  <si>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</si>
  <si>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</si>
  <si>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</si>
  <si>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</si>
  <si>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</si>
  <si>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</si>
  <si>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</si>
  <si>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</si>
  <si>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</si>
  <si>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</si>
  <si>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</si>
  <si>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</si>
  <si>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</si>
  <si>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</si>
  <si>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</si>
  <si>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</si>
  <si>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</si>
  <si>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</si>
  <si>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</si>
  <si>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</si>
  <si>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</si>
  <si>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</si>
  <si>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</si>
  <si>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</si>
  <si>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</si>
  <si>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</si>
  <si>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</si>
  <si>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</si>
  <si>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</si>
  <si>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</si>
  <si>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</si>
  <si>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</si>
  <si>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</si>
  <si>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</si>
  <si>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</si>
  <si>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</si>
  <si>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</si>
  <si>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</si>
  <si>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</si>
  <si>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</si>
  <si>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</si>
  <si>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</si>
  <si>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</si>
  <si>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</si>
  <si>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</si>
  <si>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</si>
  <si>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</si>
  <si>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</si>
  <si>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</si>
  <si>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</si>
  <si>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</si>
  <si>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</si>
  <si>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</si>
  <si>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</si>
  <si>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</si>
  <si>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</si>
  <si>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</si>
  <si>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</si>
  <si>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</si>
  <si>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</si>
  <si>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</si>
  <si>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</si>
  <si>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</si>
  <si>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</si>
  <si>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</si>
  <si>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</si>
  <si>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</si>
  <si>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</si>
  <si>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</si>
  <si>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</si>
  <si>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</si>
  <si>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</si>
  <si>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</si>
  <si>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</si>
  <si>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</si>
  <si>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</si>
  <si>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</si>
  <si>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</si>
  <si>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</si>
  <si>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</si>
  <si>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</si>
  <si>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</si>
  <si>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</si>
  <si>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</si>
  <si>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</si>
  <si>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</si>
  <si>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</si>
  <si>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</si>
  <si>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</si>
  <si>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</si>
  <si>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</si>
  <si>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</si>
  <si>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</si>
  <si>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</si>
  <si>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</si>
  <si>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</si>
  <si>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</si>
  <si>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</si>
  <si>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</si>
  <si>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</si>
  <si>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</si>
  <si>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</si>
  <si>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</si>
  <si>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</si>
  <si>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</si>
  <si>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</si>
  <si>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</si>
  <si>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</si>
  <si>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</si>
  <si>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</si>
  <si>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</si>
  <si>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</si>
  <si>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</si>
  <si>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</si>
  <si>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</si>
  <si>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</si>
  <si>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</si>
  <si>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</si>
  <si>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</si>
  <si>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</si>
  <si>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</si>
  <si>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</si>
  <si>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</si>
  <si>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</si>
  <si>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</si>
  <si>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</si>
  <si>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</si>
  <si>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</si>
  <si>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</si>
  <si>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</si>
  <si>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</si>
  <si>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</si>
  <si>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</si>
  <si>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</si>
  <si>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</si>
  <si>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</si>
  <si>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</si>
  <si>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</si>
  <si>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</si>
  <si>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</si>
  <si>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</si>
  <si>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</si>
  <si>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</si>
  <si>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</si>
  <si>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</si>
  <si>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</si>
  <si>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</si>
  <si>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</si>
  <si>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</si>
  <si>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</si>
  <si>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</si>
  <si>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</si>
  <si>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</si>
  <si>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</si>
  <si>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</si>
  <si>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</si>
  <si>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</si>
  <si>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</si>
  <si>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</si>
  <si>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</si>
  <si>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</si>
  <si>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</si>
  <si>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</si>
  <si>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</si>
  <si>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</si>
  <si>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</si>
  <si>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</si>
  <si>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</si>
  <si>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</si>
  <si>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</si>
  <si>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</si>
  <si>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</si>
  <si>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</si>
  <si>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</si>
  <si>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</si>
  <si>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</si>
  <si>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</si>
  <si>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</si>
  <si>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</si>
  <si>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</si>
  <si>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</si>
  <si>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</si>
  <si>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</si>
  <si>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</si>
  <si>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</si>
  <si>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</si>
  <si>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</si>
  <si>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</si>
  <si>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</si>
  <si>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</si>
  <si>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</si>
  <si>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</si>
  <si>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</si>
  <si>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</si>
  <si>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</si>
  <si>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</si>
  <si>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</si>
  <si>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</si>
  <si>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</si>
  <si>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</si>
  <si>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</si>
  <si>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</si>
  <si>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</si>
  <si>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</si>
  <si>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</si>
  <si>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</si>
  <si>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</si>
  <si>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</si>
  <si>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</si>
  <si>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</si>
  <si>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</si>
  <si>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</si>
  <si>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</si>
  <si>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</si>
  <si>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</si>
  <si>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</si>
  <si>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</si>
  <si>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</si>
  <si>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</si>
  <si>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</si>
  <si>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</si>
  <si>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</si>
  <si>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</si>
  <si>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</si>
  <si>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</si>
  <si>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</si>
  <si>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</si>
  <si>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</si>
  <si>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</si>
  <si>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</si>
  <si>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</si>
  <si>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</si>
  <si>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</si>
  <si>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</si>
  <si>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</si>
  <si>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</si>
  <si>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</si>
  <si>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</si>
  <si>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</si>
  <si>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</si>
  <si>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</si>
  <si>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</si>
  <si>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</si>
  <si>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</si>
  <si>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</si>
  <si>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</si>
  <si>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</si>
  <si>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</si>
  <si>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</si>
  <si>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</si>
  <si>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</si>
  <si>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</si>
  <si>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</si>
  <si>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</si>
  <si>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</si>
  <si>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</si>
  <si>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</si>
  <si>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</si>
  <si>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</si>
  <si>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</si>
  <si>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</si>
  <si>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</si>
  <si>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</si>
  <si>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</si>
  <si>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</si>
  <si>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</si>
  <si>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</si>
  <si>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</si>
  <si>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</si>
  <si>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</si>
  <si>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</si>
  <si>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</si>
  <si>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</si>
  <si>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</si>
  <si>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</si>
  <si>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</si>
  <si>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</si>
  <si>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</si>
  <si>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</si>
  <si>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</si>
  <si>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</si>
  <si>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</si>
  <si>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</si>
  <si>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</si>
  <si>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</si>
  <si>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</si>
  <si>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</si>
  <si>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</si>
  <si>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</si>
  <si>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</si>
  <si>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</si>
  <si>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</si>
  <si>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</si>
  <si>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</si>
  <si>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</si>
  <si>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</si>
  <si>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</si>
  <si>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</si>
  <si>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</si>
  <si>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</si>
  <si>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</si>
  <si>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</si>
  <si>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</si>
  <si>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</si>
  <si>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</si>
  <si>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</si>
  <si>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</si>
  <si>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</si>
  <si>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</si>
  <si>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</si>
  <si>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</si>
  <si>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</si>
  <si>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</si>
  <si>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</si>
  <si>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</si>
  <si>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</si>
  <si>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</si>
  <si>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</si>
  <si>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</si>
  <si>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</si>
  <si>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</si>
  <si>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</si>
  <si>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</si>
  <si>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</si>
  <si>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</si>
  <si>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</si>
  <si>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</si>
  <si>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</si>
  <si>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</si>
  <si>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</si>
  <si>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</si>
  <si>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</si>
  <si>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</si>
  <si>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</si>
  <si>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</si>
  <si>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</si>
  <si>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</si>
  <si>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</si>
  <si>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</si>
  <si>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</si>
  <si>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</si>
  <si>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</si>
  <si>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</si>
  <si>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</si>
  <si>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</si>
  <si>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</si>
  <si>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</si>
  <si>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</si>
  <si>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</si>
  <si>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</si>
  <si>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</si>
  <si>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</si>
  <si>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</si>
  <si>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</si>
  <si>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</si>
  <si>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</si>
  <si>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</si>
  <si>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</si>
  <si>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</si>
  <si>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</si>
  <si>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</si>
  <si>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</si>
  <si>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</si>
  <si>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</si>
  <si>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</si>
  <si>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</si>
  <si>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</si>
  <si>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</si>
  <si>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</si>
  <si>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</si>
  <si>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</si>
  <si>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</si>
  <si>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</si>
  <si>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</si>
  <si>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</si>
  <si>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</si>
  <si>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</si>
  <si>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</si>
  <si>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</si>
  <si>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</si>
  <si>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</si>
  <si>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</si>
  <si>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</si>
  <si>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</si>
  <si>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</si>
  <si>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</si>
  <si>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</si>
  <si>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</si>
  <si>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</si>
  <si>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</si>
  <si>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</si>
  <si>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</si>
  <si>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</si>
  <si>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</si>
  <si>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</si>
  <si>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</si>
  <si>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</si>
  <si>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</si>
  <si>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</si>
  <si>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</si>
  <si>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</si>
  <si>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</si>
  <si>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</si>
  <si>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</si>
  <si>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</si>
  <si>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</si>
  <si>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</si>
  <si>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</si>
  <si>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</si>
  <si>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</si>
  <si>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</si>
  <si>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</si>
  <si>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</si>
  <si>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</si>
  <si>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</si>
  <si>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</si>
  <si>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</si>
  <si>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</si>
  <si>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</si>
  <si>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</si>
  <si>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</si>
  <si>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</si>
  <si>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</si>
  <si>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</si>
  <si>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</si>
  <si>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</si>
  <si>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</si>
  <si>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</si>
  <si>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</si>
  <si>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</si>
  <si>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</si>
  <si>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</si>
  <si>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</si>
  <si>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</si>
  <si>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</si>
  <si>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</si>
  <si>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</si>
  <si>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</si>
  <si>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</si>
  <si>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</si>
  <si>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</si>
  <si>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</si>
  <si>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</si>
  <si>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</si>
  <si>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</si>
  <si>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</si>
  <si>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</si>
  <si>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</si>
  <si>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</si>
  <si>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</si>
  <si>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</si>
  <si>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</si>
  <si>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</si>
  <si>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</si>
  <si>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</si>
  <si>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</si>
  <si>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</si>
  <si>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</si>
  <si>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</si>
  <si>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</si>
  <si>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</si>
  <si>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</si>
  <si>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</si>
  <si>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</si>
  <si>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</si>
  <si>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</si>
  <si>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</si>
  <si>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</si>
  <si>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</si>
  <si>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</si>
  <si>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</si>
  <si>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</si>
  <si>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</si>
  <si>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</si>
  <si>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</si>
  <si>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</si>
  <si>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</si>
  <si>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</si>
  <si>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</si>
  <si>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</si>
  <si>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</si>
  <si>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</si>
  <si>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</si>
  <si>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</si>
  <si>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</si>
  <si>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</si>
  <si>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</si>
  <si>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</si>
  <si>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</si>
  <si>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</si>
  <si>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</si>
  <si>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</si>
  <si>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</si>
  <si>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</si>
  <si>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</si>
  <si>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</si>
  <si>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</si>
  <si>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</si>
  <si>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</si>
  <si>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</si>
  <si>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</si>
  <si>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</si>
  <si>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</si>
  <si>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</si>
  <si>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</si>
  <si>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</si>
  <si>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</si>
  <si>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</si>
  <si>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</si>
  <si>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</si>
  <si>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</si>
  <si>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</si>
  <si>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</si>
  <si>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</si>
  <si>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</si>
  <si>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</si>
  <si>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</si>
  <si>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</si>
  <si>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</si>
  <si>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</si>
  <si>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</si>
  <si>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</si>
  <si>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</si>
  <si>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</si>
  <si>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</si>
  <si>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</si>
  <si>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</si>
  <si>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</si>
  <si>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</si>
  <si>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</si>
  <si>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</si>
  <si>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</si>
  <si>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</si>
  <si>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</si>
  <si>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</si>
  <si>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</si>
  <si>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</si>
  <si>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</si>
  <si>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</si>
  <si>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</si>
  <si>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</si>
  <si>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</si>
  <si>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</si>
  <si>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</si>
  <si>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</si>
  <si>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</si>
  <si>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</si>
  <si>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</si>
  <si>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</si>
  <si>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</si>
  <si>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</si>
  <si>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</si>
  <si>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</si>
  <si>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</si>
  <si>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</si>
  <si>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</si>
  <si>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</si>
  <si>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</si>
  <si>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</si>
  <si>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</si>
  <si>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</si>
  <si>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</si>
  <si>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</si>
  <si>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</si>
  <si>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</si>
  <si>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</si>
  <si>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</si>
  <si>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</si>
  <si>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</si>
  <si>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</si>
  <si>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</si>
  <si>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</si>
  <si>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</si>
  <si>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</si>
  <si>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</si>
  <si>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</si>
  <si>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</si>
  <si>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</si>
  <si>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</si>
  <si>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</si>
  <si>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</si>
  <si>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</si>
  <si>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</si>
  <si>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</si>
  <si>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</si>
  <si>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</si>
  <si>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</si>
  <si>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</si>
  <si>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</si>
  <si>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</si>
  <si>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</si>
  <si>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</si>
  <si>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</si>
  <si>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</si>
  <si>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</si>
  <si>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</si>
  <si>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</si>
  <si>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</si>
  <si>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</si>
  <si>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</si>
  <si>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</si>
  <si>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</si>
  <si>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</si>
  <si>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</si>
  <si>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</si>
  <si>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</si>
  <si>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</si>
  <si>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</si>
  <si>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</si>
  <si>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</si>
  <si>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</si>
  <si>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</si>
  <si>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</si>
  <si>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</si>
  <si>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</si>
  <si>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</si>
  <si>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</si>
  <si>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</si>
  <si>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</si>
  <si>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</si>
  <si>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</si>
  <si>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</si>
  <si>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</si>
  <si>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</si>
  <si>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</si>
  <si>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</si>
  <si>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</si>
  <si>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</si>
  <si>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</si>
  <si>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</si>
  <si>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</si>
  <si>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</si>
  <si>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</si>
  <si>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</si>
  <si>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</si>
  <si>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</si>
  <si>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</si>
  <si>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</si>
  <si>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</si>
  <si>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</si>
  <si>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</si>
  <si>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</si>
  <si>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</si>
  <si>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</si>
  <si>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</si>
  <si>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</si>
  <si>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</si>
  <si>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</si>
  <si>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</si>
  <si>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</si>
  <si>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</si>
  <si>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</si>
  <si>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</si>
  <si>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</si>
  <si>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</si>
  <si>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</si>
  <si>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</si>
  <si>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</si>
  <si>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</si>
  <si>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</si>
  <si>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</si>
  <si>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</si>
  <si>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</si>
  <si>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</si>
  <si>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</si>
  <si>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</si>
  <si>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</si>
  <si>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</si>
  <si>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</si>
  <si>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</si>
  <si>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</si>
  <si>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</si>
  <si>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</si>
  <si>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</si>
  <si>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</si>
  <si>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</si>
  <si>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</si>
  <si>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</si>
  <si>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</si>
  <si>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</si>
  <si>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</si>
  <si>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</si>
  <si>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</si>
  <si>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</si>
  <si>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</si>
  <si>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</si>
  <si>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</si>
  <si>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</si>
  <si>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</si>
  <si>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</si>
  <si>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</si>
  <si>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</si>
  <si>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</si>
  <si>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</si>
  <si>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</si>
  <si>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</si>
  <si>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</si>
  <si>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</si>
  <si>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</si>
  <si>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</si>
  <si>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</si>
  <si>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</si>
  <si>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</si>
  <si>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</si>
  <si>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</si>
  <si>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</si>
  <si>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</si>
  <si>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</si>
  <si>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</si>
  <si>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</si>
  <si>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</si>
  <si>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</si>
  <si>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</si>
  <si>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</si>
  <si>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</si>
  <si>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</si>
  <si>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</si>
  <si>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</si>
  <si>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</si>
  <si>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</si>
  <si>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</si>
  <si>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</si>
  <si>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</si>
  <si>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</si>
  <si>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</si>
  <si>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</si>
  <si>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</si>
  <si>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</si>
  <si>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</si>
  <si>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</si>
  <si>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</si>
  <si>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</si>
  <si>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</si>
  <si>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</si>
  <si>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</si>
  <si>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</si>
  <si>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</si>
  <si>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</si>
  <si>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</si>
  <si>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</si>
  <si>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</si>
  <si>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</si>
  <si>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</si>
  <si>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</si>
  <si>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</si>
  <si>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</si>
  <si>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</si>
  <si>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</si>
  <si>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</si>
  <si>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</si>
  <si>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</si>
  <si>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</si>
  <si>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</si>
  <si>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</si>
  <si>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</si>
  <si>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</si>
  <si>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</si>
  <si>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</si>
  <si>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</si>
  <si>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</si>
  <si>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</si>
  <si>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</si>
  <si>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</si>
  <si>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</si>
  <si>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</si>
  <si>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</si>
  <si>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</si>
  <si>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</si>
  <si>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</si>
  <si>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</si>
  <si>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</si>
  <si>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</si>
  <si>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</si>
  <si>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</si>
  <si>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</si>
  <si>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</si>
  <si>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</si>
  <si>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</si>
  <si>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</si>
  <si>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</si>
  <si>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</si>
  <si>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</si>
  <si>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</si>
  <si>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</si>
  <si>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</si>
  <si>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</si>
  <si>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</si>
  <si>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</si>
  <si>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</si>
  <si>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</si>
  <si>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</si>
  <si>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</si>
  <si>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</si>
  <si>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</si>
  <si>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</si>
  <si>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</si>
  <si>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</si>
  <si>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</si>
  <si>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</si>
  <si>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</si>
  <si>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</si>
  <si>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</si>
  <si>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</si>
  <si>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</si>
  <si>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</si>
  <si>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</si>
  <si>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</si>
  <si>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</si>
  <si>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</si>
  <si>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</si>
  <si>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</si>
  <si>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</si>
  <si>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</si>
  <si>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</si>
  <si>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</si>
  <si>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</si>
  <si>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</si>
  <si>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</si>
  <si>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</si>
  <si>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</si>
  <si>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</si>
  <si>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</si>
  <si>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</si>
  <si>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</si>
  <si>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</si>
  <si>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</si>
  <si>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</si>
  <si>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</si>
  <si>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</si>
  <si>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</si>
  <si>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</si>
  <si>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</si>
  <si>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</si>
  <si>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</si>
  <si>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</si>
  <si>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</si>
  <si>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</si>
  <si>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</si>
  <si>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</si>
  <si>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</si>
  <si>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</si>
  <si>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</si>
  <si>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</si>
  <si>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</si>
  <si>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</si>
  <si>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</si>
  <si>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</si>
  <si>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</si>
  <si>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</si>
  <si>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</si>
  <si>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</si>
  <si>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</si>
  <si>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</si>
  <si>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</si>
  <si>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</si>
  <si>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</si>
  <si>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</si>
  <si>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</si>
  <si>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</si>
  <si>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</si>
  <si>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</si>
  <si>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</si>
  <si>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</si>
  <si>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</si>
  <si>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</si>
  <si>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</si>
  <si>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</si>
  <si>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</si>
  <si>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</si>
  <si>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</si>
  <si>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</si>
  <si>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</si>
  <si>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</si>
  <si>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</si>
  <si>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</si>
  <si>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</si>
  <si>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</si>
  <si>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</si>
  <si>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</si>
  <si>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</si>
  <si>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</si>
  <si>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</si>
  <si>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</si>
  <si>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</si>
  <si>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</si>
  <si>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</si>
  <si>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</si>
  <si>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</si>
  <si>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</si>
  <si>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</si>
  <si>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</si>
  <si>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</si>
  <si>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</si>
  <si>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</si>
  <si>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</si>
  <si>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</si>
  <si>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</si>
  <si>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</si>
  <si>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</si>
  <si>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</si>
  <si>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</si>
  <si>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</si>
  <si>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</si>
  <si>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</si>
  <si>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</si>
  <si>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</si>
  <si>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</si>
  <si>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</si>
  <si>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</si>
  <si>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</si>
  <si>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</si>
  <si>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</si>
  <si>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</si>
  <si>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</si>
  <si>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</si>
  <si>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</si>
  <si>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</si>
  <si>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</si>
  <si>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</si>
  <si>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</si>
  <si>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</si>
  <si>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</si>
  <si>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</si>
  <si>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</si>
  <si>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</si>
  <si>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</si>
  <si>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</si>
  <si>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</si>
  <si>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</si>
  <si>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</si>
  <si>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</si>
  <si>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</si>
  <si>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</si>
  <si>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</si>
  <si>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</si>
  <si>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</si>
  <si>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</si>
  <si>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</si>
  <si>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</si>
  <si>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</si>
  <si>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</si>
  <si>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</si>
  <si>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</si>
  <si>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</si>
  <si>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</si>
  <si>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</si>
  <si>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</si>
  <si>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</si>
  <si>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</si>
  <si>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</si>
  <si>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</si>
  <si>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</si>
  <si>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</si>
  <si>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</si>
  <si>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</si>
  <si>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</si>
  <si>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</si>
  <si>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</si>
  <si>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</si>
  <si>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</si>
  <si>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</si>
  <si>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</si>
  <si>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</si>
  <si>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</si>
  <si>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</si>
  <si>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</si>
  <si>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</si>
  <si>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</si>
  <si>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</si>
  <si>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</si>
  <si>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</si>
  <si>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</si>
  <si>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</si>
  <si>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</si>
  <si>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</si>
  <si>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</si>
  <si>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</si>
  <si>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</si>
  <si>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</si>
  <si>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</si>
  <si>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</si>
  <si>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</si>
  <si>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</si>
  <si>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</si>
  <si>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</si>
  <si>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</si>
  <si>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</si>
  <si>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</si>
  <si>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</si>
  <si>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</si>
  <si>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</si>
  <si>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</si>
  <si>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</si>
  <si>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</si>
  <si>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</si>
  <si>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</si>
  <si>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</si>
  <si>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</si>
  <si>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</si>
  <si>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</si>
  <si>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</si>
  <si>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</si>
  <si>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</si>
  <si>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</si>
  <si>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</si>
  <si>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</si>
  <si>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</si>
  <si>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</si>
  <si>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</si>
  <si>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</si>
  <si>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</si>
  <si>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</si>
  <si>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</si>
  <si>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</si>
  <si>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</si>
  <si>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</si>
  <si>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</si>
  <si>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</si>
  <si>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</si>
  <si>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</si>
  <si>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</si>
  <si>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</si>
  <si>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</si>
  <si>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</si>
  <si>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</si>
  <si>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</si>
  <si>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</si>
  <si>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</si>
  <si>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</si>
  <si>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</si>
  <si>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</si>
  <si>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</si>
  <si>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</si>
  <si>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</si>
  <si>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</si>
  <si>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</si>
  <si>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</si>
  <si>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</si>
  <si>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</si>
  <si>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</si>
  <si>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</si>
  <si>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</si>
  <si>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</si>
  <si>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</si>
  <si>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</si>
  <si>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</si>
  <si>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</si>
  <si>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</si>
  <si>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</si>
  <si>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</si>
  <si>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</si>
  <si>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</si>
  <si>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</si>
  <si>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</si>
  <si>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</si>
  <si>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</si>
  <si>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</si>
  <si>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</si>
  <si>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</si>
  <si>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</si>
  <si>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</si>
  <si>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</si>
  <si>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</si>
  <si>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</si>
  <si>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</si>
  <si>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</si>
  <si>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</si>
  <si>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</si>
  <si>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</si>
  <si>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</si>
  <si>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</si>
  <si>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</si>
  <si>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</si>
  <si>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</si>
  <si>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</si>
  <si>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</si>
  <si>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</si>
  <si>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</si>
  <si>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</si>
  <si>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</si>
  <si>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</si>
  <si>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</si>
  <si>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</si>
  <si>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</si>
  <si>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</si>
  <si>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</si>
  <si>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</si>
  <si>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</si>
  <si>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</si>
  <si>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</si>
  <si>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</si>
  <si>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</si>
  <si>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</si>
  <si>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</si>
  <si>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</si>
  <si>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</si>
  <si>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</si>
  <si>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</si>
  <si>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</si>
  <si>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</si>
  <si>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</si>
  <si>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</si>
  <si>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</si>
  <si>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</si>
  <si>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</si>
  <si>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</si>
  <si>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</si>
  <si>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</si>
  <si>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</si>
  <si>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</si>
  <si>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</si>
  <si>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</si>
  <si>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</si>
  <si>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</si>
  <si>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</si>
  <si>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</si>
  <si>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</si>
  <si>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</si>
  <si>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</si>
  <si>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</si>
  <si>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</si>
  <si>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</si>
  <si>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</si>
  <si>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</si>
  <si>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</si>
  <si>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</si>
  <si>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</si>
  <si>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</si>
  <si>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</si>
  <si>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</si>
  <si>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</si>
  <si>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</si>
  <si>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</si>
  <si>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</si>
  <si>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</si>
  <si>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</si>
  <si>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</si>
  <si>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</si>
  <si>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</si>
  <si>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</si>
  <si>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</si>
  <si>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</si>
  <si>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</si>
  <si>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</si>
  <si>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</si>
  <si>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</si>
  <si>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</si>
  <si>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</si>
  <si>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</si>
  <si>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</si>
  <si>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</si>
  <si>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</si>
  <si>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</si>
  <si>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</si>
  <si>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</si>
  <si>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</si>
  <si>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</si>
  <si>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</si>
  <si>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</si>
  <si>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</si>
  <si>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</si>
  <si>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</si>
  <si>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</si>
  <si>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</si>
  <si>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</si>
  <si>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</si>
  <si>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</si>
  <si>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</si>
  <si>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</si>
  <si>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</si>
  <si>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</si>
  <si>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</si>
  <si>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</si>
  <si>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</si>
  <si>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</si>
  <si>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</si>
  <si>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</si>
  <si>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</si>
  <si>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</si>
  <si>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</si>
  <si>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</si>
  <si>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</si>
  <si>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</si>
  <si>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</si>
  <si>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</si>
  <si>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</si>
  <si>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</si>
  <si>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</si>
  <si>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</si>
  <si>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</si>
  <si>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</si>
  <si>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</si>
  <si>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</si>
  <si>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</si>
  <si>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</si>
  <si>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</si>
  <si>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</si>
  <si>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</si>
  <si>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</si>
  <si>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</si>
  <si>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</si>
  <si>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</si>
  <si>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</si>
  <si>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</si>
  <si>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</si>
  <si>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</si>
  <si>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</si>
  <si>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</si>
  <si>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</si>
  <si>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</si>
  <si>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</si>
  <si>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</si>
  <si>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</si>
  <si>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</si>
  <si>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</si>
  <si>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</si>
  <si>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</si>
  <si>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</si>
  <si>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</si>
  <si>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</si>
  <si>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</si>
  <si>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</si>
  <si>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</si>
  <si>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</si>
  <si>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</si>
  <si>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</si>
  <si>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</si>
  <si>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</si>
  <si>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</si>
  <si>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</si>
  <si>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</si>
  <si>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</si>
  <si>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</si>
  <si>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</si>
  <si>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</si>
  <si>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</si>
  <si>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</si>
  <si>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</si>
  <si>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</si>
  <si>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</si>
  <si>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</si>
  <si>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</si>
  <si>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</si>
  <si>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</si>
  <si>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</si>
  <si>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</si>
  <si>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</si>
  <si>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</si>
  <si>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</si>
  <si>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</si>
  <si>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</si>
  <si>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</si>
  <si>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</si>
  <si>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</si>
  <si>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</si>
  <si>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</si>
  <si>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</si>
  <si>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</si>
  <si>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104</t>
  </si>
  <si>
    <t>EvergreenHealth Monroe</t>
  </si>
  <si>
    <t>14701 179th Ave SE</t>
  </si>
  <si>
    <t>Monroe</t>
  </si>
  <si>
    <t>WA</t>
  </si>
  <si>
    <t>Snohomish</t>
  </si>
  <si>
    <t xml:space="preserve">Lisa LaPlante </t>
  </si>
  <si>
    <t>Ann Peterson</t>
  </si>
  <si>
    <t xml:space="preserve">Alice Cabe </t>
  </si>
  <si>
    <t>360-794-7497</t>
  </si>
  <si>
    <t>360-863-4672</t>
  </si>
  <si>
    <t>12/31/2022</t>
  </si>
  <si>
    <t>Karen Gahm</t>
  </si>
  <si>
    <t>Rubyann Toledo</t>
  </si>
  <si>
    <t>rtoledo@evergreenhealthmonroe.com</t>
  </si>
  <si>
    <t>Changed report source.  Restate 2021</t>
  </si>
  <si>
    <t>Increased labor cost</t>
  </si>
  <si>
    <t>Includes mulitiple depts - expenses changed between departments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</si>
</sst>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0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7" fillId="8" borderId="0" xfId="0" applyFont="1" applyFill="1"/>
    <xf numFmtId="37" fontId="7" fillId="8" borderId="0" xfId="0" applyFont="1" applyFill="1" applyAlignment="1">
      <alignment vertical="center"/>
    </xf>
    <xf numFmtId="2" fontId="7" fillId="8" borderId="0" xfId="0" applyNumberFormat="1" applyFont="1" applyFill="1"/>
    <xf numFmtId="10" fontId="7" fillId="8" borderId="0" xfId="0" applyNumberFormat="1" applyFont="1" applyFill="1"/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toledo@evergreenhealthmonroe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94" transitionEvaluation="1" transitionEntry="1" codeName="Sheet1">
    <tabColor rgb="FF92D050"/>
    <pageSetUpPr autoPageBreaks="0" fitToPage="1"/>
  </sheetPr>
  <dimension ref="A1:CH716"/>
  <sheetViews>
    <sheetView tabSelected="1" topLeftCell="A94" zoomScaleNormal="100" workbookViewId="0">
      <selection activeCell="C419" sqref="C41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>
        <v>1917.24</v>
      </c>
      <c r="D47" s="24">
        <f>33060.88+32974.52</f>
        <v>66035.399999999994</v>
      </c>
      <c r="E47" s="24">
        <f>187636.52+165196.82</f>
        <v>352833.33999999997</v>
      </c>
      <c r="F47" s="24"/>
      <c r="G47" s="24"/>
      <c r="H47" s="24"/>
      <c r="I47" s="24">
        <f>293769.92+226501.43</f>
        <v>520271.35</v>
      </c>
      <c r="J47" s="24"/>
      <c r="K47" s="24"/>
      <c r="L47" s="24"/>
      <c r="M47" s="24"/>
      <c r="N47" s="24">
        <f>81714.96+158720.06</f>
        <v>240435.02000000002</v>
      </c>
      <c r="O47" s="24"/>
      <c r="P47" s="24">
        <f>81720.7+81272.36</f>
        <v>162993.06</v>
      </c>
      <c r="Q47" s="24">
        <f>36722.01+21328.77</f>
        <v>58050.78</v>
      </c>
      <c r="R47" s="24"/>
      <c r="S47" s="24">
        <f>19272.72+14941.79</f>
        <v>34214.51</v>
      </c>
      <c r="T47" s="24"/>
      <c r="U47" s="24">
        <f>133146.42+93132.23</f>
        <v>226278.65000000002</v>
      </c>
      <c r="V47" s="24"/>
      <c r="W47" s="24">
        <f>19818+28844.76</f>
        <v>48662.759999999995</v>
      </c>
      <c r="X47" s="24">
        <f>66639.77+76786.51</f>
        <v>143426.28</v>
      </c>
      <c r="Y47" s="24">
        <f>60997.4+50542.15</f>
        <v>111539.55</v>
      </c>
      <c r="Z47" s="24"/>
      <c r="AA47" s="24"/>
      <c r="AB47" s="24">
        <f>64652.3+73050.71</f>
        <v>137703.01</v>
      </c>
      <c r="AC47" s="24">
        <f>12150.54+16325.78</f>
        <v>28476.32</v>
      </c>
      <c r="AD47" s="24"/>
      <c r="AE47" s="24">
        <f>71926.44+48633.54</f>
        <v>120559.98000000001</v>
      </c>
      <c r="AF47" s="24"/>
      <c r="AG47" s="24">
        <f>226028.82+214690.18</f>
        <v>440719</v>
      </c>
      <c r="AH47" s="24"/>
      <c r="AI47" s="24"/>
      <c r="AJ47" s="24">
        <f>77946.03+94294.32</f>
        <v>172240.35</v>
      </c>
      <c r="AK47" s="24">
        <f>20341.44+15969.33</f>
        <v>36310.769999999997</v>
      </c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>
        <f>100525.52+49756.83</f>
        <v>150282.35</v>
      </c>
      <c r="BA47" s="24"/>
      <c r="BB47" s="24"/>
      <c r="BC47" s="24"/>
      <c r="BD47" s="24">
        <f>14486.58+10024.69</f>
        <v>24511.27</v>
      </c>
      <c r="BE47" s="24">
        <f>43817.3+31665.66</f>
        <v>75482.960000000006</v>
      </c>
      <c r="BF47" s="24">
        <f>136320.07+72611.03</f>
        <v>208931.1</v>
      </c>
      <c r="BG47" s="24"/>
      <c r="BH47" s="24">
        <f>34429.62+30898.04</f>
        <v>65327.66</v>
      </c>
      <c r="BI47" s="24">
        <v>1069.74</v>
      </c>
      <c r="BJ47" s="24">
        <f>9872.04+13198.35</f>
        <v>23070.39</v>
      </c>
      <c r="BK47" s="24">
        <f>54378.71+26928.27</f>
        <v>81306.98</v>
      </c>
      <c r="BL47" s="24">
        <f>77373.37+50996.78</f>
        <v>128370.15</v>
      </c>
      <c r="BM47" s="24"/>
      <c r="BN47" s="24">
        <f>31484.16+528461.7</f>
        <v>559945.86</v>
      </c>
      <c r="BO47" s="24">
        <f>20170.32+7287.59</f>
        <v>27457.91</v>
      </c>
      <c r="BP47" s="24"/>
      <c r="BQ47" s="24"/>
      <c r="BR47" s="24">
        <f>34016.01+28812.95</f>
        <v>62828.960000000006</v>
      </c>
      <c r="BS47" s="24"/>
      <c r="BT47" s="24"/>
      <c r="BU47" s="24"/>
      <c r="BV47" s="24">
        <f>68251.32+50608.77</f>
        <v>118860.09</v>
      </c>
      <c r="BW47" s="24">
        <f>16041.12+5524.4</f>
        <v>21565.52</v>
      </c>
      <c r="BX47" s="24">
        <f>29786.03+30250.87</f>
        <v>60036.899999999994</v>
      </c>
      <c r="BY47" s="24">
        <f>36086.45+37206.92</f>
        <v>73293.37</v>
      </c>
      <c r="BZ47" s="24"/>
      <c r="CA47" s="24"/>
      <c r="CB47" s="24"/>
      <c r="CC47" s="24">
        <f>2976.64+81230.48-202229.08</f>
        <v>-118021.95999999999</v>
      </c>
      <c r="CD47" s="20"/>
      <c r="CE47" s="32">
        <f>SUM(C47:CC47)</f>
        <v>4466986.620000001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5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>
        <v>1488218.1300000001</v>
      </c>
      <c r="C51" s="24">
        <v>3180.8</v>
      </c>
      <c r="D51" s="24">
        <v>0</v>
      </c>
      <c r="E51" s="24">
        <v>40299.57</v>
      </c>
      <c r="F51" s="24"/>
      <c r="G51" s="24"/>
      <c r="H51" s="24"/>
      <c r="I51" s="24">
        <v>403036.49</v>
      </c>
      <c r="J51" s="24"/>
      <c r="K51" s="24"/>
      <c r="L51" s="24"/>
      <c r="M51" s="24"/>
      <c r="N51" s="24"/>
      <c r="O51" s="24"/>
      <c r="P51" s="24">
        <v>11430.88</v>
      </c>
      <c r="Q51" s="24"/>
      <c r="R51" s="24"/>
      <c r="S51" s="24"/>
      <c r="T51" s="24"/>
      <c r="U51" s="24">
        <v>16890.900000000001</v>
      </c>
      <c r="V51" s="24"/>
      <c r="W51" s="24">
        <v>223126.61</v>
      </c>
      <c r="X51" s="24">
        <v>81069.2</v>
      </c>
      <c r="Y51" s="24">
        <v>28513.47</v>
      </c>
      <c r="Z51" s="24"/>
      <c r="AA51" s="24"/>
      <c r="AB51" s="24"/>
      <c r="AC51" s="24">
        <v>3180.8</v>
      </c>
      <c r="AD51" s="24"/>
      <c r="AE51" s="24">
        <v>73507.850000000006</v>
      </c>
      <c r="AF51" s="24"/>
      <c r="AG51" s="24">
        <v>6970.99</v>
      </c>
      <c r="AH51" s="24"/>
      <c r="AI51" s="24"/>
      <c r="AJ51" s="24">
        <v>3180.8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>
        <v>324821.92</v>
      </c>
      <c r="BF51" s="24"/>
      <c r="BG51" s="24"/>
      <c r="BH51" s="24">
        <v>127321.38</v>
      </c>
      <c r="BI51" s="24"/>
      <c r="BJ51" s="24"/>
      <c r="BK51" s="24"/>
      <c r="BL51" s="24"/>
      <c r="BM51" s="24"/>
      <c r="BN51" s="24">
        <v>138505.67000000001</v>
      </c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>
        <v>3180.8</v>
      </c>
      <c r="CB51" s="24"/>
      <c r="CC51" s="24"/>
      <c r="CD51" s="20"/>
      <c r="CE51" s="32">
        <f>SUM(C51:CD51)</f>
        <v>1488218.1300000001</v>
      </c>
    </row>
    <row r="52" spans="1:85" x14ac:dyDescent="0.35">
      <c r="A52" s="39" t="s">
        <v>220</v>
      </c>
      <c r="B52" s="313">
        <f>1304908.04+73093.79+976.2</f>
        <v>1378978.03</v>
      </c>
      <c r="C52" s="32">
        <f>IF($B$52,ROUND(($B$52/($CE$90+$CF$90)*C90),0))</f>
        <v>36273</v>
      </c>
      <c r="D52" s="32">
        <f t="shared" ref="D52:BO52" si="2">IF($B$52,ROUND(($B$52/($CE$90+$CF$90)*D90),0))</f>
        <v>0</v>
      </c>
      <c r="E52" s="32">
        <f t="shared" si="2"/>
        <v>183343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99668</v>
      </c>
      <c r="P52" s="32">
        <f t="shared" si="2"/>
        <v>89396</v>
      </c>
      <c r="Q52" s="32">
        <f t="shared" si="2"/>
        <v>9893</v>
      </c>
      <c r="R52" s="32">
        <f t="shared" si="2"/>
        <v>3001</v>
      </c>
      <c r="S52" s="32">
        <f t="shared" si="2"/>
        <v>0</v>
      </c>
      <c r="T52" s="32">
        <f t="shared" si="2"/>
        <v>0</v>
      </c>
      <c r="U52" s="32">
        <f t="shared" si="2"/>
        <v>21104</v>
      </c>
      <c r="V52" s="32">
        <f t="shared" si="2"/>
        <v>0</v>
      </c>
      <c r="W52" s="32">
        <f t="shared" si="2"/>
        <v>11970</v>
      </c>
      <c r="X52" s="32">
        <f t="shared" si="2"/>
        <v>9134</v>
      </c>
      <c r="Y52" s="32">
        <f t="shared" si="2"/>
        <v>58993</v>
      </c>
      <c r="Z52" s="32">
        <f t="shared" si="2"/>
        <v>0</v>
      </c>
      <c r="AA52" s="32">
        <f t="shared" si="2"/>
        <v>7040</v>
      </c>
      <c r="AB52" s="32">
        <f t="shared" si="2"/>
        <v>13371</v>
      </c>
      <c r="AC52" s="32">
        <f t="shared" si="2"/>
        <v>12613</v>
      </c>
      <c r="AD52" s="32">
        <f t="shared" si="2"/>
        <v>0</v>
      </c>
      <c r="AE52" s="32">
        <f t="shared" si="2"/>
        <v>4287</v>
      </c>
      <c r="AF52" s="32">
        <f t="shared" si="2"/>
        <v>0</v>
      </c>
      <c r="AG52" s="32">
        <f t="shared" si="2"/>
        <v>128604</v>
      </c>
      <c r="AH52" s="32">
        <f t="shared" si="2"/>
        <v>0</v>
      </c>
      <c r="AI52" s="32">
        <f t="shared" si="2"/>
        <v>0</v>
      </c>
      <c r="AJ52" s="32">
        <f t="shared" si="2"/>
        <v>138826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73139</v>
      </c>
      <c r="BA52" s="32">
        <f t="shared" si="2"/>
        <v>6809</v>
      </c>
      <c r="BB52" s="32">
        <f t="shared" si="2"/>
        <v>0</v>
      </c>
      <c r="BC52" s="32">
        <f t="shared" si="2"/>
        <v>0</v>
      </c>
      <c r="BD52" s="32">
        <f t="shared" si="2"/>
        <v>53090</v>
      </c>
      <c r="BE52" s="32">
        <f t="shared" si="2"/>
        <v>172725</v>
      </c>
      <c r="BF52" s="32">
        <f t="shared" si="2"/>
        <v>6348</v>
      </c>
      <c r="BG52" s="32">
        <f t="shared" si="2"/>
        <v>0</v>
      </c>
      <c r="BH52" s="32">
        <f t="shared" si="2"/>
        <v>21434</v>
      </c>
      <c r="BI52" s="32">
        <f t="shared" si="2"/>
        <v>0</v>
      </c>
      <c r="BJ52" s="32">
        <f t="shared" si="2"/>
        <v>0</v>
      </c>
      <c r="BK52" s="32">
        <f t="shared" si="2"/>
        <v>19785</v>
      </c>
      <c r="BL52" s="32">
        <f t="shared" si="2"/>
        <v>6925</v>
      </c>
      <c r="BM52" s="32">
        <f t="shared" si="2"/>
        <v>0</v>
      </c>
      <c r="BN52" s="32">
        <f t="shared" si="2"/>
        <v>96090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9893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44962</v>
      </c>
      <c r="BW52" s="32">
        <f t="shared" si="3"/>
        <v>0</v>
      </c>
      <c r="BX52" s="32">
        <f t="shared" si="3"/>
        <v>0</v>
      </c>
      <c r="BY52" s="32">
        <f t="shared" si="3"/>
        <v>12316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>IF($B$52,ROUND(($B$52/($CE$90+$CF$90)*CC90),0))</f>
        <v>27947</v>
      </c>
      <c r="CD52" s="32">
        <f t="shared" si="3"/>
        <v>0</v>
      </c>
      <c r="CE52" s="32">
        <f>SUM(C52:CD52)</f>
        <v>1378979</v>
      </c>
    </row>
    <row r="53" spans="1:85" x14ac:dyDescent="0.35">
      <c r="A53" s="20" t="s">
        <v>218</v>
      </c>
      <c r="B53" s="32">
        <f>B51+B52</f>
        <v>2867196.16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/>
      <c r="D59" s="24">
        <v>363</v>
      </c>
      <c r="E59" s="24">
        <v>2833</v>
      </c>
      <c r="F59" s="24"/>
      <c r="G59" s="24"/>
      <c r="H59" s="24"/>
      <c r="I59" s="24">
        <v>6319</v>
      </c>
      <c r="J59" s="24"/>
      <c r="K59" s="24"/>
      <c r="L59" s="24"/>
      <c r="M59" s="24"/>
      <c r="N59" s="24"/>
      <c r="O59" s="24"/>
      <c r="P59" s="30">
        <v>79658</v>
      </c>
      <c r="Q59" s="30"/>
      <c r="R59" s="30"/>
      <c r="S59" s="314"/>
      <c r="T59" s="314"/>
      <c r="U59" s="31">
        <f>26862+105314</f>
        <v>132176</v>
      </c>
      <c r="V59" s="30">
        <f>422+3704</f>
        <v>4126</v>
      </c>
      <c r="W59" s="30">
        <v>1310</v>
      </c>
      <c r="X59" s="30">
        <f>7599+644</f>
        <v>8243</v>
      </c>
      <c r="Y59" s="30"/>
      <c r="Z59" s="30"/>
      <c r="AA59" s="30"/>
      <c r="AB59" s="314"/>
      <c r="AC59" s="30">
        <f>2293+1106</f>
        <v>3399</v>
      </c>
      <c r="AD59" s="30"/>
      <c r="AE59" s="30">
        <v>13723</v>
      </c>
      <c r="AF59" s="30"/>
      <c r="AG59" s="30">
        <v>18498</v>
      </c>
      <c r="AH59" s="30"/>
      <c r="AI59" s="30"/>
      <c r="AJ59" s="30">
        <f>692</f>
        <v>692</v>
      </c>
      <c r="AK59" s="30">
        <v>3186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>
        <v>30708</v>
      </c>
      <c r="BA59" s="314"/>
      <c r="BB59" s="314"/>
      <c r="BC59" s="314"/>
      <c r="BD59" s="314"/>
      <c r="BE59" s="30">
        <v>83637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5" s="225" customFormat="1" x14ac:dyDescent="0.35">
      <c r="A60" s="241" t="s">
        <v>247</v>
      </c>
      <c r="B60" s="242"/>
      <c r="C60" s="315">
        <v>-0.03</v>
      </c>
      <c r="D60" s="315">
        <v>3.85</v>
      </c>
      <c r="E60" s="315">
        <v>23.5</v>
      </c>
      <c r="F60" s="315"/>
      <c r="G60" s="315"/>
      <c r="H60" s="315"/>
      <c r="I60" s="315">
        <v>27.23</v>
      </c>
      <c r="J60" s="315"/>
      <c r="K60" s="315"/>
      <c r="L60" s="315"/>
      <c r="M60" s="315"/>
      <c r="N60" s="315">
        <v>1.83</v>
      </c>
      <c r="O60" s="315"/>
      <c r="P60" s="316">
        <v>8.5500000000000007</v>
      </c>
      <c r="Q60" s="316">
        <v>2.77</v>
      </c>
      <c r="R60" s="316"/>
      <c r="S60" s="317">
        <v>1.87</v>
      </c>
      <c r="T60" s="317"/>
      <c r="U60" s="318">
        <v>14.67</v>
      </c>
      <c r="V60" s="316"/>
      <c r="W60" s="316">
        <v>2.27</v>
      </c>
      <c r="X60" s="316">
        <v>7.6</v>
      </c>
      <c r="Y60" s="316">
        <v>6.09</v>
      </c>
      <c r="Z60" s="316"/>
      <c r="AA60" s="316"/>
      <c r="AB60" s="317">
        <v>4.92</v>
      </c>
      <c r="AC60" s="316">
        <v>4.3</v>
      </c>
      <c r="AD60" s="316"/>
      <c r="AE60" s="316">
        <v>5.92</v>
      </c>
      <c r="AF60" s="316"/>
      <c r="AG60" s="316">
        <v>26.62</v>
      </c>
      <c r="AH60" s="316"/>
      <c r="AI60" s="316"/>
      <c r="AJ60" s="316">
        <v>7.34</v>
      </c>
      <c r="AK60" s="316">
        <v>1.19</v>
      </c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7"/>
      <c r="AW60" s="317"/>
      <c r="AX60" s="317"/>
      <c r="AY60" s="316"/>
      <c r="AZ60" s="316">
        <v>11.64</v>
      </c>
      <c r="BA60" s="317"/>
      <c r="BB60" s="317"/>
      <c r="BC60" s="317"/>
      <c r="BD60" s="317">
        <v>1.95</v>
      </c>
      <c r="BE60" s="316">
        <v>5.7</v>
      </c>
      <c r="BF60" s="317">
        <v>14.87</v>
      </c>
      <c r="BG60" s="317"/>
      <c r="BH60" s="317">
        <v>5.77</v>
      </c>
      <c r="BI60" s="317">
        <v>0.17</v>
      </c>
      <c r="BJ60" s="317">
        <v>2.61</v>
      </c>
      <c r="BK60" s="317">
        <v>5.78</v>
      </c>
      <c r="BL60" s="317">
        <v>11.55</v>
      </c>
      <c r="BM60" s="317"/>
      <c r="BN60" s="317">
        <v>7.42</v>
      </c>
      <c r="BO60" s="317">
        <v>0.39</v>
      </c>
      <c r="BP60" s="317"/>
      <c r="BQ60" s="317"/>
      <c r="BR60" s="317">
        <v>2.65</v>
      </c>
      <c r="BS60" s="317"/>
      <c r="BT60" s="317"/>
      <c r="BU60" s="317"/>
      <c r="BV60" s="317">
        <v>9.4600000000000009</v>
      </c>
      <c r="BW60" s="317">
        <v>0.81</v>
      </c>
      <c r="BX60" s="317">
        <v>3.79</v>
      </c>
      <c r="BY60" s="317">
        <v>4.2699999999999996</v>
      </c>
      <c r="BZ60" s="317"/>
      <c r="CA60" s="317">
        <v>0.01</v>
      </c>
      <c r="CB60" s="317"/>
      <c r="CC60" s="317">
        <v>1.68</v>
      </c>
      <c r="CD60" s="247" t="s">
        <v>233</v>
      </c>
      <c r="CE60" s="268">
        <f t="shared" ref="CE60:CE68" si="4">SUM(C60:CD60)</f>
        <v>241.01</v>
      </c>
      <c r="CG60" s="12"/>
    </row>
    <row r="61" spans="1:85" x14ac:dyDescent="0.35">
      <c r="A61" s="39" t="s">
        <v>248</v>
      </c>
      <c r="B61" s="20"/>
      <c r="C61" s="24">
        <v>25000</v>
      </c>
      <c r="D61" s="24">
        <v>808960.28</v>
      </c>
      <c r="E61" s="24">
        <v>3104882.95</v>
      </c>
      <c r="F61" s="24"/>
      <c r="G61" s="24"/>
      <c r="H61" s="24"/>
      <c r="I61" s="24">
        <v>2759715.79</v>
      </c>
      <c r="J61" s="24"/>
      <c r="K61" s="24"/>
      <c r="L61" s="24"/>
      <c r="M61" s="24"/>
      <c r="N61" s="24">
        <v>1789590.8</v>
      </c>
      <c r="O61" s="24"/>
      <c r="P61" s="30">
        <v>967166.44</v>
      </c>
      <c r="Q61" s="30">
        <v>578719.52</v>
      </c>
      <c r="R61" s="30"/>
      <c r="S61" s="319">
        <v>139918.68</v>
      </c>
      <c r="T61" s="319"/>
      <c r="U61" s="31">
        <v>1031940.83</v>
      </c>
      <c r="V61" s="30"/>
      <c r="W61" s="30">
        <v>321942.15999999997</v>
      </c>
      <c r="X61" s="30">
        <v>878170.41</v>
      </c>
      <c r="Y61" s="30">
        <v>722567.05</v>
      </c>
      <c r="Z61" s="30"/>
      <c r="AA61" s="30"/>
      <c r="AB61" s="320">
        <v>614374.89</v>
      </c>
      <c r="AC61" s="30">
        <v>925720.45</v>
      </c>
      <c r="AD61" s="30"/>
      <c r="AE61" s="30">
        <v>502313.35</v>
      </c>
      <c r="AF61" s="30"/>
      <c r="AG61" s="30">
        <v>3185356.2</v>
      </c>
      <c r="AH61" s="30"/>
      <c r="AI61" s="30"/>
      <c r="AJ61" s="30">
        <v>980610.79</v>
      </c>
      <c r="AK61" s="30">
        <v>142417.60000000001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9"/>
      <c r="AW61" s="319"/>
      <c r="AX61" s="319"/>
      <c r="AY61" s="30"/>
      <c r="AZ61" s="30">
        <v>629609.92000000004</v>
      </c>
      <c r="BA61" s="319"/>
      <c r="BB61" s="319"/>
      <c r="BC61" s="319"/>
      <c r="BD61" s="319">
        <v>108139.08</v>
      </c>
      <c r="BE61" s="30">
        <v>477045.96</v>
      </c>
      <c r="BF61" s="319">
        <v>770196.72</v>
      </c>
      <c r="BG61" s="319"/>
      <c r="BH61" s="319">
        <v>869647.37</v>
      </c>
      <c r="BI61" s="319">
        <v>14089.69</v>
      </c>
      <c r="BJ61" s="319">
        <v>256343.89</v>
      </c>
      <c r="BK61" s="319">
        <v>340440.1</v>
      </c>
      <c r="BL61" s="319">
        <v>681493.41</v>
      </c>
      <c r="BM61" s="319"/>
      <c r="BN61" s="319">
        <v>1100063.26</v>
      </c>
      <c r="BO61" s="319">
        <v>46570</v>
      </c>
      <c r="BP61" s="319"/>
      <c r="BQ61" s="319"/>
      <c r="BR61" s="319">
        <v>249355.67</v>
      </c>
      <c r="BS61" s="319"/>
      <c r="BT61" s="319"/>
      <c r="BU61" s="319"/>
      <c r="BV61" s="319">
        <v>599436.75</v>
      </c>
      <c r="BW61" s="319">
        <v>178432.4</v>
      </c>
      <c r="BX61" s="319">
        <v>366889.55</v>
      </c>
      <c r="BY61" s="319">
        <v>673532.87</v>
      </c>
      <c r="BZ61" s="319"/>
      <c r="CA61" s="319">
        <v>581.78</v>
      </c>
      <c r="CB61" s="319"/>
      <c r="CC61" s="319">
        <v>321648.90999999997</v>
      </c>
      <c r="CD61" s="29" t="s">
        <v>233</v>
      </c>
      <c r="CE61" s="32">
        <f t="shared" si="4"/>
        <v>27162885.520000011</v>
      </c>
    </row>
    <row r="62" spans="1:85" x14ac:dyDescent="0.35">
      <c r="A62" s="39" t="s">
        <v>9</v>
      </c>
      <c r="B62" s="20"/>
      <c r="C62" s="32">
        <f>ROUND(C47+C48,0)</f>
        <v>1917</v>
      </c>
      <c r="D62" s="32">
        <f t="shared" ref="D62:BO62" si="5">ROUND(D47+D48,0)</f>
        <v>66035</v>
      </c>
      <c r="E62" s="32">
        <f t="shared" si="5"/>
        <v>352833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520271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240435</v>
      </c>
      <c r="O62" s="32">
        <f t="shared" si="5"/>
        <v>0</v>
      </c>
      <c r="P62" s="32">
        <f t="shared" si="5"/>
        <v>162993</v>
      </c>
      <c r="Q62" s="32">
        <f t="shared" si="5"/>
        <v>58051</v>
      </c>
      <c r="R62" s="32">
        <f t="shared" si="5"/>
        <v>0</v>
      </c>
      <c r="S62" s="32">
        <f t="shared" si="5"/>
        <v>34215</v>
      </c>
      <c r="T62" s="32">
        <f t="shared" si="5"/>
        <v>0</v>
      </c>
      <c r="U62" s="32">
        <f t="shared" si="5"/>
        <v>226279</v>
      </c>
      <c r="V62" s="32">
        <f t="shared" si="5"/>
        <v>0</v>
      </c>
      <c r="W62" s="32">
        <f t="shared" si="5"/>
        <v>48663</v>
      </c>
      <c r="X62" s="32">
        <f t="shared" si="5"/>
        <v>143426</v>
      </c>
      <c r="Y62" s="32">
        <f t="shared" si="5"/>
        <v>111540</v>
      </c>
      <c r="Z62" s="32">
        <f t="shared" si="5"/>
        <v>0</v>
      </c>
      <c r="AA62" s="32">
        <f t="shared" si="5"/>
        <v>0</v>
      </c>
      <c r="AB62" s="32">
        <f t="shared" si="5"/>
        <v>137703</v>
      </c>
      <c r="AC62" s="32">
        <f t="shared" si="5"/>
        <v>28476</v>
      </c>
      <c r="AD62" s="32">
        <f t="shared" si="5"/>
        <v>0</v>
      </c>
      <c r="AE62" s="32">
        <f t="shared" si="5"/>
        <v>120560</v>
      </c>
      <c r="AF62" s="32">
        <f t="shared" si="5"/>
        <v>0</v>
      </c>
      <c r="AG62" s="32">
        <f t="shared" si="5"/>
        <v>440719</v>
      </c>
      <c r="AH62" s="32">
        <f t="shared" si="5"/>
        <v>0</v>
      </c>
      <c r="AI62" s="32">
        <f t="shared" si="5"/>
        <v>0</v>
      </c>
      <c r="AJ62" s="32">
        <f t="shared" si="5"/>
        <v>172240</v>
      </c>
      <c r="AK62" s="32">
        <f t="shared" si="5"/>
        <v>36311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0</v>
      </c>
      <c r="AZ62" s="32">
        <f t="shared" si="5"/>
        <v>150282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24511</v>
      </c>
      <c r="BE62" s="32">
        <f t="shared" si="5"/>
        <v>75483</v>
      </c>
      <c r="BF62" s="32">
        <f t="shared" si="5"/>
        <v>208931</v>
      </c>
      <c r="BG62" s="32">
        <f t="shared" si="5"/>
        <v>0</v>
      </c>
      <c r="BH62" s="32">
        <f t="shared" si="5"/>
        <v>65328</v>
      </c>
      <c r="BI62" s="32">
        <f t="shared" si="5"/>
        <v>1070</v>
      </c>
      <c r="BJ62" s="32">
        <f t="shared" si="5"/>
        <v>23070</v>
      </c>
      <c r="BK62" s="32">
        <f t="shared" si="5"/>
        <v>81307</v>
      </c>
      <c r="BL62" s="32">
        <f t="shared" si="5"/>
        <v>128370</v>
      </c>
      <c r="BM62" s="32">
        <f t="shared" si="5"/>
        <v>0</v>
      </c>
      <c r="BN62" s="32">
        <f t="shared" si="5"/>
        <v>559946</v>
      </c>
      <c r="BO62" s="32">
        <f t="shared" si="5"/>
        <v>27458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62829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118860</v>
      </c>
      <c r="BW62" s="32">
        <f t="shared" si="6"/>
        <v>21566</v>
      </c>
      <c r="BX62" s="32">
        <f t="shared" si="6"/>
        <v>60037</v>
      </c>
      <c r="BY62" s="32">
        <f t="shared" si="6"/>
        <v>73293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-118022</v>
      </c>
      <c r="CD62" s="29" t="s">
        <v>233</v>
      </c>
      <c r="CE62" s="32">
        <f t="shared" si="4"/>
        <v>4466986</v>
      </c>
    </row>
    <row r="63" spans="1:85" x14ac:dyDescent="0.35">
      <c r="A63" s="39" t="s">
        <v>249</v>
      </c>
      <c r="B63" s="20"/>
      <c r="C63" s="24"/>
      <c r="D63" s="24">
        <v>0</v>
      </c>
      <c r="E63" s="24">
        <v>0</v>
      </c>
      <c r="F63" s="24"/>
      <c r="G63" s="24"/>
      <c r="H63" s="24"/>
      <c r="I63" s="24">
        <v>7000</v>
      </c>
      <c r="J63" s="24"/>
      <c r="K63" s="24"/>
      <c r="L63" s="24"/>
      <c r="M63" s="24"/>
      <c r="N63" s="24">
        <v>22000</v>
      </c>
      <c r="O63" s="24"/>
      <c r="P63" s="30">
        <v>0</v>
      </c>
      <c r="Q63" s="30">
        <v>0</v>
      </c>
      <c r="R63" s="30"/>
      <c r="S63" s="319"/>
      <c r="T63" s="319"/>
      <c r="U63" s="31">
        <v>9967.65</v>
      </c>
      <c r="V63" s="30"/>
      <c r="W63" s="30">
        <v>0</v>
      </c>
      <c r="X63" s="30">
        <v>0</v>
      </c>
      <c r="Y63" s="30"/>
      <c r="Z63" s="30"/>
      <c r="AA63" s="30"/>
      <c r="AB63" s="320"/>
      <c r="AC63" s="30"/>
      <c r="AD63" s="30"/>
      <c r="AE63" s="30"/>
      <c r="AF63" s="30"/>
      <c r="AG63" s="30">
        <v>729828.92</v>
      </c>
      <c r="AH63" s="30"/>
      <c r="AI63" s="30"/>
      <c r="AJ63" s="30">
        <v>3020.79</v>
      </c>
      <c r="AK63" s="30">
        <v>2177.3000000000002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>
        <v>103723.36</v>
      </c>
      <c r="BA63" s="319"/>
      <c r="BB63" s="319"/>
      <c r="BC63" s="319"/>
      <c r="BD63" s="319"/>
      <c r="BE63" s="30"/>
      <c r="BF63" s="319"/>
      <c r="BG63" s="319"/>
      <c r="BH63" s="319">
        <v>1803</v>
      </c>
      <c r="BI63" s="319">
        <v>25985.75</v>
      </c>
      <c r="BJ63" s="319">
        <v>97619.35</v>
      </c>
      <c r="BK63" s="319">
        <v>-18257.55</v>
      </c>
      <c r="BL63" s="319"/>
      <c r="BM63" s="319"/>
      <c r="BN63" s="319">
        <v>67613.649999999994</v>
      </c>
      <c r="BO63" s="319"/>
      <c r="BP63" s="319"/>
      <c r="BQ63" s="319"/>
      <c r="BR63" s="319">
        <v>216624.15</v>
      </c>
      <c r="BS63" s="319"/>
      <c r="BT63" s="319"/>
      <c r="BU63" s="319"/>
      <c r="BV63" s="319"/>
      <c r="BW63" s="319">
        <v>675560.73</v>
      </c>
      <c r="BX63" s="319">
        <v>10125.18</v>
      </c>
      <c r="BY63" s="319"/>
      <c r="BZ63" s="319"/>
      <c r="CA63" s="319"/>
      <c r="CB63" s="319"/>
      <c r="CC63" s="319"/>
      <c r="CD63" s="29" t="s">
        <v>233</v>
      </c>
      <c r="CE63" s="32">
        <f t="shared" si="4"/>
        <v>1954792.2799999998</v>
      </c>
    </row>
    <row r="64" spans="1:85" x14ac:dyDescent="0.35">
      <c r="A64" s="39" t="s">
        <v>250</v>
      </c>
      <c r="B64" s="20"/>
      <c r="C64" s="24"/>
      <c r="D64" s="24">
        <v>3925.26</v>
      </c>
      <c r="E64" s="24">
        <v>232898.53</v>
      </c>
      <c r="F64" s="24"/>
      <c r="G64" s="24">
        <v>4.45</v>
      </c>
      <c r="H64" s="24"/>
      <c r="I64" s="24">
        <v>183763.65</v>
      </c>
      <c r="J64" s="24"/>
      <c r="K64" s="24"/>
      <c r="L64" s="24"/>
      <c r="M64" s="24"/>
      <c r="N64" s="24"/>
      <c r="O64" s="24"/>
      <c r="P64" s="30">
        <v>1910976.9</v>
      </c>
      <c r="Q64" s="30">
        <v>10774.32</v>
      </c>
      <c r="R64" s="30">
        <v>40454.51</v>
      </c>
      <c r="S64" s="319">
        <v>158139.46</v>
      </c>
      <c r="T64" s="319"/>
      <c r="U64" s="31">
        <v>961848.38</v>
      </c>
      <c r="V64" s="30"/>
      <c r="W64" s="30">
        <v>8731.64</v>
      </c>
      <c r="X64" s="30">
        <v>3035.82</v>
      </c>
      <c r="Y64" s="30">
        <v>95265.86</v>
      </c>
      <c r="Z64" s="30"/>
      <c r="AA64" s="30"/>
      <c r="AB64" s="30">
        <v>721971.9</v>
      </c>
      <c r="AC64" s="30">
        <v>25496.73</v>
      </c>
      <c r="AD64" s="30"/>
      <c r="AE64" s="30">
        <v>13340.94</v>
      </c>
      <c r="AF64" s="30"/>
      <c r="AG64" s="30">
        <v>509871.13</v>
      </c>
      <c r="AH64" s="30"/>
      <c r="AI64" s="30"/>
      <c r="AJ64" s="30">
        <v>215733.56</v>
      </c>
      <c r="AK64" s="30"/>
      <c r="AL64" s="30"/>
      <c r="AM64" s="30"/>
      <c r="AN64" s="30"/>
      <c r="AO64" s="30"/>
      <c r="AP64" s="30">
        <v>934.46</v>
      </c>
      <c r="AQ64" s="30"/>
      <c r="AR64" s="30"/>
      <c r="AS64" s="30"/>
      <c r="AT64" s="30"/>
      <c r="AU64" s="30"/>
      <c r="AV64" s="319"/>
      <c r="AW64" s="319"/>
      <c r="AX64" s="319"/>
      <c r="AY64" s="30"/>
      <c r="AZ64" s="30">
        <v>221019.63</v>
      </c>
      <c r="BA64" s="319"/>
      <c r="BB64" s="319"/>
      <c r="BC64" s="319"/>
      <c r="BD64" s="319">
        <v>535.48</v>
      </c>
      <c r="BE64" s="30">
        <v>140947.68</v>
      </c>
      <c r="BF64" s="319">
        <v>77346.740000000005</v>
      </c>
      <c r="BG64" s="319">
        <v>2834.51</v>
      </c>
      <c r="BH64" s="319">
        <v>103567.67</v>
      </c>
      <c r="BI64" s="319">
        <v>10405.14</v>
      </c>
      <c r="BJ64" s="319">
        <v>1768.46</v>
      </c>
      <c r="BK64" s="319">
        <v>1470.03</v>
      </c>
      <c r="BL64" s="319">
        <v>14694.39</v>
      </c>
      <c r="BM64" s="319"/>
      <c r="BN64" s="319">
        <v>13923.72</v>
      </c>
      <c r="BO64" s="319">
        <v>6297.76</v>
      </c>
      <c r="BP64" s="319">
        <v>10</v>
      </c>
      <c r="BQ64" s="319"/>
      <c r="BR64" s="319">
        <v>4872.57</v>
      </c>
      <c r="BS64" s="319"/>
      <c r="BT64" s="319"/>
      <c r="BU64" s="319"/>
      <c r="BV64" s="319">
        <v>2099.14</v>
      </c>
      <c r="BW64" s="319">
        <v>416.48</v>
      </c>
      <c r="BX64" s="319">
        <v>1917.29</v>
      </c>
      <c r="BY64" s="319">
        <v>495.14</v>
      </c>
      <c r="BZ64" s="319"/>
      <c r="CA64" s="319">
        <v>280.68</v>
      </c>
      <c r="CB64" s="319"/>
      <c r="CC64" s="319">
        <v>-14020.49</v>
      </c>
      <c r="CD64" s="29" t="s">
        <v>233</v>
      </c>
      <c r="CE64" s="32">
        <f t="shared" si="4"/>
        <v>5688049.5199999986</v>
      </c>
    </row>
    <row r="65" spans="1:83" x14ac:dyDescent="0.35">
      <c r="A65" s="39" t="s">
        <v>251</v>
      </c>
      <c r="B65" s="20"/>
      <c r="C65" s="24"/>
      <c r="D65" s="24">
        <v>0</v>
      </c>
      <c r="E65" s="24">
        <v>0</v>
      </c>
      <c r="F65" s="24"/>
      <c r="G65" s="24"/>
      <c r="H65" s="24"/>
      <c r="I65" s="24">
        <v>53944.41</v>
      </c>
      <c r="J65" s="24"/>
      <c r="K65" s="24"/>
      <c r="L65" s="24"/>
      <c r="M65" s="24"/>
      <c r="N65" s="24">
        <v>0</v>
      </c>
      <c r="O65" s="24"/>
      <c r="P65" s="30">
        <v>0</v>
      </c>
      <c r="Q65" s="30">
        <v>0</v>
      </c>
      <c r="R65" s="30"/>
      <c r="S65" s="319"/>
      <c r="T65" s="319"/>
      <c r="U65" s="31">
        <v>0</v>
      </c>
      <c r="V65" s="30"/>
      <c r="W65" s="30">
        <v>0</v>
      </c>
      <c r="X65" s="30">
        <v>0</v>
      </c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>
        <v>463996.08</v>
      </c>
      <c r="BF65" s="319"/>
      <c r="BG65" s="319">
        <v>89068.6</v>
      </c>
      <c r="BH65" s="319">
        <v>11634.57</v>
      </c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618643.65999999992</v>
      </c>
    </row>
    <row r="66" spans="1:83" x14ac:dyDescent="0.35">
      <c r="A66" s="39" t="s">
        <v>252</v>
      </c>
      <c r="B66" s="20"/>
      <c r="C66" s="24"/>
      <c r="D66" s="24">
        <v>0</v>
      </c>
      <c r="E66" s="24">
        <v>25533.68</v>
      </c>
      <c r="F66" s="24"/>
      <c r="G66" s="24"/>
      <c r="H66" s="24"/>
      <c r="I66" s="24">
        <v>2723.95</v>
      </c>
      <c r="J66" s="24"/>
      <c r="K66" s="24"/>
      <c r="L66" s="24"/>
      <c r="M66" s="24"/>
      <c r="N66" s="24">
        <v>144.99</v>
      </c>
      <c r="O66" s="24"/>
      <c r="P66" s="30">
        <v>110393.63</v>
      </c>
      <c r="Q66" s="30">
        <v>0</v>
      </c>
      <c r="R66" s="30">
        <v>513000</v>
      </c>
      <c r="S66" s="319">
        <v>374.46</v>
      </c>
      <c r="T66" s="319"/>
      <c r="U66" s="31">
        <v>713319.94</v>
      </c>
      <c r="V66" s="30"/>
      <c r="W66" s="30">
        <v>106118.94</v>
      </c>
      <c r="X66" s="30">
        <v>80955.06</v>
      </c>
      <c r="Y66" s="30">
        <v>194128.33</v>
      </c>
      <c r="Z66" s="30"/>
      <c r="AA66" s="30"/>
      <c r="AB66" s="320">
        <v>121058.41</v>
      </c>
      <c r="AC66" s="30"/>
      <c r="AD66" s="30"/>
      <c r="AE66" s="30"/>
      <c r="AF66" s="30"/>
      <c r="AG66" s="30">
        <v>21323.94</v>
      </c>
      <c r="AH66" s="30"/>
      <c r="AI66" s="30"/>
      <c r="AJ66" s="30">
        <v>216507.57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>
        <v>100446.85</v>
      </c>
      <c r="AY66" s="30"/>
      <c r="AZ66" s="30">
        <v>6708.69</v>
      </c>
      <c r="BA66" s="319">
        <v>315069.90000000002</v>
      </c>
      <c r="BB66" s="319"/>
      <c r="BC66" s="319"/>
      <c r="BD66" s="319">
        <v>4824.62</v>
      </c>
      <c r="BE66" s="30">
        <v>574642.53</v>
      </c>
      <c r="BF66" s="319">
        <v>85655.42</v>
      </c>
      <c r="BG66" s="319">
        <v>19044.72</v>
      </c>
      <c r="BH66" s="319">
        <v>1570692.25</v>
      </c>
      <c r="BI66" s="319">
        <v>2000</v>
      </c>
      <c r="BJ66" s="319"/>
      <c r="BK66" s="319">
        <v>246820.16</v>
      </c>
      <c r="BL66" s="319">
        <v>75648</v>
      </c>
      <c r="BM66" s="319"/>
      <c r="BN66" s="319">
        <v>2124725.5</v>
      </c>
      <c r="BO66" s="319">
        <v>5051.22</v>
      </c>
      <c r="BP66" s="319">
        <v>73506.98</v>
      </c>
      <c r="BQ66" s="319"/>
      <c r="BR66" s="319">
        <v>46661.51</v>
      </c>
      <c r="BS66" s="319"/>
      <c r="BT66" s="319"/>
      <c r="BU66" s="319"/>
      <c r="BV66" s="319">
        <v>202089.2</v>
      </c>
      <c r="BW66" s="319">
        <v>10711.34</v>
      </c>
      <c r="BX66" s="319">
        <v>92333.23</v>
      </c>
      <c r="BY66" s="319"/>
      <c r="BZ66" s="319"/>
      <c r="CA66" s="319"/>
      <c r="CB66" s="319"/>
      <c r="CC66" s="319">
        <v>1350</v>
      </c>
      <c r="CD66" s="29" t="s">
        <v>233</v>
      </c>
      <c r="CE66" s="32">
        <f t="shared" si="4"/>
        <v>7663565.0200000014</v>
      </c>
    </row>
    <row r="67" spans="1:83" x14ac:dyDescent="0.35">
      <c r="A67" s="39" t="s">
        <v>11</v>
      </c>
      <c r="B67" s="20"/>
      <c r="C67" s="32">
        <f t="shared" ref="C67:BN67" si="7">ROUND(C51+C52,0)</f>
        <v>39454</v>
      </c>
      <c r="D67" s="32">
        <v>0</v>
      </c>
      <c r="E67" s="32">
        <f t="shared" si="7"/>
        <v>223643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>ROUND(I51+I52,0)</f>
        <v>403036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99668</v>
      </c>
      <c r="P67" s="32">
        <f t="shared" si="7"/>
        <v>100827</v>
      </c>
      <c r="Q67" s="32">
        <f t="shared" si="7"/>
        <v>9893</v>
      </c>
      <c r="R67" s="32">
        <f t="shared" si="7"/>
        <v>3001</v>
      </c>
      <c r="S67" s="32">
        <f t="shared" si="7"/>
        <v>0</v>
      </c>
      <c r="T67" s="32">
        <f t="shared" si="7"/>
        <v>0</v>
      </c>
      <c r="U67" s="32">
        <f t="shared" si="7"/>
        <v>37995</v>
      </c>
      <c r="V67" s="32">
        <f t="shared" si="7"/>
        <v>0</v>
      </c>
      <c r="W67" s="32">
        <f t="shared" si="7"/>
        <v>235097</v>
      </c>
      <c r="X67" s="32">
        <f t="shared" si="7"/>
        <v>90203</v>
      </c>
      <c r="Y67" s="32">
        <f t="shared" si="7"/>
        <v>87506</v>
      </c>
      <c r="Z67" s="32">
        <f t="shared" si="7"/>
        <v>0</v>
      </c>
      <c r="AA67" s="32">
        <f t="shared" si="7"/>
        <v>7040</v>
      </c>
      <c r="AB67" s="32">
        <f t="shared" si="7"/>
        <v>13371</v>
      </c>
      <c r="AC67" s="32">
        <f t="shared" si="7"/>
        <v>15794</v>
      </c>
      <c r="AD67" s="32">
        <f t="shared" si="7"/>
        <v>0</v>
      </c>
      <c r="AE67" s="32">
        <f t="shared" si="7"/>
        <v>77795</v>
      </c>
      <c r="AF67" s="32">
        <f t="shared" si="7"/>
        <v>0</v>
      </c>
      <c r="AG67" s="32">
        <f t="shared" si="7"/>
        <v>135575</v>
      </c>
      <c r="AH67" s="32">
        <f t="shared" si="7"/>
        <v>0</v>
      </c>
      <c r="AI67" s="32">
        <f t="shared" si="7"/>
        <v>0</v>
      </c>
      <c r="AJ67" s="32">
        <f t="shared" si="7"/>
        <v>142007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73139</v>
      </c>
      <c r="BA67" s="32">
        <f t="shared" si="7"/>
        <v>6809</v>
      </c>
      <c r="BB67" s="32">
        <f t="shared" si="7"/>
        <v>0</v>
      </c>
      <c r="BC67" s="32">
        <f t="shared" si="7"/>
        <v>0</v>
      </c>
      <c r="BD67" s="32">
        <f t="shared" si="7"/>
        <v>53090</v>
      </c>
      <c r="BE67" s="32">
        <f t="shared" si="7"/>
        <v>497547</v>
      </c>
      <c r="BF67" s="32">
        <f t="shared" si="7"/>
        <v>6348</v>
      </c>
      <c r="BG67" s="32">
        <f t="shared" si="7"/>
        <v>0</v>
      </c>
      <c r="BH67" s="32">
        <f t="shared" si="7"/>
        <v>148755</v>
      </c>
      <c r="BI67" s="32">
        <f t="shared" si="7"/>
        <v>0</v>
      </c>
      <c r="BJ67" s="32">
        <f t="shared" si="7"/>
        <v>0</v>
      </c>
      <c r="BK67" s="32">
        <f t="shared" si="7"/>
        <v>19785</v>
      </c>
      <c r="BL67" s="32">
        <f t="shared" si="7"/>
        <v>6925</v>
      </c>
      <c r="BM67" s="32">
        <f t="shared" si="7"/>
        <v>0</v>
      </c>
      <c r="BN67" s="32">
        <f t="shared" si="7"/>
        <v>234596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9893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44962</v>
      </c>
      <c r="BW67" s="32">
        <f t="shared" si="8"/>
        <v>0</v>
      </c>
      <c r="BX67" s="32">
        <f t="shared" si="8"/>
        <v>0</v>
      </c>
      <c r="BY67" s="32">
        <f t="shared" si="8"/>
        <v>12316</v>
      </c>
      <c r="BZ67" s="32">
        <f t="shared" si="8"/>
        <v>0</v>
      </c>
      <c r="CA67" s="32">
        <f t="shared" si="8"/>
        <v>3181</v>
      </c>
      <c r="CB67" s="32">
        <f t="shared" si="8"/>
        <v>0</v>
      </c>
      <c r="CC67" s="32">
        <f t="shared" si="8"/>
        <v>27947</v>
      </c>
      <c r="CD67" s="29" t="s">
        <v>233</v>
      </c>
      <c r="CE67" s="32">
        <f t="shared" si="4"/>
        <v>2867198</v>
      </c>
    </row>
    <row r="68" spans="1:83" x14ac:dyDescent="0.35">
      <c r="A68" s="39" t="s">
        <v>253</v>
      </c>
      <c r="B68" s="32"/>
      <c r="C68" s="24"/>
      <c r="D68" s="24">
        <v>722.57</v>
      </c>
      <c r="E68" s="24">
        <v>23282.27</v>
      </c>
      <c r="F68" s="24"/>
      <c r="G68" s="24"/>
      <c r="H68" s="24"/>
      <c r="I68" s="24">
        <v>0</v>
      </c>
      <c r="J68" s="24"/>
      <c r="K68" s="24"/>
      <c r="L68" s="24"/>
      <c r="M68" s="24"/>
      <c r="N68" s="24">
        <v>0</v>
      </c>
      <c r="O68" s="24"/>
      <c r="P68" s="30">
        <v>0</v>
      </c>
      <c r="Q68" s="30">
        <v>0</v>
      </c>
      <c r="R68" s="30"/>
      <c r="S68" s="319"/>
      <c r="T68" s="319"/>
      <c r="U68" s="31">
        <v>0</v>
      </c>
      <c r="V68" s="30"/>
      <c r="W68" s="30">
        <v>0</v>
      </c>
      <c r="X68" s="30">
        <v>0</v>
      </c>
      <c r="Y68" s="30"/>
      <c r="Z68" s="30"/>
      <c r="AA68" s="30"/>
      <c r="AB68" s="320">
        <v>144773.66</v>
      </c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5583.16</v>
      </c>
      <c r="BF68" s="319"/>
      <c r="BG68" s="319"/>
      <c r="BH68" s="319">
        <v>3504.35</v>
      </c>
      <c r="BI68" s="319">
        <v>39330</v>
      </c>
      <c r="BJ68" s="319"/>
      <c r="BK68" s="319"/>
      <c r="BL68" s="319"/>
      <c r="BM68" s="319"/>
      <c r="BN68" s="319">
        <v>188393.69</v>
      </c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405589.7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1375</v>
      </c>
      <c r="E69" s="32">
        <f t="shared" si="9"/>
        <v>315.49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24542.11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7143</v>
      </c>
      <c r="O69" s="32">
        <f t="shared" si="9"/>
        <v>0</v>
      </c>
      <c r="P69" s="32">
        <f t="shared" si="9"/>
        <v>0</v>
      </c>
      <c r="Q69" s="32">
        <f t="shared" si="9"/>
        <v>19.989999999999998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5436.66</v>
      </c>
      <c r="V69" s="32">
        <f t="shared" si="9"/>
        <v>0</v>
      </c>
      <c r="W69" s="32">
        <f t="shared" si="9"/>
        <v>0</v>
      </c>
      <c r="X69" s="32">
        <f t="shared" si="9"/>
        <v>149.85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2534</v>
      </c>
      <c r="AC69" s="32">
        <f t="shared" si="9"/>
        <v>0</v>
      </c>
      <c r="AD69" s="32">
        <f t="shared" si="9"/>
        <v>0</v>
      </c>
      <c r="AE69" s="32">
        <f t="shared" si="9"/>
        <v>1557.64</v>
      </c>
      <c r="AF69" s="32">
        <f t="shared" si="9"/>
        <v>0</v>
      </c>
      <c r="AG69" s="32">
        <f t="shared" si="9"/>
        <v>843.57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150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2780.73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891.53</v>
      </c>
      <c r="BF69" s="32">
        <f t="shared" si="9"/>
        <v>0</v>
      </c>
      <c r="BG69" s="32">
        <f t="shared" si="9"/>
        <v>0</v>
      </c>
      <c r="BH69" s="32">
        <f t="shared" si="9"/>
        <v>4378.3999999999996</v>
      </c>
      <c r="BI69" s="32">
        <f t="shared" si="9"/>
        <v>1900</v>
      </c>
      <c r="BJ69" s="32">
        <f t="shared" si="9"/>
        <v>725.48</v>
      </c>
      <c r="BK69" s="32">
        <f t="shared" si="9"/>
        <v>250.88</v>
      </c>
      <c r="BL69" s="32">
        <f t="shared" si="9"/>
        <v>0</v>
      </c>
      <c r="BM69" s="32">
        <f t="shared" si="9"/>
        <v>0</v>
      </c>
      <c r="BN69" s="32">
        <f t="shared" si="9"/>
        <v>138278.39999999999</v>
      </c>
      <c r="BO69" s="32">
        <f t="shared" ref="BO69:CD69" si="10">SUM(BO70:BO83)</f>
        <v>1340.8</v>
      </c>
      <c r="BP69" s="32">
        <f t="shared" si="10"/>
        <v>11443.12</v>
      </c>
      <c r="BQ69" s="32">
        <f t="shared" si="10"/>
        <v>0</v>
      </c>
      <c r="BR69" s="32">
        <f t="shared" si="10"/>
        <v>2171.15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888</v>
      </c>
      <c r="BX69" s="32">
        <f t="shared" si="10"/>
        <v>359</v>
      </c>
      <c r="BY69" s="32">
        <f t="shared" si="10"/>
        <v>470.99</v>
      </c>
      <c r="BZ69" s="32">
        <f t="shared" si="10"/>
        <v>0</v>
      </c>
      <c r="CA69" s="32">
        <f t="shared" si="10"/>
        <v>20778.52</v>
      </c>
      <c r="CB69" s="32">
        <f t="shared" si="10"/>
        <v>0</v>
      </c>
      <c r="CC69" s="32">
        <f t="shared" si="10"/>
        <v>0</v>
      </c>
      <c r="CD69" s="32">
        <f t="shared" si="10"/>
        <v>771072.42</v>
      </c>
      <c r="CE69" s="32">
        <f>SUM(CE70:CE84)</f>
        <v>1001796.73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4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6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6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6" x14ac:dyDescent="0.35">
      <c r="A83" s="33" t="s">
        <v>268</v>
      </c>
      <c r="B83" s="20"/>
      <c r="C83" s="24"/>
      <c r="D83" s="24">
        <v>1375</v>
      </c>
      <c r="E83" s="30">
        <v>315.49</v>
      </c>
      <c r="F83" s="30"/>
      <c r="G83" s="24"/>
      <c r="H83" s="24"/>
      <c r="I83" s="30">
        <v>24542.11</v>
      </c>
      <c r="J83" s="30"/>
      <c r="K83" s="30"/>
      <c r="L83" s="30"/>
      <c r="M83" s="24"/>
      <c r="N83" s="24">
        <v>7143</v>
      </c>
      <c r="O83" s="24"/>
      <c r="P83" s="30">
        <v>0</v>
      </c>
      <c r="Q83" s="30">
        <v>19.989999999999998</v>
      </c>
      <c r="R83" s="31"/>
      <c r="S83" s="30"/>
      <c r="T83" s="24"/>
      <c r="U83" s="30">
        <v>5436.66</v>
      </c>
      <c r="V83" s="30"/>
      <c r="W83" s="24">
        <v>0</v>
      </c>
      <c r="X83" s="30">
        <v>149.85</v>
      </c>
      <c r="Y83" s="30"/>
      <c r="Z83" s="30"/>
      <c r="AA83" s="30"/>
      <c r="AB83" s="30">
        <v>2534</v>
      </c>
      <c r="AC83" s="30"/>
      <c r="AD83" s="30"/>
      <c r="AE83" s="30">
        <v>1557.64</v>
      </c>
      <c r="AF83" s="30"/>
      <c r="AG83" s="30">
        <v>843.57</v>
      </c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>
        <v>150</v>
      </c>
      <c r="AS83" s="24"/>
      <c r="AT83" s="24"/>
      <c r="AU83" s="30"/>
      <c r="AV83" s="30"/>
      <c r="AW83" s="30"/>
      <c r="AX83" s="30">
        <v>2780.73</v>
      </c>
      <c r="AY83" s="30"/>
      <c r="AZ83" s="30"/>
      <c r="BA83" s="30"/>
      <c r="BB83" s="30"/>
      <c r="BC83" s="30"/>
      <c r="BD83" s="30"/>
      <c r="BE83" s="30">
        <v>891.53</v>
      </c>
      <c r="BF83" s="30"/>
      <c r="BG83" s="30"/>
      <c r="BH83" s="31">
        <v>4378.3999999999996</v>
      </c>
      <c r="BI83" s="30">
        <v>1900</v>
      </c>
      <c r="BJ83" s="30">
        <v>725.48</v>
      </c>
      <c r="BK83" s="30">
        <v>250.88</v>
      </c>
      <c r="BL83" s="30"/>
      <c r="BM83" s="30"/>
      <c r="BN83" s="30">
        <v>138278.39999999999</v>
      </c>
      <c r="BO83" s="30">
        <v>1340.8</v>
      </c>
      <c r="BP83" s="30">
        <v>11443.12</v>
      </c>
      <c r="BQ83" s="30"/>
      <c r="BR83" s="30">
        <v>2171.15</v>
      </c>
      <c r="BS83" s="30"/>
      <c r="BT83" s="30"/>
      <c r="BU83" s="30"/>
      <c r="BV83" s="30"/>
      <c r="BW83" s="30">
        <v>888</v>
      </c>
      <c r="BX83" s="30">
        <v>359</v>
      </c>
      <c r="BY83" s="30">
        <v>470.99</v>
      </c>
      <c r="BZ83" s="30"/>
      <c r="CA83" s="30">
        <v>20778.52</v>
      </c>
      <c r="CB83" s="30"/>
      <c r="CC83" s="30"/>
      <c r="CD83" s="35">
        <f>738104.14+32968.28</f>
        <v>771072.42</v>
      </c>
      <c r="CE83" s="32">
        <f t="shared" si="11"/>
        <v>1001796.73</v>
      </c>
    </row>
    <row r="84" spans="1:86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6" x14ac:dyDescent="0.35">
      <c r="A85" s="39" t="s">
        <v>270</v>
      </c>
      <c r="B85" s="32"/>
      <c r="C85" s="32">
        <f>SUM(C61:C69)-C84</f>
        <v>66371</v>
      </c>
      <c r="D85" s="32">
        <f t="shared" ref="D85:BO85" si="12">SUM(D61:D69)-D84</f>
        <v>881018.11</v>
      </c>
      <c r="E85" s="32">
        <f t="shared" si="12"/>
        <v>3963388.9200000004</v>
      </c>
      <c r="F85" s="32">
        <f t="shared" si="12"/>
        <v>0</v>
      </c>
      <c r="G85" s="32">
        <f t="shared" si="12"/>
        <v>4.45</v>
      </c>
      <c r="H85" s="32">
        <f t="shared" si="12"/>
        <v>0</v>
      </c>
      <c r="I85" s="32">
        <f t="shared" si="12"/>
        <v>3954996.91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2059313.79</v>
      </c>
      <c r="O85" s="32">
        <f t="shared" si="12"/>
        <v>99668</v>
      </c>
      <c r="P85" s="32">
        <f t="shared" si="12"/>
        <v>3252356.9699999997</v>
      </c>
      <c r="Q85" s="32">
        <f t="shared" si="12"/>
        <v>657457.82999999996</v>
      </c>
      <c r="R85" s="32">
        <f t="shared" si="12"/>
        <v>556455.51</v>
      </c>
      <c r="S85" s="32">
        <f t="shared" si="12"/>
        <v>332647.60000000003</v>
      </c>
      <c r="T85" s="32">
        <f t="shared" si="12"/>
        <v>0</v>
      </c>
      <c r="U85" s="32">
        <f t="shared" si="12"/>
        <v>2986787.46</v>
      </c>
      <c r="V85" s="32">
        <f t="shared" si="12"/>
        <v>0</v>
      </c>
      <c r="W85" s="32">
        <f t="shared" si="12"/>
        <v>720552.74</v>
      </c>
      <c r="X85" s="32">
        <f t="shared" si="12"/>
        <v>1195940.1400000001</v>
      </c>
      <c r="Y85" s="32">
        <f t="shared" si="12"/>
        <v>1211007.24</v>
      </c>
      <c r="Z85" s="32">
        <f t="shared" si="12"/>
        <v>0</v>
      </c>
      <c r="AA85" s="32">
        <f t="shared" si="12"/>
        <v>7040</v>
      </c>
      <c r="AB85" s="32">
        <f t="shared" si="12"/>
        <v>1755786.8599999999</v>
      </c>
      <c r="AC85" s="32">
        <f t="shared" si="12"/>
        <v>995487.17999999993</v>
      </c>
      <c r="AD85" s="32">
        <f t="shared" si="12"/>
        <v>0</v>
      </c>
      <c r="AE85" s="32">
        <f t="shared" si="12"/>
        <v>715566.92999999993</v>
      </c>
      <c r="AF85" s="32">
        <f t="shared" si="12"/>
        <v>0</v>
      </c>
      <c r="AG85" s="32">
        <f t="shared" si="12"/>
        <v>5023517.7600000007</v>
      </c>
      <c r="AH85" s="32">
        <f t="shared" si="12"/>
        <v>0</v>
      </c>
      <c r="AI85" s="32">
        <f t="shared" si="12"/>
        <v>0</v>
      </c>
      <c r="AJ85" s="32">
        <f t="shared" si="12"/>
        <v>1730119.7100000002</v>
      </c>
      <c r="AK85" s="32">
        <f t="shared" si="12"/>
        <v>180905.9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934.46</v>
      </c>
      <c r="AQ85" s="32">
        <f t="shared" si="12"/>
        <v>0</v>
      </c>
      <c r="AR85" s="32">
        <f t="shared" si="12"/>
        <v>150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103227.58</v>
      </c>
      <c r="AY85" s="32">
        <f t="shared" si="12"/>
        <v>0</v>
      </c>
      <c r="AZ85" s="32">
        <f t="shared" si="12"/>
        <v>1184482.6000000001</v>
      </c>
      <c r="BA85" s="32">
        <f t="shared" si="12"/>
        <v>321878.90000000002</v>
      </c>
      <c r="BB85" s="32">
        <f t="shared" si="12"/>
        <v>0</v>
      </c>
      <c r="BC85" s="32">
        <f t="shared" si="12"/>
        <v>0</v>
      </c>
      <c r="BD85" s="32">
        <f t="shared" si="12"/>
        <v>191100.18000000002</v>
      </c>
      <c r="BE85" s="32">
        <f t="shared" si="12"/>
        <v>2236136.94</v>
      </c>
      <c r="BF85" s="32">
        <f t="shared" si="12"/>
        <v>1148477.8799999999</v>
      </c>
      <c r="BG85" s="32">
        <f t="shared" si="12"/>
        <v>110947.83</v>
      </c>
      <c r="BH85" s="32">
        <f t="shared" si="12"/>
        <v>2779310.6100000003</v>
      </c>
      <c r="BI85" s="32">
        <f t="shared" si="12"/>
        <v>94780.58</v>
      </c>
      <c r="BJ85" s="32">
        <f t="shared" si="12"/>
        <v>379527.18</v>
      </c>
      <c r="BK85" s="32">
        <f t="shared" si="12"/>
        <v>671815.62</v>
      </c>
      <c r="BL85" s="32">
        <f t="shared" si="12"/>
        <v>907130.8</v>
      </c>
      <c r="BM85" s="32">
        <f t="shared" si="12"/>
        <v>0</v>
      </c>
      <c r="BN85" s="32">
        <f t="shared" si="12"/>
        <v>4427540.2200000007</v>
      </c>
      <c r="BO85" s="32">
        <f t="shared" si="12"/>
        <v>86717.78</v>
      </c>
      <c r="BP85" s="32">
        <f t="shared" ref="BP85:CD85" si="13">SUM(BP61:BP69)-BP84</f>
        <v>84960.099999999991</v>
      </c>
      <c r="BQ85" s="32">
        <f t="shared" si="13"/>
        <v>0</v>
      </c>
      <c r="BR85" s="32">
        <f t="shared" si="13"/>
        <v>592407.05000000005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967447.09000000008</v>
      </c>
      <c r="BW85" s="32">
        <f t="shared" si="13"/>
        <v>887574.95</v>
      </c>
      <c r="BX85" s="32">
        <f t="shared" si="13"/>
        <v>531661.25</v>
      </c>
      <c r="BY85" s="32">
        <f t="shared" si="13"/>
        <v>760108</v>
      </c>
      <c r="BZ85" s="32">
        <f t="shared" si="13"/>
        <v>0</v>
      </c>
      <c r="CA85" s="32">
        <f t="shared" si="13"/>
        <v>24821.98</v>
      </c>
      <c r="CB85" s="32">
        <f t="shared" si="13"/>
        <v>0</v>
      </c>
      <c r="CC85" s="32">
        <f t="shared" si="13"/>
        <v>218903.41999999998</v>
      </c>
      <c r="CD85" s="32">
        <f t="shared" si="13"/>
        <v>771072.42</v>
      </c>
      <c r="CE85" s="32">
        <f>SUM(C85:CD85)</f>
        <v>51829506.429999985</v>
      </c>
    </row>
    <row r="86" spans="1:86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6" x14ac:dyDescent="0.35">
      <c r="A87" s="26" t="s">
        <v>272</v>
      </c>
      <c r="B87" s="20"/>
      <c r="C87" s="24">
        <v>-3454.56</v>
      </c>
      <c r="D87" s="24">
        <v>1016994</v>
      </c>
      <c r="E87" s="24">
        <v>5864775.9299999997</v>
      </c>
      <c r="F87" s="24"/>
      <c r="G87" s="24"/>
      <c r="H87" s="24"/>
      <c r="I87" s="24">
        <v>6138244</v>
      </c>
      <c r="J87" s="24"/>
      <c r="K87" s="24"/>
      <c r="L87" s="24"/>
      <c r="M87" s="24"/>
      <c r="N87" s="24">
        <v>228443.06</v>
      </c>
      <c r="O87" s="24"/>
      <c r="P87" s="24">
        <v>4038413.24</v>
      </c>
      <c r="Q87" s="24">
        <v>387094.31</v>
      </c>
      <c r="R87" s="24">
        <v>483436.4</v>
      </c>
      <c r="S87" s="24"/>
      <c r="T87" s="24"/>
      <c r="U87" s="24">
        <v>2476564.7799999998</v>
      </c>
      <c r="V87" s="24">
        <v>137871.87</v>
      </c>
      <c r="W87" s="24">
        <v>344631.54</v>
      </c>
      <c r="X87" s="24">
        <v>2894278.58</v>
      </c>
      <c r="Y87" s="24">
        <v>888106.04</v>
      </c>
      <c r="Z87" s="24"/>
      <c r="AA87" s="24"/>
      <c r="AB87" s="24">
        <v>2984414.34</v>
      </c>
      <c r="AC87" s="24">
        <v>662836.36</v>
      </c>
      <c r="AD87" s="24"/>
      <c r="AE87" s="24">
        <v>303591.65000000002</v>
      </c>
      <c r="AF87" s="24"/>
      <c r="AG87" s="24">
        <v>3195898.98</v>
      </c>
      <c r="AH87" s="24"/>
      <c r="AI87" s="24"/>
      <c r="AJ87" s="24">
        <v>21857.65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32063998.169999994</v>
      </c>
    </row>
    <row r="88" spans="1:86" x14ac:dyDescent="0.35">
      <c r="A88" s="26" t="s">
        <v>273</v>
      </c>
      <c r="B88" s="20"/>
      <c r="C88" s="24">
        <v>-7081.85</v>
      </c>
      <c r="D88" s="24">
        <v>9672</v>
      </c>
      <c r="E88" s="24">
        <v>1672359.34</v>
      </c>
      <c r="F88" s="24"/>
      <c r="G88" s="24"/>
      <c r="H88" s="24"/>
      <c r="I88" s="24">
        <v>659306</v>
      </c>
      <c r="J88" s="24"/>
      <c r="K88" s="24"/>
      <c r="L88" s="24"/>
      <c r="M88" s="24"/>
      <c r="N88" s="24">
        <v>1139828.96</v>
      </c>
      <c r="O88" s="24"/>
      <c r="P88" s="24">
        <v>13144959.779999999</v>
      </c>
      <c r="Q88" s="24">
        <v>1443845.27</v>
      </c>
      <c r="R88" s="24">
        <v>1385634.83</v>
      </c>
      <c r="S88" s="24"/>
      <c r="T88" s="24"/>
      <c r="U88" s="24">
        <v>11523591.779999999</v>
      </c>
      <c r="V88" s="24">
        <v>1203508.05</v>
      </c>
      <c r="W88" s="24">
        <v>4447736.32</v>
      </c>
      <c r="X88" s="24">
        <v>22547132.399999999</v>
      </c>
      <c r="Y88" s="24">
        <v>7825039.3499999996</v>
      </c>
      <c r="Z88" s="24"/>
      <c r="AA88" s="24">
        <v>-4367.78</v>
      </c>
      <c r="AB88" s="24">
        <v>3298289.64</v>
      </c>
      <c r="AC88" s="24">
        <v>322772.77</v>
      </c>
      <c r="AD88" s="24"/>
      <c r="AE88" s="24">
        <v>2166204.0499999998</v>
      </c>
      <c r="AF88" s="24"/>
      <c r="AG88" s="24">
        <v>40003365.219999999</v>
      </c>
      <c r="AH88" s="24"/>
      <c r="AI88" s="24"/>
      <c r="AJ88" s="24">
        <v>6088167.2800000003</v>
      </c>
      <c r="AK88" s="24">
        <v>636191.46</v>
      </c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>
        <v>117182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119623336.86999999</v>
      </c>
    </row>
    <row r="89" spans="1:86" x14ac:dyDescent="0.35">
      <c r="A89" s="26" t="s">
        <v>274</v>
      </c>
      <c r="B89" s="20"/>
      <c r="C89" s="32">
        <f>C87+C88</f>
        <v>-10536.41</v>
      </c>
      <c r="D89" s="32">
        <f t="shared" ref="D89:AV89" si="15">D87+D88</f>
        <v>1026666</v>
      </c>
      <c r="E89" s="32">
        <f t="shared" si="15"/>
        <v>7537135.2699999996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6797550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1368272.02</v>
      </c>
      <c r="O89" s="32">
        <f t="shared" si="15"/>
        <v>0</v>
      </c>
      <c r="P89" s="32">
        <f t="shared" si="15"/>
        <v>17183373.02</v>
      </c>
      <c r="Q89" s="32">
        <f t="shared" si="15"/>
        <v>1830939.58</v>
      </c>
      <c r="R89" s="32">
        <f t="shared" si="15"/>
        <v>1869071.23</v>
      </c>
      <c r="S89" s="32">
        <f t="shared" si="15"/>
        <v>0</v>
      </c>
      <c r="T89" s="32">
        <f t="shared" si="15"/>
        <v>0</v>
      </c>
      <c r="U89" s="32">
        <f t="shared" si="15"/>
        <v>14000156.559999999</v>
      </c>
      <c r="V89" s="32">
        <f t="shared" si="15"/>
        <v>1341379.92</v>
      </c>
      <c r="W89" s="32">
        <f t="shared" si="15"/>
        <v>4792367.8600000003</v>
      </c>
      <c r="X89" s="32">
        <f t="shared" si="15"/>
        <v>25441410.979999997</v>
      </c>
      <c r="Y89" s="32">
        <f t="shared" si="15"/>
        <v>8713145.3900000006</v>
      </c>
      <c r="Z89" s="32">
        <f t="shared" si="15"/>
        <v>0</v>
      </c>
      <c r="AA89" s="32">
        <f t="shared" si="15"/>
        <v>-4367.78</v>
      </c>
      <c r="AB89" s="32">
        <f t="shared" si="15"/>
        <v>6282703.9800000004</v>
      </c>
      <c r="AC89" s="32">
        <f t="shared" si="15"/>
        <v>985609.13</v>
      </c>
      <c r="AD89" s="32">
        <f t="shared" si="15"/>
        <v>0</v>
      </c>
      <c r="AE89" s="32">
        <f t="shared" si="15"/>
        <v>2469795.6999999997</v>
      </c>
      <c r="AF89" s="32">
        <f t="shared" si="15"/>
        <v>0</v>
      </c>
      <c r="AG89" s="32">
        <f t="shared" si="15"/>
        <v>43199264.199999996</v>
      </c>
      <c r="AH89" s="32">
        <f t="shared" si="15"/>
        <v>0</v>
      </c>
      <c r="AI89" s="32">
        <f t="shared" si="15"/>
        <v>0</v>
      </c>
      <c r="AJ89" s="32">
        <f t="shared" si="15"/>
        <v>6110024.9300000006</v>
      </c>
      <c r="AK89" s="32">
        <f t="shared" si="15"/>
        <v>636191.46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117182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151687335.04000002</v>
      </c>
    </row>
    <row r="90" spans="1:86" x14ac:dyDescent="0.35">
      <c r="A90" s="39" t="s">
        <v>275</v>
      </c>
      <c r="B90" s="32"/>
      <c r="C90" s="24">
        <v>2200</v>
      </c>
      <c r="D90" s="24"/>
      <c r="E90" s="24">
        <v>11120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v>6045</v>
      </c>
      <c r="P90" s="24">
        <v>5422</v>
      </c>
      <c r="Q90" s="24">
        <v>600</v>
      </c>
      <c r="R90" s="24">
        <v>182</v>
      </c>
      <c r="S90" s="24"/>
      <c r="T90" s="24"/>
      <c r="U90" s="24">
        <v>1280</v>
      </c>
      <c r="V90" s="24"/>
      <c r="W90" s="24">
        <v>726</v>
      </c>
      <c r="X90" s="24">
        <v>554</v>
      </c>
      <c r="Y90" s="24">
        <v>3578</v>
      </c>
      <c r="Z90" s="24"/>
      <c r="AA90" s="24">
        <v>427</v>
      </c>
      <c r="AB90" s="24">
        <v>811</v>
      </c>
      <c r="AC90" s="24">
        <v>765</v>
      </c>
      <c r="AD90" s="24"/>
      <c r="AE90" s="24">
        <v>260</v>
      </c>
      <c r="AF90" s="24"/>
      <c r="AG90" s="24">
        <v>7800</v>
      </c>
      <c r="AH90" s="24"/>
      <c r="AI90" s="24"/>
      <c r="AJ90" s="24">
        <v>8420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>
        <v>4436</v>
      </c>
      <c r="BA90" s="24">
        <v>413</v>
      </c>
      <c r="BB90" s="24"/>
      <c r="BC90" s="24"/>
      <c r="BD90" s="24">
        <v>3220</v>
      </c>
      <c r="BE90" s="24">
        <v>10476</v>
      </c>
      <c r="BF90" s="24">
        <v>385</v>
      </c>
      <c r="BG90" s="24"/>
      <c r="BH90" s="24">
        <v>1300</v>
      </c>
      <c r="BI90" s="24"/>
      <c r="BJ90" s="24"/>
      <c r="BK90" s="24">
        <v>1200</v>
      </c>
      <c r="BL90" s="24">
        <v>420</v>
      </c>
      <c r="BM90" s="24"/>
      <c r="BN90" s="24">
        <v>5828</v>
      </c>
      <c r="BO90" s="24"/>
      <c r="BP90" s="24"/>
      <c r="BQ90" s="24"/>
      <c r="BR90" s="24">
        <v>600</v>
      </c>
      <c r="BS90" s="24"/>
      <c r="BT90" s="24"/>
      <c r="BU90" s="24"/>
      <c r="BV90" s="24">
        <v>2727</v>
      </c>
      <c r="BW90" s="24"/>
      <c r="BX90" s="24"/>
      <c r="BY90" s="24">
        <v>747</v>
      </c>
      <c r="BZ90" s="24"/>
      <c r="CA90" s="24"/>
      <c r="CB90" s="24"/>
      <c r="CC90" s="24">
        <v>1695</v>
      </c>
      <c r="CD90" s="264" t="s">
        <v>233</v>
      </c>
      <c r="CE90" s="32">
        <f t="shared" si="14"/>
        <v>83637</v>
      </c>
      <c r="CF90" s="32">
        <f>BE59-CE90</f>
        <v>0</v>
      </c>
    </row>
    <row r="91" spans="1:86" x14ac:dyDescent="0.35">
      <c r="A91" s="26" t="s">
        <v>276</v>
      </c>
      <c r="B91" s="20"/>
      <c r="C91" s="24"/>
      <c r="D91" s="24">
        <v>1134</v>
      </c>
      <c r="E91" s="24">
        <v>11195</v>
      </c>
      <c r="F91" s="24"/>
      <c r="G91" s="24"/>
      <c r="H91" s="24"/>
      <c r="I91" s="24">
        <v>17483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895</v>
      </c>
      <c r="AH91" s="24"/>
      <c r="AI91" s="24"/>
      <c r="AJ91" s="24">
        <v>1</v>
      </c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>SUM(C91:CD91)</f>
        <v>30708</v>
      </c>
      <c r="CF91" s="32">
        <f>AY59-CE91</f>
        <v>-30708</v>
      </c>
    </row>
    <row r="92" spans="1:86" x14ac:dyDescent="0.35">
      <c r="A92" s="26" t="s">
        <v>277</v>
      </c>
      <c r="B92" s="20"/>
      <c r="C92" s="24"/>
      <c r="D92" s="24">
        <v>922.94753206189966</v>
      </c>
      <c r="E92" s="24">
        <v>3871.717547678767</v>
      </c>
      <c r="F92" s="24"/>
      <c r="G92" s="24"/>
      <c r="H92" s="24"/>
      <c r="I92" s="24">
        <v>6542.9476976953292</v>
      </c>
      <c r="J92" s="24"/>
      <c r="K92" s="24"/>
      <c r="L92" s="24"/>
      <c r="M92" s="24"/>
      <c r="N92" s="24"/>
      <c r="O92" s="24"/>
      <c r="P92" s="24">
        <v>2274.9527566135062</v>
      </c>
      <c r="Q92" s="24">
        <v>252.04407742179734</v>
      </c>
      <c r="R92" s="24">
        <v>76.487364535516562</v>
      </c>
      <c r="S92" s="24"/>
      <c r="T92" s="24"/>
      <c r="U92" s="24">
        <v>537.59690502105911</v>
      </c>
      <c r="V92" s="24"/>
      <c r="W92" s="24">
        <v>201.05250106478633</v>
      </c>
      <c r="X92" s="24">
        <v>169.00065306895087</v>
      </c>
      <c r="Y92" s="24">
        <v>1068.6377502247881</v>
      </c>
      <c r="Z92" s="24"/>
      <c r="AA92" s="24">
        <v>179.19896834035302</v>
      </c>
      <c r="AB92" s="24">
        <v>340.18665941034499</v>
      </c>
      <c r="AC92" s="24">
        <v>320.51847995835504</v>
      </c>
      <c r="AD92" s="24"/>
      <c r="AE92" s="24">
        <v>108.53921253135206</v>
      </c>
      <c r="AF92" s="24"/>
      <c r="AG92" s="24">
        <v>3273.6592021201086</v>
      </c>
      <c r="AH92" s="24"/>
      <c r="AI92" s="24">
        <v>252.04407742179734</v>
      </c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>
        <v>10394.268614831293</v>
      </c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30785.800000000007</v>
      </c>
      <c r="CF92" s="20"/>
    </row>
    <row r="93" spans="1:86" x14ac:dyDescent="0.35">
      <c r="A93" s="26" t="s">
        <v>278</v>
      </c>
      <c r="B93" s="20"/>
      <c r="C93" s="24"/>
      <c r="D93" s="24">
        <v>5611.1</v>
      </c>
      <c r="E93" s="24">
        <v>81512.06</v>
      </c>
      <c r="F93" s="24"/>
      <c r="G93" s="24"/>
      <c r="H93" s="24"/>
      <c r="I93" s="24">
        <v>10088.25</v>
      </c>
      <c r="J93" s="24"/>
      <c r="K93" s="24"/>
      <c r="L93" s="24"/>
      <c r="M93" s="24"/>
      <c r="N93" s="24"/>
      <c r="O93" s="24"/>
      <c r="P93" s="24">
        <v>42201.82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>
        <v>6181.15</v>
      </c>
      <c r="AF93" s="24"/>
      <c r="AG93" s="24">
        <v>51605.62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>SUM(C93:CD93)</f>
        <v>197200</v>
      </c>
      <c r="CF93" s="32">
        <f>BA59</f>
        <v>0</v>
      </c>
    </row>
    <row r="94" spans="1:86" x14ac:dyDescent="0.35">
      <c r="A94" s="26" t="s">
        <v>279</v>
      </c>
      <c r="B94" s="20"/>
      <c r="C94" s="315">
        <v>-0.03</v>
      </c>
      <c r="D94" s="315">
        <v>3.85</v>
      </c>
      <c r="E94" s="315">
        <v>14.21</v>
      </c>
      <c r="F94" s="315"/>
      <c r="G94" s="315"/>
      <c r="H94" s="315"/>
      <c r="I94" s="315">
        <v>8.7100000000000009</v>
      </c>
      <c r="J94" s="315"/>
      <c r="K94" s="315"/>
      <c r="L94" s="315"/>
      <c r="M94" s="315"/>
      <c r="N94" s="315"/>
      <c r="O94" s="315"/>
      <c r="P94" s="316">
        <v>4.4800000000000004</v>
      </c>
      <c r="Q94" s="316">
        <v>2.79</v>
      </c>
      <c r="R94" s="316"/>
      <c r="S94" s="317"/>
      <c r="T94" s="317"/>
      <c r="U94" s="318">
        <v>0.02</v>
      </c>
      <c r="V94" s="316"/>
      <c r="W94" s="316"/>
      <c r="X94" s="316"/>
      <c r="Y94" s="316"/>
      <c r="Z94" s="316"/>
      <c r="AA94" s="316"/>
      <c r="AB94" s="317"/>
      <c r="AC94" s="316">
        <v>0.04</v>
      </c>
      <c r="AD94" s="316"/>
      <c r="AE94" s="316"/>
      <c r="AF94" s="316"/>
      <c r="AG94" s="316">
        <v>17.32</v>
      </c>
      <c r="AH94" s="316"/>
      <c r="AI94" s="316"/>
      <c r="AJ94" s="316">
        <f>3.35</f>
        <v>3.35</v>
      </c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54.740000000000009</v>
      </c>
      <c r="CF94" s="37"/>
      <c r="CG94" s="63"/>
      <c r="CH94" s="63"/>
    </row>
    <row r="95" spans="1:86" x14ac:dyDescent="0.35">
      <c r="A95" s="38" t="s">
        <v>280</v>
      </c>
      <c r="B95" s="38"/>
      <c r="C95" s="38"/>
      <c r="D95" s="38"/>
      <c r="E95" s="38"/>
      <c r="CH95" s="63"/>
    </row>
    <row r="96" spans="1:86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98272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1376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739</v>
      </c>
      <c r="D127" s="50">
        <v>3080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>
        <v>708</v>
      </c>
      <c r="D129" s="50">
        <v>6319</v>
      </c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236"/>
      <c r="D133" s="20"/>
      <c r="E133" s="20"/>
    </row>
    <row r="134" spans="1:5" x14ac:dyDescent="0.35">
      <c r="A134" s="20" t="s">
        <v>317</v>
      </c>
      <c r="B134" s="46" t="s">
        <v>284</v>
      </c>
      <c r="C134" s="236">
        <v>26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36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62</v>
      </c>
    </row>
    <row r="144" spans="1:5" x14ac:dyDescent="0.35">
      <c r="A144" s="20" t="s">
        <v>325</v>
      </c>
      <c r="B144" s="46" t="s">
        <v>284</v>
      </c>
      <c r="C144" s="47">
        <f>72+40</f>
        <v>112</v>
      </c>
      <c r="D144" s="20"/>
      <c r="E144" s="20"/>
    </row>
    <row r="145" spans="1:5" x14ac:dyDescent="0.35">
      <c r="A145" s="20" t="s">
        <v>326</v>
      </c>
      <c r="B145" s="46" t="s">
        <v>284</v>
      </c>
      <c r="C145" s="47"/>
      <c r="D145" s="20"/>
      <c r="E145" s="20"/>
    </row>
    <row r="146" spans="1:5" x14ac:dyDescent="0.35">
      <c r="A146" s="20"/>
      <c r="B146" s="20"/>
      <c r="C146" s="27"/>
      <c r="D146" s="20"/>
      <c r="E146" s="20"/>
    </row>
    <row r="147" spans="1:5" x14ac:dyDescent="0.35">
      <c r="A147" s="20" t="s">
        <v>327</v>
      </c>
      <c r="B147" s="46" t="s">
        <v>284</v>
      </c>
      <c r="C147" s="47"/>
      <c r="D147" s="20"/>
      <c r="E147" s="20"/>
    </row>
    <row r="148" spans="1:5" x14ac:dyDescent="0.35">
      <c r="A148" s="20"/>
      <c r="B148" s="20"/>
      <c r="C148" s="27"/>
      <c r="D148" s="20"/>
      <c r="E148" s="20"/>
    </row>
    <row r="149" spans="1:5" x14ac:dyDescent="0.35">
      <c r="A149" s="20"/>
      <c r="B149" s="20"/>
      <c r="C149" s="27"/>
      <c r="D149" s="20"/>
      <c r="E149" s="20"/>
    </row>
    <row r="150" spans="1:5" x14ac:dyDescent="0.35">
      <c r="A150" s="20"/>
      <c r="B150" s="20"/>
      <c r="C150" s="27"/>
      <c r="D150" s="20"/>
      <c r="E150" s="20"/>
    </row>
    <row r="151" spans="1:5" x14ac:dyDescent="0.35">
      <c r="A151" s="20"/>
      <c r="B151" s="20"/>
      <c r="C151" s="27"/>
      <c r="D151" s="20"/>
      <c r="E151" s="20"/>
    </row>
    <row r="152" spans="1:5" x14ac:dyDescent="0.35">
      <c r="A152" s="38" t="s">
        <v>328</v>
      </c>
      <c r="B152" s="49"/>
      <c r="C152" s="49"/>
      <c r="D152" s="49"/>
      <c r="E152" s="49"/>
    </row>
    <row r="153" spans="1:5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5" x14ac:dyDescent="0.35">
      <c r="A154" s="20" t="s">
        <v>309</v>
      </c>
      <c r="B154" s="312">
        <v>416</v>
      </c>
      <c r="C154" s="312">
        <v>95</v>
      </c>
      <c r="D154" s="312">
        <v>228</v>
      </c>
      <c r="E154" s="32">
        <f>SUM(B154:D154)</f>
        <v>739</v>
      </c>
    </row>
    <row r="155" spans="1:5" x14ac:dyDescent="0.35">
      <c r="A155" s="20" t="s">
        <v>227</v>
      </c>
      <c r="B155" s="312">
        <v>2306</v>
      </c>
      <c r="C155" s="312">
        <v>434</v>
      </c>
      <c r="D155" s="312">
        <v>340</v>
      </c>
      <c r="E155" s="32">
        <f>SUM(B155:D155)</f>
        <v>3080</v>
      </c>
    </row>
    <row r="156" spans="1:5" x14ac:dyDescent="0.35">
      <c r="A156" s="20" t="s">
        <v>332</v>
      </c>
      <c r="B156" s="312">
        <v>13048</v>
      </c>
      <c r="C156" s="312">
        <v>5731</v>
      </c>
      <c r="D156" s="312">
        <v>9002</v>
      </c>
      <c r="E156" s="32">
        <f>SUM(B156:D156)</f>
        <v>27781</v>
      </c>
    </row>
    <row r="157" spans="1:5" x14ac:dyDescent="0.35">
      <c r="A157" s="20" t="s">
        <v>272</v>
      </c>
      <c r="B157" s="312">
        <v>15727278</v>
      </c>
      <c r="C157" s="312">
        <v>4171597</v>
      </c>
      <c r="D157" s="312">
        <v>6026879</v>
      </c>
      <c r="E157" s="32">
        <f>SUM(B157:D157)</f>
        <v>25925754</v>
      </c>
    </row>
    <row r="158" spans="1:5" x14ac:dyDescent="0.35">
      <c r="A158" s="20" t="s">
        <v>273</v>
      </c>
      <c r="B158" s="312">
        <v>37562660</v>
      </c>
      <c r="C158" s="312">
        <v>28576947</v>
      </c>
      <c r="D158" s="312">
        <v>52824424</v>
      </c>
      <c r="E158" s="32">
        <f>SUM(B158:D158)</f>
        <v>118964031</v>
      </c>
    </row>
    <row r="159" spans="1:5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5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312">
        <v>33</v>
      </c>
      <c r="C166" s="312">
        <v>218</v>
      </c>
      <c r="D166" s="312">
        <v>457</v>
      </c>
      <c r="E166" s="32">
        <f>SUM(B166:D166)</f>
        <v>708</v>
      </c>
    </row>
    <row r="167" spans="1:5" x14ac:dyDescent="0.35">
      <c r="A167" s="20" t="s">
        <v>227</v>
      </c>
      <c r="B167" s="312">
        <v>360</v>
      </c>
      <c r="C167" s="312">
        <v>1660</v>
      </c>
      <c r="D167" s="312">
        <v>4299</v>
      </c>
      <c r="E167" s="32">
        <f>SUM(B167:D167)</f>
        <v>6319</v>
      </c>
    </row>
    <row r="168" spans="1:5" x14ac:dyDescent="0.35">
      <c r="A168" s="20" t="s">
        <v>332</v>
      </c>
      <c r="B168" s="312">
        <v>20</v>
      </c>
      <c r="C168" s="312">
        <v>64</v>
      </c>
      <c r="D168" s="312">
        <v>242</v>
      </c>
      <c r="E168" s="32">
        <f>SUM(B168:D168)</f>
        <v>326</v>
      </c>
    </row>
    <row r="169" spans="1:5" x14ac:dyDescent="0.35">
      <c r="A169" s="20" t="s">
        <v>272</v>
      </c>
      <c r="B169" s="312">
        <v>352533</v>
      </c>
      <c r="C169" s="312">
        <v>1968363</v>
      </c>
      <c r="D169" s="312">
        <v>3817347</v>
      </c>
      <c r="E169" s="32">
        <f>SUM(B169:D169)</f>
        <v>6138243</v>
      </c>
    </row>
    <row r="170" spans="1:5" x14ac:dyDescent="0.35">
      <c r="A170" s="20" t="s">
        <v>273</v>
      </c>
      <c r="B170" s="312">
        <v>57418</v>
      </c>
      <c r="C170" s="312">
        <v>111284</v>
      </c>
      <c r="D170" s="312">
        <v>490604</v>
      </c>
      <c r="E170" s="32">
        <f>SUM(B170:D170)</f>
        <v>659306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1358183</v>
      </c>
      <c r="C173" s="50">
        <f>82986+1923955</f>
        <v>2006941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1413405.0599999998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193105.94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2263887.4200000004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f>75298.6+210519.59</f>
        <v>285818.19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f>29638.78+11926.55+3747.18+389989.7-124532</f>
        <v>310770.21000000002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0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4466986.82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188393.69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217196.01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405589.7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298757.42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f>8924.45+149298.55</f>
        <v>158223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456980.42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f>3154+38067.79</f>
        <v>41221.79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f>289187.17+861</f>
        <v>290048.17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331269.95999999996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988350.55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988350.55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1878609.67</v>
      </c>
      <c r="C211" s="47"/>
      <c r="D211" s="50"/>
      <c r="E211" s="32">
        <f t="shared" ref="E211:E219" si="16">SUM(B211:C211)-D211</f>
        <v>1878609.67</v>
      </c>
    </row>
    <row r="212" spans="1:5" x14ac:dyDescent="0.35">
      <c r="A212" s="20" t="s">
        <v>367</v>
      </c>
      <c r="B212" s="50">
        <v>1233751.07</v>
      </c>
      <c r="C212" s="47"/>
      <c r="D212" s="50"/>
      <c r="E212" s="32">
        <f t="shared" si="16"/>
        <v>1233751.07</v>
      </c>
    </row>
    <row r="213" spans="1:5" x14ac:dyDescent="0.35">
      <c r="A213" s="20" t="s">
        <v>368</v>
      </c>
      <c r="B213" s="50">
        <v>27227435.309999999</v>
      </c>
      <c r="C213" s="47">
        <v>68622</v>
      </c>
      <c r="D213" s="50"/>
      <c r="E213" s="32">
        <f t="shared" si="16"/>
        <v>27296057.309999999</v>
      </c>
    </row>
    <row r="214" spans="1:5" x14ac:dyDescent="0.35">
      <c r="A214" s="20" t="s">
        <v>369</v>
      </c>
      <c r="B214" s="50">
        <v>2731402.69</v>
      </c>
      <c r="C214" s="47"/>
      <c r="D214" s="50"/>
      <c r="E214" s="32">
        <f t="shared" si="16"/>
        <v>2731402.69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19464837.079999998</v>
      </c>
      <c r="C216" s="236">
        <f>130060+36803+51868</f>
        <v>218731</v>
      </c>
      <c r="D216" s="50"/>
      <c r="E216" s="32">
        <f t="shared" si="16"/>
        <v>19683568.079999998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3109130.11</v>
      </c>
      <c r="C218" s="47"/>
      <c r="D218" s="50"/>
      <c r="E218" s="32">
        <f t="shared" si="16"/>
        <v>3109130.11</v>
      </c>
    </row>
    <row r="219" spans="1:5" x14ac:dyDescent="0.35">
      <c r="A219" s="20" t="s">
        <v>374</v>
      </c>
      <c r="B219" s="50">
        <v>219453.48</v>
      </c>
      <c r="C219" s="236">
        <f>1100455-120490</f>
        <v>979965</v>
      </c>
      <c r="D219" s="50"/>
      <c r="E219" s="32">
        <f t="shared" si="16"/>
        <v>1199418.48</v>
      </c>
    </row>
    <row r="220" spans="1:5" x14ac:dyDescent="0.35">
      <c r="A220" s="20" t="s">
        <v>215</v>
      </c>
      <c r="B220" s="32">
        <f>SUM(B211:B219)</f>
        <v>55864619.409999989</v>
      </c>
      <c r="C220" s="266">
        <f>SUM(C211:C219)</f>
        <v>1267318</v>
      </c>
      <c r="D220" s="32">
        <f>SUM(D211:D219)</f>
        <v>0</v>
      </c>
      <c r="E220" s="32">
        <f>SUM(E211:E219)</f>
        <v>57131937.409999989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-1000958.43</v>
      </c>
      <c r="C225" s="47">
        <v>-62597.19</v>
      </c>
      <c r="D225" s="50"/>
      <c r="E225" s="32">
        <f t="shared" ref="E225:E232" si="17">SUM(B225:C225)-D225</f>
        <v>-1063555.6200000001</v>
      </c>
    </row>
    <row r="226" spans="1:5" x14ac:dyDescent="0.35">
      <c r="A226" s="20" t="s">
        <v>368</v>
      </c>
      <c r="B226" s="50">
        <v>-20532090.100000001</v>
      </c>
      <c r="C226" s="47">
        <v>-1052847.69</v>
      </c>
      <c r="D226" s="50"/>
      <c r="E226" s="32">
        <f t="shared" si="17"/>
        <v>-21584937.790000003</v>
      </c>
    </row>
    <row r="227" spans="1:5" x14ac:dyDescent="0.35">
      <c r="A227" s="20" t="s">
        <v>369</v>
      </c>
      <c r="B227" s="50">
        <v>-2512128.84</v>
      </c>
      <c r="C227" s="47">
        <v>-33388.44</v>
      </c>
      <c r="D227" s="50"/>
      <c r="E227" s="32">
        <f t="shared" si="17"/>
        <v>-2545517.2799999998</v>
      </c>
    </row>
    <row r="228" spans="1:5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v>-16461575.77</v>
      </c>
      <c r="C229" s="47">
        <v>-935181.73</v>
      </c>
      <c r="D229" s="50"/>
      <c r="E229" s="32">
        <f t="shared" si="17"/>
        <v>-17396757.5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-2374492.89</v>
      </c>
      <c r="C231" s="47">
        <v>-76791.179999999993</v>
      </c>
      <c r="D231" s="50"/>
      <c r="E231" s="32">
        <f t="shared" si="17"/>
        <v>-2451284.0700000003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-42881246.030000001</v>
      </c>
      <c r="C233" s="266">
        <f>SUM(C224:C232)</f>
        <v>-2160806.23</v>
      </c>
      <c r="D233" s="32">
        <f>SUM(D224:D232)</f>
        <v>0</v>
      </c>
      <c r="E233" s="32">
        <f>SUM(E224:E232)</f>
        <v>-45042052.260000005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9" t="s">
        <v>377</v>
      </c>
      <c r="C236" s="349"/>
      <c r="D236" s="38"/>
      <c r="E236" s="38"/>
    </row>
    <row r="237" spans="1:5" x14ac:dyDescent="0.35">
      <c r="A237" s="56" t="s">
        <v>377</v>
      </c>
      <c r="B237" s="38"/>
      <c r="C237" s="47">
        <v>7276802.21</v>
      </c>
      <c r="D237" s="40">
        <f>C237</f>
        <v>7276802.21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236">
        <v>34449890.210000001</v>
      </c>
      <c r="D239" s="20"/>
      <c r="E239" s="20"/>
    </row>
    <row r="240" spans="1:5" x14ac:dyDescent="0.35">
      <c r="A240" s="20" t="s">
        <v>380</v>
      </c>
      <c r="B240" s="46" t="s">
        <v>284</v>
      </c>
      <c r="C240" s="236">
        <v>22507359.819999997</v>
      </c>
      <c r="D240" s="20"/>
      <c r="E240" s="20"/>
    </row>
    <row r="241" spans="1:5" x14ac:dyDescent="0.35">
      <c r="A241" s="20" t="s">
        <v>381</v>
      </c>
      <c r="B241" s="46" t="s">
        <v>284</v>
      </c>
      <c r="C241" s="236">
        <v>1852870.2200000002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236">
        <v>1052920.8899999999</v>
      </c>
      <c r="D242" s="20"/>
      <c r="E242" s="20"/>
    </row>
    <row r="243" spans="1:5" x14ac:dyDescent="0.35">
      <c r="A243" s="20" t="s">
        <v>383</v>
      </c>
      <c r="B243" s="46" t="s">
        <v>284</v>
      </c>
      <c r="C243" s="236">
        <v>31522055.939999994</v>
      </c>
      <c r="D243" s="20"/>
      <c r="E243" s="20"/>
    </row>
    <row r="244" spans="1:5" x14ac:dyDescent="0.35">
      <c r="A244" s="20" t="s">
        <v>384</v>
      </c>
      <c r="B244" s="46" t="s">
        <v>284</v>
      </c>
      <c r="C244" s="236">
        <v>3249341.36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94634438.439999998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236">
        <v>471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220390.77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822226.81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1042617.5800000001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1789328.49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1789328.49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104743186.71999998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8775225.1899999995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34246521.039999999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f>1025506+22129471</f>
        <v>23154977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119872.53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517354.05000000005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>
        <f>742751.89-C278</f>
        <v>528854.19999999995</v>
      </c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935497.19000000018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305783.73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22274130.929999996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213897.69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213897.69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1878609.67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1233751.07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39057969.619999997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22535113.439999998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1199417.78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65904861.579999998</v>
      </c>
      <c r="E291" s="20"/>
    </row>
    <row r="292" spans="1:5" x14ac:dyDescent="0.35">
      <c r="A292" s="20" t="s">
        <v>416</v>
      </c>
      <c r="B292" s="46" t="s">
        <v>284</v>
      </c>
      <c r="C292" s="47">
        <v>45042052.259999998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20862809.32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f>6718382.22</f>
        <v>6718382.2199999997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6718382.2199999997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50069220.159999996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1459489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3559019.5980000002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2113874.5199999996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f>48352.92+457110.1</f>
        <v>505463.01999999996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2319655.6819999996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515922.5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10473424.319999998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236">
        <v>6620220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6620220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236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26317998.600000001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26317998.600000001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26317998.600000001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12715455.899999976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f>-6744333.41+472557.78+213897.69-1</f>
        <v>-6057878.9399999995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50069219.87999998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50069220.159999996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32063998.169999994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119623336.86999999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151687335.03999999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7276802.21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94634438.440000013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1042617.58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1789328.49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104743186.72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46944148.319999993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>
        <v>43247.96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3">
        <v>-72925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>
        <v>4551.8900000000003</v>
      </c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>
        <v>825544.89</v>
      </c>
      <c r="D378" s="32"/>
      <c r="E378" s="32"/>
    </row>
    <row r="379" spans="1:6" x14ac:dyDescent="0.35">
      <c r="A379" s="59" t="s">
        <v>488</v>
      </c>
      <c r="B379" s="40" t="s">
        <v>284</v>
      </c>
      <c r="C379" s="273">
        <v>161413.18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f>480324.58</f>
        <v>480324.58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1442157.5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1442157.5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48386305.819999993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27162885.520000003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4466986.62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1954792.2799999998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5688049.5200000005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618643.66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7663565.0199999996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2867196.16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405589.7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456980.42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331269.95999999996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213546.35+1</f>
        <v>213547.35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213547.35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51829506.210000008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-3443200.3900000155</v>
      </c>
      <c r="E417" s="32"/>
    </row>
    <row r="418" spans="1:13" x14ac:dyDescent="0.35">
      <c r="A418" s="32" t="s">
        <v>508</v>
      </c>
      <c r="B418" s="20"/>
      <c r="C418" s="236">
        <f>4442470.12-99724.38</f>
        <v>4342745.74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>
        <v>99724.38</v>
      </c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4442470.12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999269.72999998461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999269.72999998461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73161</v>
      </c>
      <c r="E612" s="258">
        <f>SUM(C624:D647)+SUM(C668:D713)</f>
        <v>46195174.747485958</v>
      </c>
      <c r="F612" s="258">
        <f>CE64-(AX64+BD64+BE64+BG64+BJ64+BN64+BP64+BQ64+CB64+CC64+CD64)</f>
        <v>5542050.1599999983</v>
      </c>
      <c r="G612" s="256">
        <f>CE91-(AX91+AY91+BD91+BE91+BG91+BJ91+BN91+BP91+BQ91+CB91+CC91+CD91)</f>
        <v>30708</v>
      </c>
      <c r="H612" s="261">
        <f>CE60-(AX60+AY60+AZ60+BD60+BE60+BG60+BJ60+BN60+BO60+BP60+BQ60+BR60+CB60+CC60+CD60)</f>
        <v>206.97</v>
      </c>
      <c r="I612" s="256">
        <f>CE92-(AX92+AY92+AZ92+BD92+BE92+BF92+BG92+BJ92+BN92+BO92+BP92+BQ92+BR92+CB92+CC92+CD92)</f>
        <v>30785.800000000007</v>
      </c>
      <c r="J612" s="256">
        <f>CE93-(AX93+AY93+AZ93+BA93+BD93+BE93+BF93+BG93+BJ93+BN93+BO93+BP93+BQ93+BR93+CB93+CC93+CD93)</f>
        <v>197200</v>
      </c>
      <c r="K612" s="256">
        <f>CE89-(AW89+AX89+AY89+AZ89+BA89+BB89+BC89+BD89+BE89+BF89+BG89+BH89+BI89+BJ89+BK89+BL89+BM89+BN89+BO89+BP89+BQ89+BR89+BS89+BT89+BU89+BV89+BW89+BX89+CB89+CC89+CD89)</f>
        <v>151687335.04000002</v>
      </c>
      <c r="L612" s="262">
        <f>CE94-(AW94+AX94+AY94+AZ94+BA94+BB94+BC94+BD94+BE94+BF94+BG94+BH94+BI94+BJ94+BK94+BL94+BM94+BN94+BO94+BP94+BQ94+BR94+BS94+BT94+BU94+BV94+BW94+BX94+BY94+BZ94+CA94+CB94+CC94+CD94)</f>
        <v>54.740000000000009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2236136.94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771072.42</v>
      </c>
      <c r="D615" s="256">
        <f>SUM(C614:C615)</f>
        <v>3007209.36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103227.58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379527.18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110947.83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4427540.2200000007</v>
      </c>
      <c r="D619" s="256">
        <f>(D615/D612)*BN90</f>
        <v>239554.08141058759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218903.41999999998</v>
      </c>
      <c r="D620" s="256">
        <f>(D615/D612)*CC90</f>
        <v>69671.271103456747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84960.099999999991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5634331.6825140445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191100.18000000002</v>
      </c>
      <c r="D624" s="256">
        <f>(D615/D612)*BD90</f>
        <v>132354.86309919218</v>
      </c>
      <c r="E624" s="258">
        <f>(E623/E612)*SUM(C624:D624)</f>
        <v>39451.154956436359</v>
      </c>
      <c r="F624" s="258">
        <f>SUM(C624:E624)</f>
        <v>362906.19805562857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0</v>
      </c>
      <c r="D625" s="256">
        <f>(D615/D612)*AY90</f>
        <v>0</v>
      </c>
      <c r="E625" s="258">
        <f>(E623/E612)*SUM(C625:D625)</f>
        <v>0</v>
      </c>
      <c r="F625" s="258">
        <f>(F624/F612)*AY64</f>
        <v>0</v>
      </c>
      <c r="G625" s="256">
        <f>SUM(C625:F625)</f>
        <v>0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592407.05000000005</v>
      </c>
      <c r="D626" s="256">
        <f>(D615/D612)*BR90</f>
        <v>24662.396850781151</v>
      </c>
      <c r="E626" s="258">
        <f>(E623/E612)*SUM(C626:D626)</f>
        <v>75262.707711523195</v>
      </c>
      <c r="F626" s="258">
        <f>(F624/F612)*BR64</f>
        <v>319.06709654535399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86717.78</v>
      </c>
      <c r="D627" s="256">
        <f>(D615/D612)*BO90</f>
        <v>0</v>
      </c>
      <c r="E627" s="258">
        <f>(E623/E612)*SUM(C627:D627)</f>
        <v>10576.791579684916</v>
      </c>
      <c r="F627" s="258">
        <f>(F624/F612)*BO64</f>
        <v>412.39181744735708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1184482.6000000001</v>
      </c>
      <c r="D628" s="256">
        <f>(D615/D612)*AZ90</f>
        <v>182337.32071677531</v>
      </c>
      <c r="E628" s="258">
        <f>(E623/E612)*SUM(C628:D628)</f>
        <v>166708.25093057958</v>
      </c>
      <c r="F628" s="258">
        <f>(F624/F612)*AZ64</f>
        <v>14472.873991267117</v>
      </c>
      <c r="G628" s="256">
        <f>(G625/G612)*AZ91</f>
        <v>0</v>
      </c>
      <c r="H628" s="258">
        <f>SUM(C626:G628)</f>
        <v>2338359.2306946041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1148477.8799999999</v>
      </c>
      <c r="D629" s="256">
        <f>(D615/D612)*BF90</f>
        <v>15825.037979251239</v>
      </c>
      <c r="E629" s="258">
        <f>(E623/E612)*SUM(C629:D629)</f>
        <v>142007.66323913643</v>
      </c>
      <c r="F629" s="258">
        <f>(F624/F612)*BF64</f>
        <v>5064.8425284907953</v>
      </c>
      <c r="G629" s="256">
        <f>(G625/G612)*BF91</f>
        <v>0</v>
      </c>
      <c r="H629" s="258">
        <f>(H628/H612)*BF60</f>
        <v>168002.13441768743</v>
      </c>
      <c r="I629" s="256">
        <f>SUM(C629:H629)</f>
        <v>1479377.5581645658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321878.90000000002</v>
      </c>
      <c r="D630" s="256">
        <f>(D615/D612)*BA90</f>
        <v>16975.949832287693</v>
      </c>
      <c r="E630" s="258">
        <f>(E623/E612)*SUM(C630:D630)</f>
        <v>41329.438120320163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380184.28795260785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94780.58</v>
      </c>
      <c r="D634" s="256">
        <f>(D615/D612)*BI90</f>
        <v>0</v>
      </c>
      <c r="E634" s="258">
        <f>(E623/E612)*SUM(C634:D634)</f>
        <v>11560.194927287721</v>
      </c>
      <c r="F634" s="258">
        <f>(F624/F612)*BI64</f>
        <v>681.35251190807412</v>
      </c>
      <c r="G634" s="256">
        <f>(G625/G612)*BI91</f>
        <v>0</v>
      </c>
      <c r="H634" s="258">
        <f>(H628/H612)*BI60</f>
        <v>1920.6699967052364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671815.62</v>
      </c>
      <c r="D635" s="256">
        <f>(D615/D612)*BK90</f>
        <v>49324.793701562303</v>
      </c>
      <c r="E635" s="258">
        <f>(E623/E612)*SUM(C635:D635)</f>
        <v>87956.032262463152</v>
      </c>
      <c r="F635" s="258">
        <f>(F624/F612)*BK64</f>
        <v>96.260947289534414</v>
      </c>
      <c r="G635" s="256">
        <f>(G625/G612)*BK91</f>
        <v>0</v>
      </c>
      <c r="H635" s="258">
        <f>(H628/H612)*BK60</f>
        <v>65302.779887978031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2779310.6100000003</v>
      </c>
      <c r="D636" s="256">
        <f>(D615/D612)*BH90</f>
        <v>53435.193176692497</v>
      </c>
      <c r="E636" s="258">
        <f>(E623/E612)*SUM(C636:D636)</f>
        <v>345504.25481864304</v>
      </c>
      <c r="F636" s="258">
        <f>(F624/F612)*BH64</f>
        <v>6781.8493655026732</v>
      </c>
      <c r="G636" s="256">
        <f>(G625/G612)*BH91</f>
        <v>0</v>
      </c>
      <c r="H636" s="258">
        <f>(H628/H612)*BH60</f>
        <v>65189.799299936538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907130.8</v>
      </c>
      <c r="D637" s="256">
        <f>(D615/D612)*BL90</f>
        <v>17263.677795546806</v>
      </c>
      <c r="E637" s="258">
        <f>(E623/E612)*SUM(C637:D637)</f>
        <v>112746.51783123572</v>
      </c>
      <c r="F637" s="258">
        <f>(F624/F612)*BL64</f>
        <v>962.22247249502504</v>
      </c>
      <c r="G637" s="256">
        <f>(G625/G612)*BL91</f>
        <v>0</v>
      </c>
      <c r="H637" s="258">
        <f>(H628/H612)*BL60</f>
        <v>130492.57918791458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967447.09000000008</v>
      </c>
      <c r="D642" s="256">
        <f>(D615/D612)*BV90</f>
        <v>112090.59368680033</v>
      </c>
      <c r="E642" s="258">
        <f>(E623/E612)*SUM(C642:D642)</f>
        <v>131669.01969551237</v>
      </c>
      <c r="F642" s="258">
        <f>(F624/F612)*BV64</f>
        <v>137.45651782164532</v>
      </c>
      <c r="G642" s="256">
        <f>(G625/G612)*BV91</f>
        <v>0</v>
      </c>
      <c r="H642" s="258">
        <f>(H628/H612)*BV60</f>
        <v>106879.63628724433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887574.95</v>
      </c>
      <c r="D643" s="256">
        <f>(D615/D612)*BW90</f>
        <v>0</v>
      </c>
      <c r="E643" s="258">
        <f>(E623/E612)*SUM(C643:D643)</f>
        <v>108255.71477382447</v>
      </c>
      <c r="F643" s="258">
        <f>(F624/F612)*BW64</f>
        <v>27.272068819782792</v>
      </c>
      <c r="G643" s="256">
        <f>(G625/G612)*BW91</f>
        <v>0</v>
      </c>
      <c r="H643" s="258">
        <f>(H628/H612)*BW60</f>
        <v>9151.427631360244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531661.25</v>
      </c>
      <c r="D644" s="256">
        <f>(D615/D612)*BX90</f>
        <v>0</v>
      </c>
      <c r="E644" s="258">
        <f>(E623/E612)*SUM(C644:D644)</f>
        <v>64845.643329946375</v>
      </c>
      <c r="F644" s="258">
        <f>(F624/F612)*BX64</f>
        <v>125.5485613414362</v>
      </c>
      <c r="G644" s="256">
        <f>(G625/G612)*BX91</f>
        <v>0</v>
      </c>
      <c r="H644" s="258">
        <f>(H628/H612)*BX60</f>
        <v>42819.642867722621</v>
      </c>
      <c r="I644" s="256">
        <f>(I629/I612)*BX92</f>
        <v>0</v>
      </c>
      <c r="J644" s="256">
        <f>(J630/J612)*BX93</f>
        <v>0</v>
      </c>
      <c r="K644" s="258">
        <f>SUM(C631:J644)</f>
        <v>8364941.0336035555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760108</v>
      </c>
      <c r="D645" s="256">
        <f>(D615/D612)*BY90</f>
        <v>30704.684079222534</v>
      </c>
      <c r="E645" s="258">
        <f>(E623/E612)*SUM(C645:D645)</f>
        <v>96453.817637826389</v>
      </c>
      <c r="F645" s="258">
        <f>(F624/F612)*BY64</f>
        <v>32.422906635197968</v>
      </c>
      <c r="G645" s="256">
        <f>(G625/G612)*BY91</f>
        <v>0</v>
      </c>
      <c r="H645" s="258">
        <f>(H628/H612)*BY60</f>
        <v>48242.711093713871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24821.98</v>
      </c>
      <c r="D647" s="256">
        <f>(D615/D612)*CA90</f>
        <v>0</v>
      </c>
      <c r="E647" s="258">
        <f>(E623/E612)*SUM(C647:D647)</f>
        <v>3027.4865091692545</v>
      </c>
      <c r="F647" s="258">
        <f>(F624/F612)*CA64</f>
        <v>18.379572311603521</v>
      </c>
      <c r="G647" s="256">
        <f>(G625/G612)*CA91</f>
        <v>0</v>
      </c>
      <c r="H647" s="258">
        <f>(H628/H612)*CA60</f>
        <v>112.98058804148448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963522.46238692035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19482030.960000001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66371</v>
      </c>
      <c r="D668" s="256">
        <f>(D615/D612)*C90</f>
        <v>90428.788452864217</v>
      </c>
      <c r="E668" s="258">
        <f>(E623/E612)*SUM(C668:D668)</f>
        <v>19124.551876266094</v>
      </c>
      <c r="F668" s="258">
        <f>(F624/F612)*C64</f>
        <v>0</v>
      </c>
      <c r="G668" s="256">
        <f>(G625/G612)*C91</f>
        <v>0</v>
      </c>
      <c r="H668" s="258">
        <f>(H628/H612)*C60</f>
        <v>-338.94176412445341</v>
      </c>
      <c r="I668" s="256">
        <f>(I629/I612)*C92</f>
        <v>0</v>
      </c>
      <c r="J668" s="256">
        <f>(J630/J612)*C93</f>
        <v>0</v>
      </c>
      <c r="K668" s="256">
        <f>(K644/K612)*C89</f>
        <v>-581.04025845420267</v>
      </c>
      <c r="L668" s="256">
        <f>(L647/L612)*C94</f>
        <v>-528.05396184887843</v>
      </c>
      <c r="M668" s="231">
        <f t="shared" ref="M668:M713" si="18">ROUND(SUM(D668:L668),0)</f>
        <v>108105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881018.11</v>
      </c>
      <c r="D669" s="256">
        <f>(D615/D612)*D90</f>
        <v>0</v>
      </c>
      <c r="E669" s="258">
        <f>(E623/E612)*SUM(C669:D669)</f>
        <v>107455.99031015231</v>
      </c>
      <c r="F669" s="258">
        <f>(F624/F612)*D64</f>
        <v>257.03505775917358</v>
      </c>
      <c r="G669" s="256">
        <f>(G625/G612)*D91</f>
        <v>0</v>
      </c>
      <c r="H669" s="258">
        <f>(H628/H612)*D60</f>
        <v>43497.526395971523</v>
      </c>
      <c r="I669" s="256">
        <f>(I629/I612)*D92</f>
        <v>44351.222521284006</v>
      </c>
      <c r="J669" s="256">
        <f>(J630/J612)*D93</f>
        <v>10817.708205531835</v>
      </c>
      <c r="K669" s="256">
        <f>(K644/K612)*D89</f>
        <v>56616.464050482318</v>
      </c>
      <c r="L669" s="256">
        <f>(L647/L612)*D94</f>
        <v>67766.9251039394</v>
      </c>
      <c r="M669" s="231">
        <f t="shared" si="18"/>
        <v>330763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3963388.9200000004</v>
      </c>
      <c r="D670" s="256">
        <f>(D615/D612)*E90</f>
        <v>457076.42163447733</v>
      </c>
      <c r="E670" s="258">
        <f>(E623/E612)*SUM(C670:D670)</f>
        <v>539155.18367385038</v>
      </c>
      <c r="F670" s="258">
        <f>(F624/F612)*E64</f>
        <v>15250.731699448344</v>
      </c>
      <c r="G670" s="256">
        <f>(G625/G612)*E91</f>
        <v>0</v>
      </c>
      <c r="H670" s="258">
        <f>(H628/H612)*E60</f>
        <v>265504.38189748855</v>
      </c>
      <c r="I670" s="256">
        <f>(I629/I612)*E92</f>
        <v>186051.10315755688</v>
      </c>
      <c r="J670" s="256">
        <f>(J630/J612)*E93</f>
        <v>157148.09579437246</v>
      </c>
      <c r="K670" s="256">
        <f>(K644/K612)*E89</f>
        <v>415642.42709661886</v>
      </c>
      <c r="L670" s="256">
        <f>(L647/L612)*E94</f>
        <v>250121.55992908543</v>
      </c>
      <c r="M670" s="231">
        <f t="shared" si="18"/>
        <v>2285950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4.45</v>
      </c>
      <c r="D672" s="256">
        <f>(D615/D612)*G90</f>
        <v>0</v>
      </c>
      <c r="E672" s="258">
        <f>(E623/E612)*SUM(C672:D672)</f>
        <v>0.54275746599599162</v>
      </c>
      <c r="F672" s="258">
        <f>(F624/F612)*G64</f>
        <v>0.29139624051102914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1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3954996.91</v>
      </c>
      <c r="D674" s="256">
        <f>(D615/D612)*I90</f>
        <v>0</v>
      </c>
      <c r="E674" s="258">
        <f>(E623/E612)*SUM(C674:D674)</f>
        <v>482382.94402102847</v>
      </c>
      <c r="F674" s="258">
        <f>(F624/F612)*I64</f>
        <v>12033.266685974062</v>
      </c>
      <c r="G674" s="256">
        <f>(G625/G612)*I91</f>
        <v>0</v>
      </c>
      <c r="H674" s="258">
        <f>(H628/H612)*I60</f>
        <v>307646.14123696223</v>
      </c>
      <c r="I674" s="256">
        <f>(I629/I612)*I92</f>
        <v>314414.1126173425</v>
      </c>
      <c r="J674" s="256">
        <f>(J630/J612)*I93</f>
        <v>19449.260359725638</v>
      </c>
      <c r="K674" s="256">
        <f>(K644/K612)*I89</f>
        <v>374857.30043300946</v>
      </c>
      <c r="L674" s="256">
        <f>(L647/L612)*I94</f>
        <v>153311.66692345773</v>
      </c>
      <c r="M674" s="231">
        <f t="shared" si="18"/>
        <v>1664095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2059313.79</v>
      </c>
      <c r="D679" s="256">
        <f>(D615/D612)*N90</f>
        <v>0</v>
      </c>
      <c r="E679" s="258">
        <f>(E623/E612)*SUM(C679:D679)</f>
        <v>251170.32232606775</v>
      </c>
      <c r="F679" s="258">
        <f>(F624/F612)*N64</f>
        <v>0</v>
      </c>
      <c r="G679" s="256">
        <f>(G625/G612)*N91</f>
        <v>0</v>
      </c>
      <c r="H679" s="258">
        <f>(H628/H612)*N60</f>
        <v>20675.447611591662</v>
      </c>
      <c r="I679" s="256">
        <f>(I629/I612)*N92</f>
        <v>0</v>
      </c>
      <c r="J679" s="256">
        <f>(J630/J612)*N93</f>
        <v>0</v>
      </c>
      <c r="K679" s="256">
        <f>(K644/K612)*N89</f>
        <v>75454.649936406611</v>
      </c>
      <c r="L679" s="256">
        <f>(L647/L612)*N94</f>
        <v>0</v>
      </c>
      <c r="M679" s="231">
        <f t="shared" si="18"/>
        <v>347300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99668</v>
      </c>
      <c r="D680" s="256">
        <f>(D615/D612)*O90</f>
        <v>248473.6482716201</v>
      </c>
      <c r="E680" s="258">
        <f>(E623/E612)*SUM(C680:D680)</f>
        <v>42462.130072712876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290936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3252356.9699999997</v>
      </c>
      <c r="D681" s="256">
        <f>(D615/D612)*P90</f>
        <v>222865.85954155901</v>
      </c>
      <c r="E681" s="258">
        <f>(E623/E612)*SUM(C681:D681)</f>
        <v>423865.87342323508</v>
      </c>
      <c r="F681" s="258">
        <f>(F624/F612)*P64</f>
        <v>125135.16502548783</v>
      </c>
      <c r="G681" s="256">
        <f>(G625/G612)*P91</f>
        <v>0</v>
      </c>
      <c r="H681" s="258">
        <f>(H628/H612)*P60</f>
        <v>96598.402775469236</v>
      </c>
      <c r="I681" s="256">
        <f>(I629/I612)*P92</f>
        <v>109320.33775372528</v>
      </c>
      <c r="J681" s="256">
        <f>(J630/J612)*P93</f>
        <v>81361.404092313009</v>
      </c>
      <c r="K681" s="256">
        <f>(K644/K612)*P89</f>
        <v>947593.29796921078</v>
      </c>
      <c r="L681" s="256">
        <f>(L647/L612)*P94</f>
        <v>78856.058302765858</v>
      </c>
      <c r="M681" s="231">
        <f t="shared" si="18"/>
        <v>2085596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657457.82999999996</v>
      </c>
      <c r="D682" s="256">
        <f>(D615/D612)*Q90</f>
        <v>24662.396850781151</v>
      </c>
      <c r="E682" s="258">
        <f>(E623/E612)*SUM(C682:D682)</f>
        <v>83196.819287672115</v>
      </c>
      <c r="F682" s="258">
        <f>(F624/F612)*Q64</f>
        <v>705.52726787927895</v>
      </c>
      <c r="G682" s="256">
        <f>(G625/G612)*Q91</f>
        <v>0</v>
      </c>
      <c r="H682" s="258">
        <f>(H628/H612)*Q60</f>
        <v>31295.622887491201</v>
      </c>
      <c r="I682" s="256">
        <f>(I629/I612)*Q92</f>
        <v>12111.699283633989</v>
      </c>
      <c r="J682" s="256">
        <f>(J630/J612)*Q93</f>
        <v>0</v>
      </c>
      <c r="K682" s="256">
        <f>(K644/K612)*Q89</f>
        <v>100968.88852818268</v>
      </c>
      <c r="L682" s="256">
        <f>(L647/L612)*Q94</f>
        <v>49109.018451945696</v>
      </c>
      <c r="M682" s="231">
        <f t="shared" si="18"/>
        <v>302050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556455.51</v>
      </c>
      <c r="D683" s="256">
        <f>(D615/D612)*R90</f>
        <v>7480.927044736949</v>
      </c>
      <c r="E683" s="258">
        <f>(E623/E612)*SUM(C683:D683)</f>
        <v>68782.182371507733</v>
      </c>
      <c r="F683" s="258">
        <f>(F624/F612)*R64</f>
        <v>2649.054410273221</v>
      </c>
      <c r="G683" s="256">
        <f>(G625/G612)*R91</f>
        <v>0</v>
      </c>
      <c r="H683" s="258">
        <f>(H628/H612)*R60</f>
        <v>0</v>
      </c>
      <c r="I683" s="256">
        <f>(I629/I612)*R92</f>
        <v>3675.515678559449</v>
      </c>
      <c r="J683" s="256">
        <f>(J630/J612)*R93</f>
        <v>0</v>
      </c>
      <c r="K683" s="256">
        <f>(K644/K612)*R89</f>
        <v>103071.69430085906</v>
      </c>
      <c r="L683" s="256">
        <f>(L647/L612)*R94</f>
        <v>0</v>
      </c>
      <c r="M683" s="231">
        <f t="shared" si="18"/>
        <v>185659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332647.60000000003</v>
      </c>
      <c r="D684" s="256">
        <f>(D615/D612)*S90</f>
        <v>0</v>
      </c>
      <c r="E684" s="258">
        <f>(E623/E612)*SUM(C684:D684)</f>
        <v>40572.352459696231</v>
      </c>
      <c r="F684" s="258">
        <f>(F624/F612)*S64</f>
        <v>10355.335757403207</v>
      </c>
      <c r="G684" s="256">
        <f>(G625/G612)*S91</f>
        <v>0</v>
      </c>
      <c r="H684" s="258">
        <f>(H628/H612)*S60</f>
        <v>21127.369963757599</v>
      </c>
      <c r="I684" s="256">
        <f>(I629/I612)*S92</f>
        <v>0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72055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2986787.46</v>
      </c>
      <c r="D686" s="256">
        <f>(D615/D612)*U90</f>
        <v>52613.113281666454</v>
      </c>
      <c r="E686" s="258">
        <f>(E623/E612)*SUM(C686:D686)</f>
        <v>370709.51759575756</v>
      </c>
      <c r="F686" s="258">
        <f>(F624/F612)*U64</f>
        <v>62984.045364859274</v>
      </c>
      <c r="G686" s="256">
        <f>(G625/G612)*U91</f>
        <v>0</v>
      </c>
      <c r="H686" s="258">
        <f>(H628/H612)*U60</f>
        <v>165742.52265685773</v>
      </c>
      <c r="I686" s="256">
        <f>(I629/I612)*U92</f>
        <v>25833.624483589261</v>
      </c>
      <c r="J686" s="256">
        <f>(J630/J612)*U93</f>
        <v>0</v>
      </c>
      <c r="K686" s="256">
        <f>(K644/K612)*U89</f>
        <v>772051.82657296932</v>
      </c>
      <c r="L686" s="256">
        <f>(L647/L612)*U94</f>
        <v>352.03597456591893</v>
      </c>
      <c r="M686" s="231">
        <f t="shared" si="18"/>
        <v>1450287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73971.659740089613</v>
      </c>
      <c r="L687" s="256">
        <f>(L647/L612)*V94</f>
        <v>0</v>
      </c>
      <c r="M687" s="231">
        <f t="shared" si="18"/>
        <v>73972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720552.74</v>
      </c>
      <c r="D688" s="256">
        <f>(D615/D612)*W90</f>
        <v>29841.500189445193</v>
      </c>
      <c r="E688" s="258">
        <f>(E623/E612)*SUM(C688:D688)</f>
        <v>91524.06209060915</v>
      </c>
      <c r="F688" s="258">
        <f>(F624/F612)*W64</f>
        <v>571.76788078555558</v>
      </c>
      <c r="G688" s="256">
        <f>(G625/G612)*W91</f>
        <v>0</v>
      </c>
      <c r="H688" s="258">
        <f>(H628/H612)*W60</f>
        <v>25646.593485416975</v>
      </c>
      <c r="I688" s="256">
        <f>(I629/I612)*W92</f>
        <v>9661.3554979276905</v>
      </c>
      <c r="J688" s="256">
        <f>(J630/J612)*W93</f>
        <v>0</v>
      </c>
      <c r="K688" s="256">
        <f>(K644/K612)*W89</f>
        <v>264279.64173584874</v>
      </c>
      <c r="L688" s="256">
        <f>(L647/L612)*W94</f>
        <v>0</v>
      </c>
      <c r="M688" s="231">
        <f t="shared" si="18"/>
        <v>421525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1195940.1400000001</v>
      </c>
      <c r="D689" s="256">
        <f>(D615/D612)*X90</f>
        <v>22771.613092221261</v>
      </c>
      <c r="E689" s="258">
        <f>(E623/E612)*SUM(C689:D689)</f>
        <v>148643.7984017678</v>
      </c>
      <c r="F689" s="258">
        <f>(F624/F612)*X64</f>
        <v>198.79247974566124</v>
      </c>
      <c r="G689" s="256">
        <f>(G625/G612)*X91</f>
        <v>0</v>
      </c>
      <c r="H689" s="258">
        <f>(H628/H612)*X60</f>
        <v>85865.2469115282</v>
      </c>
      <c r="I689" s="256">
        <f>(I629/I612)*X92</f>
        <v>8121.1394040551622</v>
      </c>
      <c r="J689" s="256">
        <f>(J630/J612)*X93</f>
        <v>0</v>
      </c>
      <c r="K689" s="256">
        <f>(K644/K612)*X89</f>
        <v>1402990.5832497773</v>
      </c>
      <c r="L689" s="256">
        <f>(L647/L612)*X94</f>
        <v>0</v>
      </c>
      <c r="M689" s="231">
        <f t="shared" si="18"/>
        <v>1668591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1211007.24</v>
      </c>
      <c r="D690" s="256">
        <f>(D615/D612)*Y90</f>
        <v>147070.09322015828</v>
      </c>
      <c r="E690" s="258">
        <f>(E623/E612)*SUM(C690:D690)</f>
        <v>165641.93528205997</v>
      </c>
      <c r="F690" s="258">
        <f>(F624/F612)*Y64</f>
        <v>6238.2277422584339</v>
      </c>
      <c r="G690" s="256">
        <f>(G625/G612)*Y91</f>
        <v>0</v>
      </c>
      <c r="H690" s="258">
        <f>(H628/H612)*Y60</f>
        <v>68805.178117264048</v>
      </c>
      <c r="I690" s="256">
        <f>(I629/I612)*Y92</f>
        <v>51352.204766159135</v>
      </c>
      <c r="J690" s="256">
        <f>(J630/J612)*Y93</f>
        <v>0</v>
      </c>
      <c r="K690" s="256">
        <f>(K644/K612)*Y89</f>
        <v>480494.61337919126</v>
      </c>
      <c r="L690" s="256">
        <f>(L647/L612)*Y94</f>
        <v>0</v>
      </c>
      <c r="M690" s="231">
        <f t="shared" si="18"/>
        <v>919602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7040</v>
      </c>
      <c r="D692" s="256">
        <f>(D615/D612)*AA90</f>
        <v>17551.405758805919</v>
      </c>
      <c r="E692" s="258">
        <f>(E623/E612)*SUM(C692:D692)</f>
        <v>2999.3638370626368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8611.2081611964204</v>
      </c>
      <c r="J692" s="256">
        <f>(J630/J612)*AA93</f>
        <v>0</v>
      </c>
      <c r="K692" s="256">
        <f>(K644/K612)*AA89</f>
        <v>-240.86534408504386</v>
      </c>
      <c r="L692" s="256">
        <f>(L647/L612)*AA94</f>
        <v>0</v>
      </c>
      <c r="M692" s="231">
        <f t="shared" si="18"/>
        <v>28921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1755786.8599999999</v>
      </c>
      <c r="D693" s="256">
        <f>(D615/D612)*AB90</f>
        <v>33335.339743305856</v>
      </c>
      <c r="E693" s="258">
        <f>(E623/E612)*SUM(C693:D693)</f>
        <v>218215.60258198896</v>
      </c>
      <c r="F693" s="258">
        <f>(F624/F612)*AB64</f>
        <v>47276.381441484198</v>
      </c>
      <c r="G693" s="256">
        <f>(G625/G612)*AB91</f>
        <v>0</v>
      </c>
      <c r="H693" s="258">
        <f>(H628/H612)*AB60</f>
        <v>55586.449316410362</v>
      </c>
      <c r="I693" s="256">
        <f>(I629/I612)*AB92</f>
        <v>16347.293541783449</v>
      </c>
      <c r="J693" s="256">
        <f>(J630/J612)*AB93</f>
        <v>0</v>
      </c>
      <c r="K693" s="256">
        <f>(K644/K612)*AB89</f>
        <v>346465.63149407128</v>
      </c>
      <c r="L693" s="256">
        <f>(L647/L612)*AB94</f>
        <v>0</v>
      </c>
      <c r="M693" s="231">
        <f t="shared" si="18"/>
        <v>717227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995487.17999999993</v>
      </c>
      <c r="D694" s="256">
        <f>(D615/D612)*AC90</f>
        <v>31444.555984745966</v>
      </c>
      <c r="E694" s="258">
        <f>(E623/E612)*SUM(C694:D694)</f>
        <v>125252.77905032478</v>
      </c>
      <c r="F694" s="258">
        <f>(F624/F612)*AC64</f>
        <v>1669.584554455005</v>
      </c>
      <c r="G694" s="256">
        <f>(G625/G612)*AC91</f>
        <v>0</v>
      </c>
      <c r="H694" s="258">
        <f>(H628/H612)*AC60</f>
        <v>48581.652857838322</v>
      </c>
      <c r="I694" s="256">
        <f>(I629/I612)*AC92</f>
        <v>15402.160938725307</v>
      </c>
      <c r="J694" s="256">
        <f>(J630/J612)*AC93</f>
        <v>0</v>
      </c>
      <c r="K694" s="256">
        <f>(K644/K612)*AC89</f>
        <v>54352.3442643198</v>
      </c>
      <c r="L694" s="256">
        <f>(L647/L612)*AC94</f>
        <v>704.07194913183787</v>
      </c>
      <c r="M694" s="231">
        <f t="shared" si="18"/>
        <v>277407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715566.92999999993</v>
      </c>
      <c r="D696" s="256">
        <f>(D615/D612)*AE90</f>
        <v>10687.038635338498</v>
      </c>
      <c r="E696" s="258">
        <f>(E623/E612)*SUM(C696:D696)</f>
        <v>88579.722176640149</v>
      </c>
      <c r="F696" s="258">
        <f>(F624/F612)*AE64</f>
        <v>873.59545188386721</v>
      </c>
      <c r="G696" s="256">
        <f>(G625/G612)*AE91</f>
        <v>0</v>
      </c>
      <c r="H696" s="258">
        <f>(H628/H612)*AE60</f>
        <v>66884.508120558807</v>
      </c>
      <c r="I696" s="256">
        <f>(I629/I612)*AE92</f>
        <v>5215.7317724319792</v>
      </c>
      <c r="J696" s="256">
        <f>(J630/J612)*AE93</f>
        <v>11916.714561248793</v>
      </c>
      <c r="K696" s="256">
        <f>(K644/K612)*AE89</f>
        <v>136199.21129275323</v>
      </c>
      <c r="L696" s="256">
        <f>(L647/L612)*AE94</f>
        <v>0</v>
      </c>
      <c r="M696" s="231">
        <f t="shared" si="18"/>
        <v>320357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5023517.7600000007</v>
      </c>
      <c r="D698" s="256">
        <f>(D615/D612)*AG90</f>
        <v>320611.15906015498</v>
      </c>
      <c r="E698" s="258">
        <f>(E623/E612)*SUM(C698:D698)</f>
        <v>651812.55507078371</v>
      </c>
      <c r="F698" s="258">
        <f>(F624/F612)*AG64</f>
        <v>33387.534927440494</v>
      </c>
      <c r="G698" s="256">
        <f>(G625/G612)*AG91</f>
        <v>0</v>
      </c>
      <c r="H698" s="258">
        <f>(H628/H612)*AG60</f>
        <v>300754.32536643167</v>
      </c>
      <c r="I698" s="256">
        <f>(I629/I612)*AG92</f>
        <v>157312.07104234441</v>
      </c>
      <c r="J698" s="256">
        <f>(J630/J612)*AG93</f>
        <v>99491.104939416124</v>
      </c>
      <c r="K698" s="256">
        <f>(K644/K612)*AG89</f>
        <v>2382264.1332103992</v>
      </c>
      <c r="L698" s="256">
        <f>(L647/L612)*AG94</f>
        <v>304863.15397408581</v>
      </c>
      <c r="M698" s="231">
        <f t="shared" si="18"/>
        <v>4250496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12111.699283633989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12112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1730119.7100000002</v>
      </c>
      <c r="D701" s="256">
        <f>(D615/D612)*AJ90</f>
        <v>346095.63580596214</v>
      </c>
      <c r="E701" s="258">
        <f>(E623/E612)*SUM(C701:D701)</f>
        <v>253231.77077564842</v>
      </c>
      <c r="F701" s="258">
        <f>(F624/F612)*AJ64</f>
        <v>14126.729963159671</v>
      </c>
      <c r="G701" s="256">
        <f>(G625/G612)*AJ91</f>
        <v>0</v>
      </c>
      <c r="H701" s="258">
        <f>(H628/H612)*AJ60</f>
        <v>82927.751622449607</v>
      </c>
      <c r="I701" s="256">
        <f>(I629/I612)*AJ92</f>
        <v>0</v>
      </c>
      <c r="J701" s="256">
        <f>(J630/J612)*AJ93</f>
        <v>0</v>
      </c>
      <c r="K701" s="256">
        <f>(K644/K612)*AJ89</f>
        <v>336943.08255741961</v>
      </c>
      <c r="L701" s="256">
        <f>(L647/L612)*AJ94</f>
        <v>58966.025739791425</v>
      </c>
      <c r="M701" s="231">
        <f t="shared" si="18"/>
        <v>1092291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180905.9</v>
      </c>
      <c r="D702" s="256">
        <f>(D615/D612)*AK90</f>
        <v>0</v>
      </c>
      <c r="E702" s="258">
        <f>(E623/E612)*SUM(C702:D702)</f>
        <v>22064.72536353354</v>
      </c>
      <c r="F702" s="258">
        <f>(F624/F612)*AK64</f>
        <v>0</v>
      </c>
      <c r="G702" s="256">
        <f>(G625/G612)*AK91</f>
        <v>0</v>
      </c>
      <c r="H702" s="258">
        <f>(H628/H612)*AK60</f>
        <v>13444.689976936652</v>
      </c>
      <c r="I702" s="256">
        <f>(I629/I612)*AK92</f>
        <v>0</v>
      </c>
      <c r="J702" s="256">
        <f>(J630/J612)*AK93</f>
        <v>0</v>
      </c>
      <c r="K702" s="256">
        <f>(K644/K612)*AK89</f>
        <v>35083.377577823616</v>
      </c>
      <c r="L702" s="256">
        <f>(L647/L612)*AK94</f>
        <v>0</v>
      </c>
      <c r="M702" s="231">
        <f t="shared" si="18"/>
        <v>70593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934.46</v>
      </c>
      <c r="D707" s="256">
        <f>(D615/D612)*AP90</f>
        <v>0</v>
      </c>
      <c r="E707" s="258">
        <f>(E623/E612)*SUM(C707:D707)</f>
        <v>113.97418914036277</v>
      </c>
      <c r="F707" s="258">
        <f>(F624/F612)*AP64</f>
        <v>61.190591215266586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175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150</v>
      </c>
      <c r="D709" s="256">
        <f>(D615/D612)*AR90</f>
        <v>0</v>
      </c>
      <c r="E709" s="258">
        <f>(E623/E612)*SUM(C709:D709)</f>
        <v>18.29519548301095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18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499485.07826061692</v>
      </c>
      <c r="J713" s="256">
        <f>(J630/J612)*AV93</f>
        <v>0</v>
      </c>
      <c r="K713" s="256">
        <f>(K644/K612)*AV89</f>
        <v>6462.1118166605484</v>
      </c>
      <c r="L713" s="256">
        <f>(L647/L612)*AV94</f>
        <v>0</v>
      </c>
      <c r="M713" s="231">
        <f t="shared" si="18"/>
        <v>505947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51829506.429999992</v>
      </c>
      <c r="D715" s="231">
        <f>SUM(D616:D647)+SUM(D668:D713)</f>
        <v>3007209.3599999994</v>
      </c>
      <c r="E715" s="231">
        <f>SUM(E624:E647)+SUM(E668:E713)</f>
        <v>5634331.6825140435</v>
      </c>
      <c r="F715" s="231">
        <f>SUM(F625:F648)+SUM(F668:F713)</f>
        <v>362906.19805562869</v>
      </c>
      <c r="G715" s="231">
        <f>SUM(G626:G647)+SUM(G668:G713)</f>
        <v>0</v>
      </c>
      <c r="H715" s="231">
        <f>SUM(H629:H647)+SUM(H668:H713)</f>
        <v>2338359.2306946046</v>
      </c>
      <c r="I715" s="231">
        <f>SUM(I630:I647)+SUM(I668:I713)</f>
        <v>1479377.5581645658</v>
      </c>
      <c r="J715" s="231">
        <f>SUM(J631:J647)+SUM(J668:J713)</f>
        <v>380184.28795260785</v>
      </c>
      <c r="K715" s="231">
        <f>SUM(K668:K713)</f>
        <v>8364941.0336035546</v>
      </c>
      <c r="L715" s="231">
        <f>SUM(L668:L713)</f>
        <v>963522.46238692023</v>
      </c>
      <c r="M715" s="231">
        <f>SUM(M668:M713)</f>
        <v>19482031</v>
      </c>
      <c r="N715" s="250" t="s">
        <v>669</v>
      </c>
    </row>
    <row r="716" spans="1:14" s="231" customFormat="1" ht="12.65" customHeight="1" x14ac:dyDescent="0.3">
      <c r="C716" s="253">
        <f>CE85</f>
        <v>51829506.429999985</v>
      </c>
      <c r="D716" s="231">
        <f>D615</f>
        <v>3007209.36</v>
      </c>
      <c r="E716" s="231">
        <f>E623</f>
        <v>5634331.6825140445</v>
      </c>
      <c r="F716" s="231">
        <f>F624</f>
        <v>362906.19805562857</v>
      </c>
      <c r="G716" s="231">
        <f>G625</f>
        <v>0</v>
      </c>
      <c r="H716" s="231">
        <f>H628</f>
        <v>2338359.2306946041</v>
      </c>
      <c r="I716" s="231">
        <f>I629</f>
        <v>1479377.5581645658</v>
      </c>
      <c r="J716" s="231">
        <f>J630</f>
        <v>380184.28795260785</v>
      </c>
      <c r="K716" s="231">
        <f>K644</f>
        <v>8364941.0336035555</v>
      </c>
      <c r="L716" s="231">
        <f>L647</f>
        <v>963522.46238692035</v>
      </c>
      <c r="M716" s="231">
        <f>C648</f>
        <v>19482030.960000001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30F04B3-48C9-4301-A626-C1BECA31FDD7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EvergreenHealth Monroe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8775225.1899999995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34246521.039999999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23154977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119872.53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517354.05000000005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528854.19999999995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935497.19000000018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305783.73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22274130.929999996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213897.69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213897.69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1878609.67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1233751.07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39057969.619999997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22535113.439999998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1199417.78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45042052.259999998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20862809.32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6718382.2199999997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6718382.2199999997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50069220.159999996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EvergreenHealth Monroe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1459489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3559019.5980000002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2113874.5199999996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505463.01999999996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2319655.6819999996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515922.5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10473424.319999998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6620220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6620220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26317998.600000001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26317998.600000001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26317998.600000001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12715455.899999976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-6057878.9399999995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6657576.9599999767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50069220.159999996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EvergreenHealth Monroe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32063998.169999994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119623336.86999999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151687335.03999999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7276802.21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94634438.440000013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1042617.58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1789328.49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104743186.72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46944148.319999993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43247.96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-72925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4551.8900000000003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825544.89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161413.18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480324.58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1442157.5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48386305.819999993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27162885.520000003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4466986.62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1954792.2799999998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5688049.5200000005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618643.66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7663565.0199999996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2867196.16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405589.7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456980.42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331269.95999999996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213547.35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51829506.210000008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-3443200.3900000155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4442470.12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999269.72999998461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999269.72999998461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EvergreenHealth Monroe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363</v>
      </c>
      <c r="E9" s="287">
        <f>data!E59</f>
        <v>2833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6319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-0.03</v>
      </c>
      <c r="D10" s="294">
        <f>data!D60</f>
        <v>3.85</v>
      </c>
      <c r="E10" s="294">
        <f>data!E60</f>
        <v>23.5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27.23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25000</v>
      </c>
      <c r="D11" s="287">
        <f>data!D61</f>
        <v>808960.28</v>
      </c>
      <c r="E11" s="287">
        <f>data!E61</f>
        <v>3104882.95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2759715.79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1917</v>
      </c>
      <c r="D12" s="287">
        <f>data!D62</f>
        <v>66035</v>
      </c>
      <c r="E12" s="287">
        <f>data!E62</f>
        <v>352833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520271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7000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3925.26</v>
      </c>
      <c r="E14" s="287">
        <f>data!E64</f>
        <v>232898.53</v>
      </c>
      <c r="F14" s="287">
        <f>data!F64</f>
        <v>0</v>
      </c>
      <c r="G14" s="287">
        <f>data!G64</f>
        <v>4.45</v>
      </c>
      <c r="H14" s="287">
        <f>data!H64</f>
        <v>0</v>
      </c>
      <c r="I14" s="287">
        <f>data!I64</f>
        <v>183763.65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53944.41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25533.68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2723.95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39454</v>
      </c>
      <c r="D17" s="287">
        <f>data!D67</f>
        <v>0</v>
      </c>
      <c r="E17" s="287">
        <f>data!E67</f>
        <v>223643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403036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722.57</v>
      </c>
      <c r="E18" s="287">
        <f>data!E68</f>
        <v>23282.27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1375</v>
      </c>
      <c r="E19" s="287">
        <f>data!E69</f>
        <v>315.49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24542.11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66371</v>
      </c>
      <c r="D21" s="287">
        <f>data!D85</f>
        <v>881018.11</v>
      </c>
      <c r="E21" s="287">
        <f>data!E85</f>
        <v>3963388.9200000004</v>
      </c>
      <c r="F21" s="287">
        <f>data!F85</f>
        <v>0</v>
      </c>
      <c r="G21" s="287">
        <f>data!G85</f>
        <v>4.45</v>
      </c>
      <c r="H21" s="287">
        <f>data!H85</f>
        <v>0</v>
      </c>
      <c r="I21" s="287">
        <f>data!I85</f>
        <v>3954996.91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108105</v>
      </c>
      <c r="D23" s="295">
        <f>+data!M669</f>
        <v>330763</v>
      </c>
      <c r="E23" s="295">
        <f>+data!M670</f>
        <v>2285950</v>
      </c>
      <c r="F23" s="295">
        <f>+data!M671</f>
        <v>0</v>
      </c>
      <c r="G23" s="295">
        <f>+data!M672</f>
        <v>1</v>
      </c>
      <c r="H23" s="295">
        <f>+data!M673</f>
        <v>0</v>
      </c>
      <c r="I23" s="295">
        <f>+data!M674</f>
        <v>1664095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-3454.56</v>
      </c>
      <c r="D24" s="287">
        <f>data!D87</f>
        <v>1016994</v>
      </c>
      <c r="E24" s="287">
        <f>data!E87</f>
        <v>5864775.9299999997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6138244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-7081.85</v>
      </c>
      <c r="D25" s="287">
        <f>data!D88</f>
        <v>9672</v>
      </c>
      <c r="E25" s="287">
        <f>data!E88</f>
        <v>1672359.34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659306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-10536.41</v>
      </c>
      <c r="D26" s="287">
        <f>data!D89</f>
        <v>1026666</v>
      </c>
      <c r="E26" s="287">
        <f>data!E89</f>
        <v>7537135.2699999996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6797550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2200</v>
      </c>
      <c r="D28" s="287">
        <f>data!D90</f>
        <v>0</v>
      </c>
      <c r="E28" s="287">
        <f>data!E90</f>
        <v>11120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1134</v>
      </c>
      <c r="E29" s="287">
        <f>data!E91</f>
        <v>11195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17483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922.94753206189966</v>
      </c>
      <c r="E30" s="287">
        <f>data!E92</f>
        <v>3871.717547678767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6542.9476976953292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5611.1</v>
      </c>
      <c r="E31" s="287">
        <f>data!E93</f>
        <v>81512.06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10088.25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-0.03</v>
      </c>
      <c r="D32" s="294">
        <f>data!D94</f>
        <v>3.85</v>
      </c>
      <c r="E32" s="294">
        <f>data!E94</f>
        <v>14.21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8.7100000000000009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EvergreenHealth Monroe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79658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1.83</v>
      </c>
      <c r="H42" s="294">
        <f>data!O60</f>
        <v>0</v>
      </c>
      <c r="I42" s="294">
        <f>data!P60</f>
        <v>8.5500000000000007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1789590.8</v>
      </c>
      <c r="H43" s="287">
        <f>data!O61</f>
        <v>0</v>
      </c>
      <c r="I43" s="287">
        <f>data!P61</f>
        <v>967166.44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240435</v>
      </c>
      <c r="H44" s="287">
        <f>data!O62</f>
        <v>0</v>
      </c>
      <c r="I44" s="287">
        <f>data!P62</f>
        <v>162993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22000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1910976.9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144.99</v>
      </c>
      <c r="H48" s="287">
        <f>data!O66</f>
        <v>0</v>
      </c>
      <c r="I48" s="287">
        <f>data!P66</f>
        <v>110393.63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99668</v>
      </c>
      <c r="I49" s="287">
        <f>data!P67</f>
        <v>100827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7143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2059313.79</v>
      </c>
      <c r="H53" s="287">
        <f>data!O85</f>
        <v>99668</v>
      </c>
      <c r="I53" s="287">
        <f>data!P85</f>
        <v>3252356.9699999997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347300</v>
      </c>
      <c r="H55" s="295">
        <f>+data!M680</f>
        <v>290936</v>
      </c>
      <c r="I55" s="295">
        <f>+data!M681</f>
        <v>2085596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228443.06</v>
      </c>
      <c r="H56" s="287">
        <f>data!O87</f>
        <v>0</v>
      </c>
      <c r="I56" s="287">
        <f>data!P87</f>
        <v>4038413.24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1139828.96</v>
      </c>
      <c r="H57" s="287">
        <f>data!O88</f>
        <v>0</v>
      </c>
      <c r="I57" s="287">
        <f>data!P88</f>
        <v>13144959.779999999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1368272.02</v>
      </c>
      <c r="H58" s="287">
        <f>data!O89</f>
        <v>0</v>
      </c>
      <c r="I58" s="287">
        <f>data!P89</f>
        <v>17183373.02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6045</v>
      </c>
      <c r="I60" s="287">
        <f>data!P90</f>
        <v>5422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2274.9527566135062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42201.82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4.4800000000000004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EvergreenHealth Monroe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132176</v>
      </c>
      <c r="H73" s="287">
        <f>data!V59</f>
        <v>4126</v>
      </c>
      <c r="I73" s="287">
        <f>data!W59</f>
        <v>1310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2.77</v>
      </c>
      <c r="D74" s="294">
        <f>data!R60</f>
        <v>0</v>
      </c>
      <c r="E74" s="294">
        <f>data!S60</f>
        <v>1.87</v>
      </c>
      <c r="F74" s="294">
        <f>data!T60</f>
        <v>0</v>
      </c>
      <c r="G74" s="294">
        <f>data!U60</f>
        <v>14.67</v>
      </c>
      <c r="H74" s="294">
        <f>data!V60</f>
        <v>0</v>
      </c>
      <c r="I74" s="294">
        <f>data!W60</f>
        <v>2.27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578719.52</v>
      </c>
      <c r="D75" s="287">
        <f>data!R61</f>
        <v>0</v>
      </c>
      <c r="E75" s="287">
        <f>data!S61</f>
        <v>139918.68</v>
      </c>
      <c r="F75" s="287">
        <f>data!T61</f>
        <v>0</v>
      </c>
      <c r="G75" s="287">
        <f>data!U61</f>
        <v>1031940.83</v>
      </c>
      <c r="H75" s="287">
        <f>data!V61</f>
        <v>0</v>
      </c>
      <c r="I75" s="287">
        <f>data!W61</f>
        <v>321942.15999999997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58051</v>
      </c>
      <c r="D76" s="287">
        <f>data!R62</f>
        <v>0</v>
      </c>
      <c r="E76" s="287">
        <f>data!S62</f>
        <v>34215</v>
      </c>
      <c r="F76" s="287">
        <f>data!T62</f>
        <v>0</v>
      </c>
      <c r="G76" s="287">
        <f>data!U62</f>
        <v>226279</v>
      </c>
      <c r="H76" s="287">
        <f>data!V62</f>
        <v>0</v>
      </c>
      <c r="I76" s="287">
        <f>data!W62</f>
        <v>48663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9967.65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10774.32</v>
      </c>
      <c r="D78" s="287">
        <f>data!R64</f>
        <v>40454.51</v>
      </c>
      <c r="E78" s="287">
        <f>data!S64</f>
        <v>158139.46</v>
      </c>
      <c r="F78" s="287">
        <f>data!T64</f>
        <v>0</v>
      </c>
      <c r="G78" s="287">
        <f>data!U64</f>
        <v>961848.38</v>
      </c>
      <c r="H78" s="287">
        <f>data!V64</f>
        <v>0</v>
      </c>
      <c r="I78" s="287">
        <f>data!W64</f>
        <v>8731.64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513000</v>
      </c>
      <c r="E80" s="287">
        <f>data!S66</f>
        <v>374.46</v>
      </c>
      <c r="F80" s="287">
        <f>data!T66</f>
        <v>0</v>
      </c>
      <c r="G80" s="287">
        <f>data!U66</f>
        <v>713319.94</v>
      </c>
      <c r="H80" s="287">
        <f>data!V66</f>
        <v>0</v>
      </c>
      <c r="I80" s="287">
        <f>data!W66</f>
        <v>106118.94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9893</v>
      </c>
      <c r="D81" s="287">
        <f>data!R67</f>
        <v>3001</v>
      </c>
      <c r="E81" s="287">
        <f>data!S67</f>
        <v>0</v>
      </c>
      <c r="F81" s="287">
        <f>data!T67</f>
        <v>0</v>
      </c>
      <c r="G81" s="287">
        <f>data!U67</f>
        <v>37995</v>
      </c>
      <c r="H81" s="287">
        <f>data!V67</f>
        <v>0</v>
      </c>
      <c r="I81" s="287">
        <f>data!W67</f>
        <v>235097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19.989999999999998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5436.66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657457.82999999996</v>
      </c>
      <c r="D85" s="287">
        <f>data!R85</f>
        <v>556455.51</v>
      </c>
      <c r="E85" s="287">
        <f>data!S85</f>
        <v>332647.60000000003</v>
      </c>
      <c r="F85" s="287">
        <f>data!T85</f>
        <v>0</v>
      </c>
      <c r="G85" s="287">
        <f>data!U85</f>
        <v>2986787.46</v>
      </c>
      <c r="H85" s="287">
        <f>data!V85</f>
        <v>0</v>
      </c>
      <c r="I85" s="287">
        <f>data!W85</f>
        <v>720552.74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302050</v>
      </c>
      <c r="D87" s="295">
        <f>+data!M683</f>
        <v>185659</v>
      </c>
      <c r="E87" s="295">
        <f>+data!M684</f>
        <v>72055</v>
      </c>
      <c r="F87" s="295">
        <f>+data!M685</f>
        <v>0</v>
      </c>
      <c r="G87" s="295">
        <f>+data!M686</f>
        <v>1450287</v>
      </c>
      <c r="H87" s="295">
        <f>+data!M687</f>
        <v>73972</v>
      </c>
      <c r="I87" s="295">
        <f>+data!M688</f>
        <v>421525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387094.31</v>
      </c>
      <c r="D88" s="287">
        <f>data!R87</f>
        <v>483436.4</v>
      </c>
      <c r="E88" s="287">
        <f>data!S87</f>
        <v>0</v>
      </c>
      <c r="F88" s="287">
        <f>data!T87</f>
        <v>0</v>
      </c>
      <c r="G88" s="287">
        <f>data!U87</f>
        <v>2476564.7799999998</v>
      </c>
      <c r="H88" s="287">
        <f>data!V87</f>
        <v>137871.87</v>
      </c>
      <c r="I88" s="287">
        <f>data!W87</f>
        <v>344631.54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1443845.27</v>
      </c>
      <c r="D89" s="287">
        <f>data!R88</f>
        <v>1385634.83</v>
      </c>
      <c r="E89" s="287">
        <f>data!S88</f>
        <v>0</v>
      </c>
      <c r="F89" s="287">
        <f>data!T88</f>
        <v>0</v>
      </c>
      <c r="G89" s="287">
        <f>data!U88</f>
        <v>11523591.779999999</v>
      </c>
      <c r="H89" s="287">
        <f>data!V88</f>
        <v>1203508.05</v>
      </c>
      <c r="I89" s="287">
        <f>data!W88</f>
        <v>4447736.32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1830939.58</v>
      </c>
      <c r="D90" s="287">
        <f>data!R89</f>
        <v>1869071.23</v>
      </c>
      <c r="E90" s="287">
        <f>data!S89</f>
        <v>0</v>
      </c>
      <c r="F90" s="287">
        <f>data!T89</f>
        <v>0</v>
      </c>
      <c r="G90" s="287">
        <f>data!U89</f>
        <v>14000156.559999999</v>
      </c>
      <c r="H90" s="287">
        <f>data!V89</f>
        <v>1341379.92</v>
      </c>
      <c r="I90" s="287">
        <f>data!W89</f>
        <v>4792367.8600000003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600</v>
      </c>
      <c r="D92" s="287">
        <f>data!R90</f>
        <v>182</v>
      </c>
      <c r="E92" s="287">
        <f>data!S90</f>
        <v>0</v>
      </c>
      <c r="F92" s="287">
        <f>data!T90</f>
        <v>0</v>
      </c>
      <c r="G92" s="287">
        <f>data!U90</f>
        <v>1280</v>
      </c>
      <c r="H92" s="287">
        <f>data!V90</f>
        <v>0</v>
      </c>
      <c r="I92" s="287">
        <f>data!W90</f>
        <v>726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252.04407742179734</v>
      </c>
      <c r="D94" s="287">
        <f>data!R92</f>
        <v>76.487364535516562</v>
      </c>
      <c r="E94" s="287">
        <f>data!S92</f>
        <v>0</v>
      </c>
      <c r="F94" s="287">
        <f>data!T92</f>
        <v>0</v>
      </c>
      <c r="G94" s="287">
        <f>data!U92</f>
        <v>537.59690502105911</v>
      </c>
      <c r="H94" s="287">
        <f>data!V92</f>
        <v>0</v>
      </c>
      <c r="I94" s="287">
        <f>data!W92</f>
        <v>201.05250106478633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2.79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0.02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EvergreenHealth Monroe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8243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3399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7.6</v>
      </c>
      <c r="D106" s="294">
        <f>data!Y60</f>
        <v>6.09</v>
      </c>
      <c r="E106" s="294">
        <f>data!Z60</f>
        <v>0</v>
      </c>
      <c r="F106" s="294">
        <f>data!AA60</f>
        <v>0</v>
      </c>
      <c r="G106" s="294">
        <f>data!AB60</f>
        <v>4.92</v>
      </c>
      <c r="H106" s="294">
        <f>data!AC60</f>
        <v>4.3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878170.41</v>
      </c>
      <c r="D107" s="287">
        <f>data!Y61</f>
        <v>722567.05</v>
      </c>
      <c r="E107" s="287">
        <f>data!Z61</f>
        <v>0</v>
      </c>
      <c r="F107" s="287">
        <f>data!AA61</f>
        <v>0</v>
      </c>
      <c r="G107" s="287">
        <f>data!AB61</f>
        <v>614374.89</v>
      </c>
      <c r="H107" s="287">
        <f>data!AC61</f>
        <v>925720.45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143426</v>
      </c>
      <c r="D108" s="287">
        <f>data!Y62</f>
        <v>111540</v>
      </c>
      <c r="E108" s="287">
        <f>data!Z62</f>
        <v>0</v>
      </c>
      <c r="F108" s="287">
        <f>data!AA62</f>
        <v>0</v>
      </c>
      <c r="G108" s="287">
        <f>data!AB62</f>
        <v>137703</v>
      </c>
      <c r="H108" s="287">
        <f>data!AC62</f>
        <v>28476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3035.82</v>
      </c>
      <c r="D110" s="287">
        <f>data!Y64</f>
        <v>95265.86</v>
      </c>
      <c r="E110" s="287">
        <f>data!Z64</f>
        <v>0</v>
      </c>
      <c r="F110" s="287">
        <f>data!AA64</f>
        <v>0</v>
      </c>
      <c r="G110" s="287">
        <f>data!AB64</f>
        <v>721971.9</v>
      </c>
      <c r="H110" s="287">
        <f>data!AC64</f>
        <v>25496.73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80955.06</v>
      </c>
      <c r="D112" s="287">
        <f>data!Y66</f>
        <v>194128.33</v>
      </c>
      <c r="E112" s="287">
        <f>data!Z66</f>
        <v>0</v>
      </c>
      <c r="F112" s="287">
        <f>data!AA66</f>
        <v>0</v>
      </c>
      <c r="G112" s="287">
        <f>data!AB66</f>
        <v>121058.41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90203</v>
      </c>
      <c r="D113" s="287">
        <f>data!Y67</f>
        <v>87506</v>
      </c>
      <c r="E113" s="287">
        <f>data!Z67</f>
        <v>0</v>
      </c>
      <c r="F113" s="287">
        <f>data!AA67</f>
        <v>7040</v>
      </c>
      <c r="G113" s="287">
        <f>data!AB67</f>
        <v>13371</v>
      </c>
      <c r="H113" s="287">
        <f>data!AC67</f>
        <v>15794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144773.66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149.85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2534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1195940.1400000001</v>
      </c>
      <c r="D117" s="287">
        <f>data!Y85</f>
        <v>1211007.24</v>
      </c>
      <c r="E117" s="287">
        <f>data!Z85</f>
        <v>0</v>
      </c>
      <c r="F117" s="287">
        <f>data!AA85</f>
        <v>7040</v>
      </c>
      <c r="G117" s="287">
        <f>data!AB85</f>
        <v>1755786.8599999999</v>
      </c>
      <c r="H117" s="287">
        <f>data!AC85</f>
        <v>995487.17999999993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1668591</v>
      </c>
      <c r="D119" s="295">
        <f>+data!M690</f>
        <v>919602</v>
      </c>
      <c r="E119" s="295">
        <f>+data!M691</f>
        <v>0</v>
      </c>
      <c r="F119" s="295">
        <f>+data!M692</f>
        <v>28921</v>
      </c>
      <c r="G119" s="295">
        <f>+data!M693</f>
        <v>717227</v>
      </c>
      <c r="H119" s="295">
        <f>+data!M694</f>
        <v>277407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2894278.58</v>
      </c>
      <c r="D120" s="287">
        <f>data!Y87</f>
        <v>888106.04</v>
      </c>
      <c r="E120" s="287">
        <f>data!Z87</f>
        <v>0</v>
      </c>
      <c r="F120" s="287">
        <f>data!AA87</f>
        <v>0</v>
      </c>
      <c r="G120" s="287">
        <f>data!AB87</f>
        <v>2984414.34</v>
      </c>
      <c r="H120" s="287">
        <f>data!AC87</f>
        <v>662836.36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22547132.399999999</v>
      </c>
      <c r="D121" s="287">
        <f>data!Y88</f>
        <v>7825039.3499999996</v>
      </c>
      <c r="E121" s="287">
        <f>data!Z88</f>
        <v>0</v>
      </c>
      <c r="F121" s="287">
        <f>data!AA88</f>
        <v>-4367.78</v>
      </c>
      <c r="G121" s="287">
        <f>data!AB88</f>
        <v>3298289.64</v>
      </c>
      <c r="H121" s="287">
        <f>data!AC88</f>
        <v>322772.77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25441410.979999997</v>
      </c>
      <c r="D122" s="287">
        <f>data!Y89</f>
        <v>8713145.3900000006</v>
      </c>
      <c r="E122" s="287">
        <f>data!Z89</f>
        <v>0</v>
      </c>
      <c r="F122" s="287">
        <f>data!AA89</f>
        <v>-4367.78</v>
      </c>
      <c r="G122" s="287">
        <f>data!AB89</f>
        <v>6282703.9800000004</v>
      </c>
      <c r="H122" s="287">
        <f>data!AC89</f>
        <v>985609.13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554</v>
      </c>
      <c r="D124" s="287">
        <f>data!Y90</f>
        <v>3578</v>
      </c>
      <c r="E124" s="287">
        <f>data!Z90</f>
        <v>0</v>
      </c>
      <c r="F124" s="287">
        <f>data!AA90</f>
        <v>427</v>
      </c>
      <c r="G124" s="287">
        <f>data!AB90</f>
        <v>811</v>
      </c>
      <c r="H124" s="287">
        <f>data!AC90</f>
        <v>765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169.00065306895087</v>
      </c>
      <c r="D126" s="287">
        <f>data!Y92</f>
        <v>1068.6377502247881</v>
      </c>
      <c r="E126" s="287">
        <f>data!Z92</f>
        <v>0</v>
      </c>
      <c r="F126" s="287">
        <f>data!AA92</f>
        <v>179.19896834035302</v>
      </c>
      <c r="G126" s="287">
        <f>data!AB92</f>
        <v>340.18665941034499</v>
      </c>
      <c r="H126" s="287">
        <f>data!AC92</f>
        <v>320.51847995835504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0.04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EvergreenHealth Monroe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13723</v>
      </c>
      <c r="D137" s="287">
        <f>data!AF59</f>
        <v>0</v>
      </c>
      <c r="E137" s="287">
        <f>data!AG59</f>
        <v>18498</v>
      </c>
      <c r="F137" s="287">
        <f>data!AH59</f>
        <v>0</v>
      </c>
      <c r="G137" s="287">
        <f>data!AI59</f>
        <v>0</v>
      </c>
      <c r="H137" s="287">
        <f>data!AJ59</f>
        <v>692</v>
      </c>
      <c r="I137" s="287">
        <f>data!AK59</f>
        <v>3186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5.92</v>
      </c>
      <c r="D138" s="294">
        <f>data!AF60</f>
        <v>0</v>
      </c>
      <c r="E138" s="294">
        <f>data!AG60</f>
        <v>26.62</v>
      </c>
      <c r="F138" s="294">
        <f>data!AH60</f>
        <v>0</v>
      </c>
      <c r="G138" s="294">
        <f>data!AI60</f>
        <v>0</v>
      </c>
      <c r="H138" s="294">
        <f>data!AJ60</f>
        <v>7.34</v>
      </c>
      <c r="I138" s="294">
        <f>data!AK60</f>
        <v>1.19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502313.35</v>
      </c>
      <c r="D139" s="287">
        <f>data!AF61</f>
        <v>0</v>
      </c>
      <c r="E139" s="287">
        <f>data!AG61</f>
        <v>3185356.2</v>
      </c>
      <c r="F139" s="287">
        <f>data!AH61</f>
        <v>0</v>
      </c>
      <c r="G139" s="287">
        <f>data!AI61</f>
        <v>0</v>
      </c>
      <c r="H139" s="287">
        <f>data!AJ61</f>
        <v>980610.79</v>
      </c>
      <c r="I139" s="287">
        <f>data!AK61</f>
        <v>142417.60000000001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120560</v>
      </c>
      <c r="D140" s="287">
        <f>data!AF62</f>
        <v>0</v>
      </c>
      <c r="E140" s="287">
        <f>data!AG62</f>
        <v>440719</v>
      </c>
      <c r="F140" s="287">
        <f>data!AH62</f>
        <v>0</v>
      </c>
      <c r="G140" s="287">
        <f>data!AI62</f>
        <v>0</v>
      </c>
      <c r="H140" s="287">
        <f>data!AJ62</f>
        <v>172240</v>
      </c>
      <c r="I140" s="287">
        <f>data!AK62</f>
        <v>36311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729828.92</v>
      </c>
      <c r="F141" s="287">
        <f>data!AH63</f>
        <v>0</v>
      </c>
      <c r="G141" s="287">
        <f>data!AI63</f>
        <v>0</v>
      </c>
      <c r="H141" s="287">
        <f>data!AJ63</f>
        <v>3020.79</v>
      </c>
      <c r="I141" s="287">
        <f>data!AK63</f>
        <v>2177.3000000000002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13340.94</v>
      </c>
      <c r="D142" s="287">
        <f>data!AF64</f>
        <v>0</v>
      </c>
      <c r="E142" s="287">
        <f>data!AG64</f>
        <v>509871.13</v>
      </c>
      <c r="F142" s="287">
        <f>data!AH64</f>
        <v>0</v>
      </c>
      <c r="G142" s="287">
        <f>data!AI64</f>
        <v>0</v>
      </c>
      <c r="H142" s="287">
        <f>data!AJ64</f>
        <v>215733.56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21323.94</v>
      </c>
      <c r="F144" s="287">
        <f>data!AH66</f>
        <v>0</v>
      </c>
      <c r="G144" s="287">
        <f>data!AI66</f>
        <v>0</v>
      </c>
      <c r="H144" s="287">
        <f>data!AJ66</f>
        <v>216507.57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77795</v>
      </c>
      <c r="D145" s="287">
        <f>data!AF67</f>
        <v>0</v>
      </c>
      <c r="E145" s="287">
        <f>data!AG67</f>
        <v>135575</v>
      </c>
      <c r="F145" s="287">
        <f>data!AH67</f>
        <v>0</v>
      </c>
      <c r="G145" s="287">
        <f>data!AI67</f>
        <v>0</v>
      </c>
      <c r="H145" s="287">
        <f>data!AJ67</f>
        <v>142007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1557.64</v>
      </c>
      <c r="D147" s="287">
        <f>data!AF69</f>
        <v>0</v>
      </c>
      <c r="E147" s="287">
        <f>data!AG69</f>
        <v>843.57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715566.92999999993</v>
      </c>
      <c r="D149" s="287">
        <f>data!AF85</f>
        <v>0</v>
      </c>
      <c r="E149" s="287">
        <f>data!AG85</f>
        <v>5023517.7600000007</v>
      </c>
      <c r="F149" s="287">
        <f>data!AH85</f>
        <v>0</v>
      </c>
      <c r="G149" s="287">
        <f>data!AI85</f>
        <v>0</v>
      </c>
      <c r="H149" s="287">
        <f>data!AJ85</f>
        <v>1730119.7100000002</v>
      </c>
      <c r="I149" s="287">
        <f>data!AK85</f>
        <v>180905.9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320357</v>
      </c>
      <c r="D151" s="295">
        <f>+data!M697</f>
        <v>0</v>
      </c>
      <c r="E151" s="295">
        <f>+data!M698</f>
        <v>4250496</v>
      </c>
      <c r="F151" s="295">
        <f>+data!M699</f>
        <v>0</v>
      </c>
      <c r="G151" s="295">
        <f>+data!M700</f>
        <v>12112</v>
      </c>
      <c r="H151" s="295">
        <f>+data!M701</f>
        <v>1092291</v>
      </c>
      <c r="I151" s="295">
        <f>+data!M702</f>
        <v>70593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303591.65000000002</v>
      </c>
      <c r="D152" s="287">
        <f>data!AF87</f>
        <v>0</v>
      </c>
      <c r="E152" s="287">
        <f>data!AG87</f>
        <v>3195898.98</v>
      </c>
      <c r="F152" s="287">
        <f>data!AH87</f>
        <v>0</v>
      </c>
      <c r="G152" s="287">
        <f>data!AI87</f>
        <v>0</v>
      </c>
      <c r="H152" s="287">
        <f>data!AJ87</f>
        <v>21857.65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2166204.0499999998</v>
      </c>
      <c r="D153" s="287">
        <f>data!AF88</f>
        <v>0</v>
      </c>
      <c r="E153" s="287">
        <f>data!AG88</f>
        <v>40003365.219999999</v>
      </c>
      <c r="F153" s="287">
        <f>data!AH88</f>
        <v>0</v>
      </c>
      <c r="G153" s="287">
        <f>data!AI88</f>
        <v>0</v>
      </c>
      <c r="H153" s="287">
        <f>data!AJ88</f>
        <v>6088167.2800000003</v>
      </c>
      <c r="I153" s="287">
        <f>data!AK88</f>
        <v>636191.46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2469795.6999999997</v>
      </c>
      <c r="D154" s="287">
        <f>data!AF89</f>
        <v>0</v>
      </c>
      <c r="E154" s="287">
        <f>data!AG89</f>
        <v>43199264.199999996</v>
      </c>
      <c r="F154" s="287">
        <f>data!AH89</f>
        <v>0</v>
      </c>
      <c r="G154" s="287">
        <f>data!AI89</f>
        <v>0</v>
      </c>
      <c r="H154" s="287">
        <f>data!AJ89</f>
        <v>6110024.9300000006</v>
      </c>
      <c r="I154" s="287">
        <f>data!AK89</f>
        <v>636191.46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260</v>
      </c>
      <c r="D156" s="287">
        <f>data!AF90</f>
        <v>0</v>
      </c>
      <c r="E156" s="287">
        <f>data!AG90</f>
        <v>7800</v>
      </c>
      <c r="F156" s="287">
        <f>data!AH90</f>
        <v>0</v>
      </c>
      <c r="G156" s="287">
        <f>data!AI90</f>
        <v>0</v>
      </c>
      <c r="H156" s="287">
        <f>data!AJ90</f>
        <v>8420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895</v>
      </c>
      <c r="F157" s="287">
        <f>data!AH91</f>
        <v>0</v>
      </c>
      <c r="G157" s="287">
        <f>data!AI91</f>
        <v>0</v>
      </c>
      <c r="H157" s="287">
        <f>data!AJ91</f>
        <v>1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108.53921253135206</v>
      </c>
      <c r="D158" s="287">
        <f>data!AF92</f>
        <v>0</v>
      </c>
      <c r="E158" s="287">
        <f>data!AG92</f>
        <v>3273.6592021201086</v>
      </c>
      <c r="F158" s="287">
        <f>data!AH92</f>
        <v>0</v>
      </c>
      <c r="G158" s="287">
        <f>data!AI92</f>
        <v>252.04407742179734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6181.15</v>
      </c>
      <c r="D159" s="287">
        <f>data!AF93</f>
        <v>0</v>
      </c>
      <c r="E159" s="287">
        <f>data!AG93</f>
        <v>51605.62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17.32</v>
      </c>
      <c r="F160" s="294">
        <f>data!AH94</f>
        <v>0</v>
      </c>
      <c r="G160" s="294">
        <f>data!AI94</f>
        <v>0</v>
      </c>
      <c r="H160" s="294">
        <f>data!AJ94</f>
        <v>3.35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EvergreenHealth Monroe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934.46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150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934.46</v>
      </c>
      <c r="H181" s="287">
        <f>data!AQ85</f>
        <v>0</v>
      </c>
      <c r="I181" s="287">
        <f>data!AR85</f>
        <v>150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175</v>
      </c>
      <c r="H183" s="295">
        <f>+data!M708</f>
        <v>0</v>
      </c>
      <c r="I183" s="295">
        <f>+data!M709</f>
        <v>18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EvergreenHealth Monroe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0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0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0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100446.85</v>
      </c>
      <c r="I208" s="287">
        <f>data!AY66</f>
        <v>0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2780.73</v>
      </c>
      <c r="I211" s="287">
        <f>data!AY69</f>
        <v>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103227.58</v>
      </c>
      <c r="I213" s="287">
        <f>data!AY85</f>
        <v>0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505947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117182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117182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10394.268614831293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EvergreenHealth Monroe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30708</v>
      </c>
      <c r="D233" s="287">
        <f>data!BA59</f>
        <v>0</v>
      </c>
      <c r="E233" s="299"/>
      <c r="F233" s="299"/>
      <c r="G233" s="299"/>
      <c r="H233" s="287">
        <f>data!BE59</f>
        <v>83637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11.64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1.95</v>
      </c>
      <c r="H234" s="294">
        <f>data!BE60</f>
        <v>5.7</v>
      </c>
      <c r="I234" s="294">
        <f>data!BF60</f>
        <v>14.87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629609.92000000004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108139.08</v>
      </c>
      <c r="H235" s="287">
        <f>data!BE61</f>
        <v>477045.96</v>
      </c>
      <c r="I235" s="287">
        <f>data!BF61</f>
        <v>770196.72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150282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24511</v>
      </c>
      <c r="H236" s="287">
        <f>data!BE62</f>
        <v>75483</v>
      </c>
      <c r="I236" s="287">
        <f>data!BF62</f>
        <v>208931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103723.36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221019.63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535.48</v>
      </c>
      <c r="H238" s="287">
        <f>data!BE64</f>
        <v>140947.68</v>
      </c>
      <c r="I238" s="287">
        <f>data!BF64</f>
        <v>77346.740000000005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463996.08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6708.69</v>
      </c>
      <c r="D240" s="287">
        <f>data!BA66</f>
        <v>315069.90000000002</v>
      </c>
      <c r="E240" s="287">
        <f>data!BB66</f>
        <v>0</v>
      </c>
      <c r="F240" s="287">
        <f>data!BC66</f>
        <v>0</v>
      </c>
      <c r="G240" s="287">
        <f>data!BD66</f>
        <v>4824.62</v>
      </c>
      <c r="H240" s="287">
        <f>data!BE66</f>
        <v>574642.53</v>
      </c>
      <c r="I240" s="287">
        <f>data!BF66</f>
        <v>85655.42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73139</v>
      </c>
      <c r="D241" s="287">
        <f>data!BA67</f>
        <v>6809</v>
      </c>
      <c r="E241" s="287">
        <f>data!BB67</f>
        <v>0</v>
      </c>
      <c r="F241" s="287">
        <f>data!BC67</f>
        <v>0</v>
      </c>
      <c r="G241" s="287">
        <f>data!BD67</f>
        <v>53090</v>
      </c>
      <c r="H241" s="287">
        <f>data!BE67</f>
        <v>497547</v>
      </c>
      <c r="I241" s="287">
        <f>data!BF67</f>
        <v>6348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5583.16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891.53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1184482.6000000001</v>
      </c>
      <c r="D245" s="287">
        <f>data!BA85</f>
        <v>321878.90000000002</v>
      </c>
      <c r="E245" s="287">
        <f>data!BB85</f>
        <v>0</v>
      </c>
      <c r="F245" s="287">
        <f>data!BC85</f>
        <v>0</v>
      </c>
      <c r="G245" s="287">
        <f>data!BD85</f>
        <v>191100.18000000002</v>
      </c>
      <c r="H245" s="287">
        <f>data!BE85</f>
        <v>2236136.94</v>
      </c>
      <c r="I245" s="287">
        <f>data!BF85</f>
        <v>1148477.8799999999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4436</v>
      </c>
      <c r="D252" s="303">
        <f>data!BA90</f>
        <v>413</v>
      </c>
      <c r="E252" s="303">
        <f>data!BB90</f>
        <v>0</v>
      </c>
      <c r="F252" s="303">
        <f>data!BC90</f>
        <v>0</v>
      </c>
      <c r="G252" s="303">
        <f>data!BD90</f>
        <v>3220</v>
      </c>
      <c r="H252" s="303">
        <f>data!BE90</f>
        <v>10476</v>
      </c>
      <c r="I252" s="303">
        <f>data!BF90</f>
        <v>385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EvergreenHealth Monroe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5.77</v>
      </c>
      <c r="E266" s="294">
        <f>data!BI60</f>
        <v>0.17</v>
      </c>
      <c r="F266" s="294">
        <f>data!BJ60</f>
        <v>2.61</v>
      </c>
      <c r="G266" s="294">
        <f>data!BK60</f>
        <v>5.78</v>
      </c>
      <c r="H266" s="294">
        <f>data!BL60</f>
        <v>11.55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869647.37</v>
      </c>
      <c r="E267" s="287">
        <f>data!BI61</f>
        <v>14089.69</v>
      </c>
      <c r="F267" s="287">
        <f>data!BJ61</f>
        <v>256343.89</v>
      </c>
      <c r="G267" s="287">
        <f>data!BK61</f>
        <v>340440.1</v>
      </c>
      <c r="H267" s="287">
        <f>data!BL61</f>
        <v>681493.41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65328</v>
      </c>
      <c r="E268" s="287">
        <f>data!BI62</f>
        <v>1070</v>
      </c>
      <c r="F268" s="287">
        <f>data!BJ62</f>
        <v>23070</v>
      </c>
      <c r="G268" s="287">
        <f>data!BK62</f>
        <v>81307</v>
      </c>
      <c r="H268" s="287">
        <f>data!BL62</f>
        <v>128370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1803</v>
      </c>
      <c r="E269" s="287">
        <f>data!BI63</f>
        <v>25985.75</v>
      </c>
      <c r="F269" s="287">
        <f>data!BJ63</f>
        <v>97619.35</v>
      </c>
      <c r="G269" s="287">
        <f>data!BK63</f>
        <v>-18257.55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2834.51</v>
      </c>
      <c r="D270" s="287">
        <f>data!BH64</f>
        <v>103567.67</v>
      </c>
      <c r="E270" s="287">
        <f>data!BI64</f>
        <v>10405.14</v>
      </c>
      <c r="F270" s="287">
        <f>data!BJ64</f>
        <v>1768.46</v>
      </c>
      <c r="G270" s="287">
        <f>data!BK64</f>
        <v>1470.03</v>
      </c>
      <c r="H270" s="287">
        <f>data!BL64</f>
        <v>14694.39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89068.6</v>
      </c>
      <c r="D271" s="287">
        <f>data!BH65</f>
        <v>11634.57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19044.72</v>
      </c>
      <c r="D272" s="287">
        <f>data!BH66</f>
        <v>1570692.25</v>
      </c>
      <c r="E272" s="287">
        <f>data!BI66</f>
        <v>2000</v>
      </c>
      <c r="F272" s="287">
        <f>data!BJ66</f>
        <v>0</v>
      </c>
      <c r="G272" s="287">
        <f>data!BK66</f>
        <v>246820.16</v>
      </c>
      <c r="H272" s="287">
        <f>data!BL66</f>
        <v>75648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148755</v>
      </c>
      <c r="E273" s="287">
        <f>data!BI67</f>
        <v>0</v>
      </c>
      <c r="F273" s="287">
        <f>data!BJ67</f>
        <v>0</v>
      </c>
      <c r="G273" s="287">
        <f>data!BK67</f>
        <v>19785</v>
      </c>
      <c r="H273" s="287">
        <f>data!BL67</f>
        <v>6925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3504.35</v>
      </c>
      <c r="E274" s="287">
        <f>data!BI68</f>
        <v>39330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4378.3999999999996</v>
      </c>
      <c r="E275" s="287">
        <f>data!BI69</f>
        <v>1900</v>
      </c>
      <c r="F275" s="287">
        <f>data!BJ69</f>
        <v>725.48</v>
      </c>
      <c r="G275" s="287">
        <f>data!BK69</f>
        <v>250.88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110947.83</v>
      </c>
      <c r="D277" s="287">
        <f>data!BH85</f>
        <v>2779310.6100000003</v>
      </c>
      <c r="E277" s="287">
        <f>data!BI85</f>
        <v>94780.58</v>
      </c>
      <c r="F277" s="287">
        <f>data!BJ85</f>
        <v>379527.18</v>
      </c>
      <c r="G277" s="287">
        <f>data!BK85</f>
        <v>671815.62</v>
      </c>
      <c r="H277" s="287">
        <f>data!BL85</f>
        <v>907130.8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1300</v>
      </c>
      <c r="E284" s="303">
        <f>data!BI90</f>
        <v>0</v>
      </c>
      <c r="F284" s="303">
        <f>data!BJ90</f>
        <v>0</v>
      </c>
      <c r="G284" s="303">
        <f>data!BK90</f>
        <v>1200</v>
      </c>
      <c r="H284" s="303">
        <f>data!BL90</f>
        <v>420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EvergreenHealth Monroe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7.42</v>
      </c>
      <c r="D298" s="294">
        <f>data!BO60</f>
        <v>0.39</v>
      </c>
      <c r="E298" s="294">
        <f>data!BP60</f>
        <v>0</v>
      </c>
      <c r="F298" s="294">
        <f>data!BQ60</f>
        <v>0</v>
      </c>
      <c r="G298" s="294">
        <f>data!BR60</f>
        <v>2.65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1100063.26</v>
      </c>
      <c r="D299" s="287">
        <f>data!BO61</f>
        <v>46570</v>
      </c>
      <c r="E299" s="287">
        <f>data!BP61</f>
        <v>0</v>
      </c>
      <c r="F299" s="287">
        <f>data!BQ61</f>
        <v>0</v>
      </c>
      <c r="G299" s="287">
        <f>data!BR61</f>
        <v>249355.67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559946</v>
      </c>
      <c r="D300" s="287">
        <f>data!BO62</f>
        <v>27458</v>
      </c>
      <c r="E300" s="287">
        <f>data!BP62</f>
        <v>0</v>
      </c>
      <c r="F300" s="287">
        <f>data!BQ62</f>
        <v>0</v>
      </c>
      <c r="G300" s="287">
        <f>data!BR62</f>
        <v>62829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67613.649999999994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216624.15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13923.72</v>
      </c>
      <c r="D302" s="287">
        <f>data!BO64</f>
        <v>6297.76</v>
      </c>
      <c r="E302" s="287">
        <f>data!BP64</f>
        <v>10</v>
      </c>
      <c r="F302" s="287">
        <f>data!BQ64</f>
        <v>0</v>
      </c>
      <c r="G302" s="287">
        <f>data!BR64</f>
        <v>4872.57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2124725.5</v>
      </c>
      <c r="D304" s="287">
        <f>data!BO66</f>
        <v>5051.22</v>
      </c>
      <c r="E304" s="287">
        <f>data!BP66</f>
        <v>73506.98</v>
      </c>
      <c r="F304" s="287">
        <f>data!BQ66</f>
        <v>0</v>
      </c>
      <c r="G304" s="287">
        <f>data!BR66</f>
        <v>46661.51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234596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9893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188393.69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138278.39999999999</v>
      </c>
      <c r="D307" s="287">
        <f>data!BO69</f>
        <v>1340.8</v>
      </c>
      <c r="E307" s="287">
        <f>data!BP69</f>
        <v>11443.12</v>
      </c>
      <c r="F307" s="287">
        <f>data!BQ69</f>
        <v>0</v>
      </c>
      <c r="G307" s="287">
        <f>data!BR69</f>
        <v>2171.15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4427540.2200000007</v>
      </c>
      <c r="D309" s="287">
        <f>data!BO85</f>
        <v>86717.78</v>
      </c>
      <c r="E309" s="287">
        <f>data!BP85</f>
        <v>84960.099999999991</v>
      </c>
      <c r="F309" s="287">
        <f>data!BQ85</f>
        <v>0</v>
      </c>
      <c r="G309" s="287">
        <f>data!BR85</f>
        <v>592407.05000000005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5828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600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EvergreenHealth Monroe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9.4600000000000009</v>
      </c>
      <c r="E330" s="294">
        <f>data!BW60</f>
        <v>0.81</v>
      </c>
      <c r="F330" s="294">
        <f>data!BX60</f>
        <v>3.79</v>
      </c>
      <c r="G330" s="294">
        <f>data!BY60</f>
        <v>4.2699999999999996</v>
      </c>
      <c r="H330" s="294">
        <f>data!BZ60</f>
        <v>0</v>
      </c>
      <c r="I330" s="294">
        <f>data!CA60</f>
        <v>0.01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599436.75</v>
      </c>
      <c r="E331" s="306">
        <f>data!BW61</f>
        <v>178432.4</v>
      </c>
      <c r="F331" s="306">
        <f>data!BX61</f>
        <v>366889.55</v>
      </c>
      <c r="G331" s="306">
        <f>data!BY61</f>
        <v>673532.87</v>
      </c>
      <c r="H331" s="306">
        <f>data!BZ61</f>
        <v>0</v>
      </c>
      <c r="I331" s="306">
        <f>data!CA61</f>
        <v>581.78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118860</v>
      </c>
      <c r="E332" s="306">
        <f>data!BW62</f>
        <v>21566</v>
      </c>
      <c r="F332" s="306">
        <f>data!BX62</f>
        <v>60037</v>
      </c>
      <c r="G332" s="306">
        <f>data!BY62</f>
        <v>73293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675560.73</v>
      </c>
      <c r="F333" s="306">
        <f>data!BX63</f>
        <v>10125.18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2099.14</v>
      </c>
      <c r="E334" s="306">
        <f>data!BW64</f>
        <v>416.48</v>
      </c>
      <c r="F334" s="306">
        <f>data!BX64</f>
        <v>1917.29</v>
      </c>
      <c r="G334" s="306">
        <f>data!BY64</f>
        <v>495.14</v>
      </c>
      <c r="H334" s="306">
        <f>data!BZ64</f>
        <v>0</v>
      </c>
      <c r="I334" s="306">
        <f>data!CA64</f>
        <v>280.68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202089.2</v>
      </c>
      <c r="E336" s="306">
        <f>data!BW66</f>
        <v>10711.34</v>
      </c>
      <c r="F336" s="306">
        <f>data!BX66</f>
        <v>92333.23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44962</v>
      </c>
      <c r="E337" s="306">
        <f>data!BW67</f>
        <v>0</v>
      </c>
      <c r="F337" s="306">
        <f>data!BX67</f>
        <v>0</v>
      </c>
      <c r="G337" s="306">
        <f>data!BY67</f>
        <v>12316</v>
      </c>
      <c r="H337" s="306">
        <f>data!BZ67</f>
        <v>0</v>
      </c>
      <c r="I337" s="306">
        <f>data!CA67</f>
        <v>3181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888</v>
      </c>
      <c r="F339" s="306">
        <f>data!BX69</f>
        <v>359</v>
      </c>
      <c r="G339" s="306">
        <f>data!BY69</f>
        <v>470.99</v>
      </c>
      <c r="H339" s="306">
        <f>data!BZ69</f>
        <v>0</v>
      </c>
      <c r="I339" s="306">
        <f>data!CA69</f>
        <v>20778.52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967447.09000000008</v>
      </c>
      <c r="E341" s="287">
        <f>data!BW85</f>
        <v>887574.95</v>
      </c>
      <c r="F341" s="287">
        <f>data!BX85</f>
        <v>531661.25</v>
      </c>
      <c r="G341" s="287">
        <f>data!BY85</f>
        <v>760108</v>
      </c>
      <c r="H341" s="287">
        <f>data!BZ85</f>
        <v>0</v>
      </c>
      <c r="I341" s="287">
        <f>data!CA85</f>
        <v>24821.98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2727</v>
      </c>
      <c r="E348" s="303">
        <f>data!BW90</f>
        <v>0</v>
      </c>
      <c r="F348" s="303">
        <f>data!BX90</f>
        <v>0</v>
      </c>
      <c r="G348" s="303">
        <f>data!BY90</f>
        <v>747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EvergreenHealth Monroe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1.68</v>
      </c>
      <c r="E362" s="309"/>
      <c r="F362" s="297"/>
      <c r="G362" s="297"/>
      <c r="H362" s="297"/>
      <c r="I362" s="310">
        <f>data!CE60</f>
        <v>241.01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321648.90999999997</v>
      </c>
      <c r="E363" s="311"/>
      <c r="F363" s="311"/>
      <c r="G363" s="311"/>
      <c r="H363" s="311"/>
      <c r="I363" s="306">
        <f>data!CE61</f>
        <v>27162885.520000011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-118022</v>
      </c>
      <c r="E364" s="311"/>
      <c r="F364" s="311"/>
      <c r="G364" s="311"/>
      <c r="H364" s="311"/>
      <c r="I364" s="306">
        <f>data!CE62</f>
        <v>4466986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1954792.2799999998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-14020.49</v>
      </c>
      <c r="E366" s="311"/>
      <c r="F366" s="311"/>
      <c r="G366" s="311"/>
      <c r="H366" s="311"/>
      <c r="I366" s="306">
        <f>data!CE64</f>
        <v>5688049.5199999986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618643.65999999992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1350</v>
      </c>
      <c r="E368" s="311"/>
      <c r="F368" s="311"/>
      <c r="G368" s="311"/>
      <c r="H368" s="311"/>
      <c r="I368" s="306">
        <f>data!CE66</f>
        <v>7663565.0200000014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27947</v>
      </c>
      <c r="E369" s="311"/>
      <c r="F369" s="311"/>
      <c r="G369" s="311"/>
      <c r="H369" s="311"/>
      <c r="I369" s="306">
        <f>data!CE67</f>
        <v>2867198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405589.7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0</v>
      </c>
      <c r="E371" s="306">
        <f>data!CD69</f>
        <v>771072.42</v>
      </c>
      <c r="F371" s="311"/>
      <c r="G371" s="311"/>
      <c r="H371" s="311"/>
      <c r="I371" s="306">
        <f>data!CE69</f>
        <v>1001796.73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218903.41999999998</v>
      </c>
      <c r="E373" s="306">
        <f>data!CD85</f>
        <v>771072.42</v>
      </c>
      <c r="F373" s="311"/>
      <c r="G373" s="311"/>
      <c r="H373" s="311"/>
      <c r="I373" s="287">
        <f>data!CE85</f>
        <v>51829506.429999985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32063998.169999994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119623336.86999999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151687335.04000002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1695</v>
      </c>
      <c r="E380" s="297"/>
      <c r="F380" s="297"/>
      <c r="G380" s="297"/>
      <c r="H380" s="297"/>
      <c r="I380" s="287">
        <f>data!CE90</f>
        <v>83637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30708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30785.800000000007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197200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54.740000000000009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C48" transitionEvaluation="1" transitionEntry="1" codeName="Sheet12">
    <tabColor rgb="FF92D050"/>
    <pageSetUpPr autoPageBreaks="0" fitToPage="1"/>
  </sheetPr>
  <dimension ref="A1:CF717"/>
  <sheetViews>
    <sheetView topLeftCell="A40" zoomScale="85" zoomScaleNormal="85" workbookViewId="0">
      <pane xSplit="2" ySplit="8" topLeftCell="C48" activePane="bottomRight" state="frozen"/>
      <selection activeCell="A40" sqref="A40"/>
      <selection pane="topRight" activeCell="C40" sqref="C40"/>
      <selection pane="bottomLeft" activeCell="A48" sqref="A48"/>
      <selection pane="bottomRight" activeCell="C48" sqref="C4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5981362</v>
      </c>
      <c r="C49" s="270">
        <f>IF($B$49,(ROUND((($B$49/$CE$62)*C62),0)))</f>
        <v>99859</v>
      </c>
      <c r="D49" s="270">
        <f t="shared" ref="D49:BO49" si="0">IF($B$49,(ROUND((($B$49/$CE$62)*D62),0)))</f>
        <v>0</v>
      </c>
      <c r="E49" s="270">
        <f t="shared" si="0"/>
        <v>493916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559264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395554</v>
      </c>
      <c r="O49" s="270">
        <f t="shared" si="0"/>
        <v>0</v>
      </c>
      <c r="P49" s="270">
        <f t="shared" si="0"/>
        <v>266188</v>
      </c>
      <c r="Q49" s="270">
        <f t="shared" si="0"/>
        <v>60357</v>
      </c>
      <c r="R49" s="270">
        <f t="shared" si="0"/>
        <v>0</v>
      </c>
      <c r="S49" s="270">
        <f t="shared" si="0"/>
        <v>27132</v>
      </c>
      <c r="T49" s="270">
        <f t="shared" si="0"/>
        <v>0</v>
      </c>
      <c r="U49" s="270">
        <f t="shared" si="0"/>
        <v>222021</v>
      </c>
      <c r="V49" s="270">
        <f t="shared" si="0"/>
        <v>0</v>
      </c>
      <c r="W49" s="270">
        <f t="shared" si="0"/>
        <v>57357</v>
      </c>
      <c r="X49" s="270">
        <f t="shared" si="0"/>
        <v>167225</v>
      </c>
      <c r="Y49" s="270">
        <f t="shared" si="0"/>
        <v>136162</v>
      </c>
      <c r="Z49" s="270">
        <f t="shared" si="0"/>
        <v>0</v>
      </c>
      <c r="AA49" s="270">
        <f t="shared" si="0"/>
        <v>0</v>
      </c>
      <c r="AB49" s="270">
        <f t="shared" si="0"/>
        <v>170667</v>
      </c>
      <c r="AC49" s="270">
        <f t="shared" si="0"/>
        <v>65333</v>
      </c>
      <c r="AD49" s="270">
        <f t="shared" si="0"/>
        <v>0</v>
      </c>
      <c r="AE49" s="270">
        <f t="shared" si="0"/>
        <v>114085</v>
      </c>
      <c r="AF49" s="270">
        <f t="shared" si="0"/>
        <v>0</v>
      </c>
      <c r="AG49" s="270">
        <f t="shared" si="0"/>
        <v>517860</v>
      </c>
      <c r="AH49" s="270">
        <f t="shared" si="0"/>
        <v>0</v>
      </c>
      <c r="AI49" s="270">
        <f t="shared" si="0"/>
        <v>0</v>
      </c>
      <c r="AJ49" s="270">
        <f t="shared" si="0"/>
        <v>254913</v>
      </c>
      <c r="AK49" s="270">
        <f t="shared" si="0"/>
        <v>39539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0</v>
      </c>
      <c r="AZ49" s="270">
        <f t="shared" si="0"/>
        <v>153288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33614</v>
      </c>
      <c r="BE49" s="270">
        <f t="shared" si="0"/>
        <v>124338</v>
      </c>
      <c r="BF49" s="270">
        <f t="shared" si="0"/>
        <v>158634</v>
      </c>
      <c r="BG49" s="270">
        <f t="shared" si="0"/>
        <v>0</v>
      </c>
      <c r="BH49" s="270">
        <f t="shared" si="0"/>
        <v>154845</v>
      </c>
      <c r="BI49" s="270">
        <f t="shared" si="0"/>
        <v>599797</v>
      </c>
      <c r="BJ49" s="270">
        <f t="shared" si="0"/>
        <v>52600</v>
      </c>
      <c r="BK49" s="270">
        <f t="shared" si="0"/>
        <v>83882</v>
      </c>
      <c r="BL49" s="270">
        <f t="shared" si="0"/>
        <v>128902</v>
      </c>
      <c r="BM49" s="270">
        <f t="shared" si="0"/>
        <v>0</v>
      </c>
      <c r="BN49" s="270">
        <f t="shared" si="0"/>
        <v>387501</v>
      </c>
      <c r="BO49" s="270">
        <f t="shared" si="0"/>
        <v>2322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48636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126932</v>
      </c>
      <c r="BW49" s="270">
        <f t="shared" si="1"/>
        <v>14050</v>
      </c>
      <c r="BX49" s="270">
        <f t="shared" si="1"/>
        <v>111713</v>
      </c>
      <c r="BY49" s="270">
        <f t="shared" si="1"/>
        <v>100217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52656</v>
      </c>
      <c r="CD49" s="270">
        <f t="shared" si="1"/>
        <v>0</v>
      </c>
      <c r="CE49" s="32">
        <f>SUM(C49:CD49)</f>
        <v>5981359</v>
      </c>
    </row>
    <row r="50" spans="1:83" x14ac:dyDescent="0.35">
      <c r="A50" s="20" t="s">
        <v>218</v>
      </c>
      <c r="B50" s="270">
        <f>B48+B49</f>
        <v>5981362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>
        <v>805343</v>
      </c>
      <c r="C52" s="213">
        <v>3181</v>
      </c>
      <c r="D52" s="213"/>
      <c r="E52" s="213">
        <v>34904</v>
      </c>
      <c r="F52" s="213"/>
      <c r="G52" s="213"/>
      <c r="H52" s="213"/>
      <c r="I52" s="213">
        <v>1214</v>
      </c>
      <c r="J52" s="213"/>
      <c r="K52" s="213"/>
      <c r="L52" s="213"/>
      <c r="M52" s="213"/>
      <c r="N52" s="213"/>
      <c r="O52" s="213"/>
      <c r="P52" s="213">
        <v>10939</v>
      </c>
      <c r="Q52" s="213"/>
      <c r="R52" s="213"/>
      <c r="S52" s="213"/>
      <c r="T52" s="213"/>
      <c r="U52" s="213">
        <v>16175</v>
      </c>
      <c r="V52" s="213"/>
      <c r="W52" s="213">
        <v>217556</v>
      </c>
      <c r="X52" s="213">
        <v>79456</v>
      </c>
      <c r="Y52" s="213">
        <v>28419</v>
      </c>
      <c r="Z52" s="213"/>
      <c r="AA52" s="213"/>
      <c r="AB52" s="213"/>
      <c r="AC52" s="213">
        <v>3181</v>
      </c>
      <c r="AD52" s="213"/>
      <c r="AE52" s="213"/>
      <c r="AF52" s="213"/>
      <c r="AG52" s="213">
        <v>4784</v>
      </c>
      <c r="AH52" s="213"/>
      <c r="AI52" s="213"/>
      <c r="AJ52" s="213">
        <v>3181</v>
      </c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>
        <v>301572</v>
      </c>
      <c r="BF52" s="213"/>
      <c r="BG52" s="213"/>
      <c r="BH52" s="213">
        <v>97600</v>
      </c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>
        <v>3181</v>
      </c>
      <c r="CB52" s="213"/>
      <c r="CC52" s="213"/>
      <c r="CD52" s="20"/>
      <c r="CE52" s="32">
        <f>SUM(C52:CD52)</f>
        <v>805343</v>
      </c>
    </row>
    <row r="53" spans="1:83" x14ac:dyDescent="0.35">
      <c r="A53" s="39" t="s">
        <v>220</v>
      </c>
      <c r="B53" s="271">
        <v>1526088</v>
      </c>
      <c r="C53" s="270">
        <f>IF($B$53,ROUND(($B$53/($CE$91+$CF$91)*C91),0))</f>
        <v>40142</v>
      </c>
      <c r="D53" s="270">
        <f t="shared" ref="D53:BO53" si="2">IF($B$53,ROUND(($B$53/($CE$91+$CF$91)*D91),0))</f>
        <v>0</v>
      </c>
      <c r="E53" s="270">
        <f t="shared" si="2"/>
        <v>202902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110300</v>
      </c>
      <c r="P53" s="270">
        <f t="shared" si="2"/>
        <v>98933</v>
      </c>
      <c r="Q53" s="270">
        <f t="shared" si="2"/>
        <v>10948</v>
      </c>
      <c r="R53" s="270">
        <f t="shared" si="2"/>
        <v>3321</v>
      </c>
      <c r="S53" s="270">
        <f t="shared" si="2"/>
        <v>0</v>
      </c>
      <c r="T53" s="270">
        <f t="shared" si="2"/>
        <v>0</v>
      </c>
      <c r="U53" s="270">
        <f t="shared" si="2"/>
        <v>23356</v>
      </c>
      <c r="V53" s="270">
        <f t="shared" si="2"/>
        <v>0</v>
      </c>
      <c r="W53" s="270">
        <f t="shared" si="2"/>
        <v>13247</v>
      </c>
      <c r="X53" s="270">
        <f t="shared" si="2"/>
        <v>10109</v>
      </c>
      <c r="Y53" s="270">
        <f t="shared" si="2"/>
        <v>65286</v>
      </c>
      <c r="Z53" s="270">
        <f t="shared" si="2"/>
        <v>0</v>
      </c>
      <c r="AA53" s="270">
        <f t="shared" si="2"/>
        <v>7791</v>
      </c>
      <c r="AB53" s="270">
        <f t="shared" si="2"/>
        <v>14798</v>
      </c>
      <c r="AC53" s="270">
        <f t="shared" si="2"/>
        <v>13959</v>
      </c>
      <c r="AD53" s="270">
        <f t="shared" si="2"/>
        <v>0</v>
      </c>
      <c r="AE53" s="270">
        <f t="shared" si="2"/>
        <v>4744</v>
      </c>
      <c r="AF53" s="270">
        <f t="shared" si="2"/>
        <v>0</v>
      </c>
      <c r="AG53" s="270">
        <f t="shared" si="2"/>
        <v>142323</v>
      </c>
      <c r="AH53" s="270">
        <f t="shared" si="2"/>
        <v>0</v>
      </c>
      <c r="AI53" s="270">
        <f t="shared" si="2"/>
        <v>0</v>
      </c>
      <c r="AJ53" s="270">
        <f t="shared" si="2"/>
        <v>153636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0</v>
      </c>
      <c r="AZ53" s="270">
        <f t="shared" si="2"/>
        <v>80942</v>
      </c>
      <c r="BA53" s="270">
        <f t="shared" si="2"/>
        <v>7536</v>
      </c>
      <c r="BB53" s="270">
        <f t="shared" si="2"/>
        <v>0</v>
      </c>
      <c r="BC53" s="270">
        <f t="shared" si="2"/>
        <v>0</v>
      </c>
      <c r="BD53" s="270">
        <f t="shared" si="2"/>
        <v>58754</v>
      </c>
      <c r="BE53" s="270">
        <f t="shared" si="2"/>
        <v>191151</v>
      </c>
      <c r="BF53" s="270">
        <f t="shared" si="2"/>
        <v>7025</v>
      </c>
      <c r="BG53" s="270">
        <f t="shared" si="2"/>
        <v>0</v>
      </c>
      <c r="BH53" s="270">
        <f t="shared" si="2"/>
        <v>23721</v>
      </c>
      <c r="BI53" s="270">
        <f t="shared" si="2"/>
        <v>0</v>
      </c>
      <c r="BJ53" s="270">
        <f t="shared" si="2"/>
        <v>0</v>
      </c>
      <c r="BK53" s="270">
        <f t="shared" si="2"/>
        <v>21896</v>
      </c>
      <c r="BL53" s="270">
        <f t="shared" si="2"/>
        <v>7664</v>
      </c>
      <c r="BM53" s="270">
        <f t="shared" si="2"/>
        <v>0</v>
      </c>
      <c r="BN53" s="270">
        <f t="shared" si="2"/>
        <v>106341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10948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49758</v>
      </c>
      <c r="BW53" s="270">
        <f t="shared" si="3"/>
        <v>0</v>
      </c>
      <c r="BX53" s="270">
        <f t="shared" si="3"/>
        <v>0</v>
      </c>
      <c r="BY53" s="270">
        <f t="shared" si="3"/>
        <v>13630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30928</v>
      </c>
      <c r="CD53" s="270">
        <f t="shared" si="3"/>
        <v>0</v>
      </c>
      <c r="CE53" s="32">
        <f>SUM(C53:CD53)</f>
        <v>1526089</v>
      </c>
    </row>
    <row r="54" spans="1:83" x14ac:dyDescent="0.35">
      <c r="A54" s="20" t="s">
        <v>218</v>
      </c>
      <c r="B54" s="270">
        <f>B52+B53</f>
        <v>2331431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295</v>
      </c>
      <c r="D60" s="213"/>
      <c r="E60" s="213">
        <v>2246</v>
      </c>
      <c r="F60" s="213"/>
      <c r="G60" s="213"/>
      <c r="H60" s="213"/>
      <c r="I60" s="213">
        <v>5149</v>
      </c>
      <c r="J60" s="213"/>
      <c r="K60" s="213"/>
      <c r="L60" s="213"/>
      <c r="M60" s="213"/>
      <c r="N60" s="213"/>
      <c r="O60" s="213"/>
      <c r="P60" s="214">
        <v>91845</v>
      </c>
      <c r="Q60" s="214"/>
      <c r="R60" s="214"/>
      <c r="S60" s="263"/>
      <c r="T60" s="263"/>
      <c r="U60" s="227">
        <v>114438</v>
      </c>
      <c r="V60" s="214">
        <v>4801</v>
      </c>
      <c r="W60" s="214"/>
      <c r="X60" s="214"/>
      <c r="Y60" s="214"/>
      <c r="Z60" s="214"/>
      <c r="AA60" s="214"/>
      <c r="AB60" s="263"/>
      <c r="AC60" s="214">
        <v>2391</v>
      </c>
      <c r="AD60" s="214"/>
      <c r="AE60" s="214">
        <v>14387</v>
      </c>
      <c r="AF60" s="214"/>
      <c r="AG60" s="214">
        <v>15208</v>
      </c>
      <c r="AH60" s="214"/>
      <c r="AI60" s="214"/>
      <c r="AJ60" s="214">
        <v>587</v>
      </c>
      <c r="AK60" s="214">
        <v>5538</v>
      </c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>
        <v>110976</v>
      </c>
      <c r="BA60" s="263"/>
      <c r="BB60" s="263"/>
      <c r="BC60" s="263"/>
      <c r="BD60" s="263"/>
      <c r="BE60" s="214">
        <v>83637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3.41</v>
      </c>
      <c r="D61" s="243"/>
      <c r="E61" s="243">
        <v>24.09</v>
      </c>
      <c r="F61" s="243"/>
      <c r="G61" s="243"/>
      <c r="H61" s="243"/>
      <c r="I61" s="243">
        <v>27.41</v>
      </c>
      <c r="J61" s="243"/>
      <c r="K61" s="243"/>
      <c r="L61" s="243"/>
      <c r="M61" s="243"/>
      <c r="N61" s="243">
        <v>5.58</v>
      </c>
      <c r="O61" s="243"/>
      <c r="P61" s="244">
        <v>12.33</v>
      </c>
      <c r="Q61" s="244">
        <v>2.17</v>
      </c>
      <c r="R61" s="244"/>
      <c r="S61" s="245">
        <v>1.76</v>
      </c>
      <c r="T61" s="245"/>
      <c r="U61" s="246">
        <v>14.21</v>
      </c>
      <c r="V61" s="244"/>
      <c r="W61" s="244">
        <v>2.2200000000000002</v>
      </c>
      <c r="X61" s="244">
        <v>8.15</v>
      </c>
      <c r="Y61" s="244">
        <v>6.51</v>
      </c>
      <c r="Z61" s="244"/>
      <c r="AA61" s="244"/>
      <c r="AB61" s="245">
        <v>6.22</v>
      </c>
      <c r="AC61" s="244">
        <v>2.97</v>
      </c>
      <c r="AD61" s="244"/>
      <c r="AE61" s="244">
        <v>5.96</v>
      </c>
      <c r="AF61" s="244"/>
      <c r="AG61" s="244">
        <v>23.85</v>
      </c>
      <c r="AH61" s="244"/>
      <c r="AI61" s="244"/>
      <c r="AJ61" s="244">
        <v>7.53</v>
      </c>
      <c r="AK61" s="244">
        <v>1.53</v>
      </c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>
        <v>13.74</v>
      </c>
      <c r="BA61" s="245"/>
      <c r="BB61" s="245"/>
      <c r="BC61" s="245"/>
      <c r="BD61" s="245">
        <v>2.34</v>
      </c>
      <c r="BE61" s="244">
        <v>7.57</v>
      </c>
      <c r="BF61" s="245">
        <v>14.43</v>
      </c>
      <c r="BG61" s="245"/>
      <c r="BH61" s="245">
        <v>6.85</v>
      </c>
      <c r="BI61" s="245">
        <v>11.43</v>
      </c>
      <c r="BJ61" s="245">
        <v>2.77</v>
      </c>
      <c r="BK61" s="245">
        <v>6.54</v>
      </c>
      <c r="BL61" s="245">
        <v>10.66</v>
      </c>
      <c r="BM61" s="245"/>
      <c r="BN61" s="245">
        <v>8.89</v>
      </c>
      <c r="BO61" s="245">
        <v>0.05</v>
      </c>
      <c r="BP61" s="245"/>
      <c r="BQ61" s="245"/>
      <c r="BR61" s="245">
        <v>2.19</v>
      </c>
      <c r="BS61" s="245"/>
      <c r="BT61" s="245"/>
      <c r="BU61" s="245"/>
      <c r="BV61" s="245">
        <v>8.64</v>
      </c>
      <c r="BW61" s="245">
        <v>0.86</v>
      </c>
      <c r="BX61" s="245">
        <v>5.32</v>
      </c>
      <c r="BY61" s="245">
        <v>2.92</v>
      </c>
      <c r="BZ61" s="245"/>
      <c r="CA61" s="245"/>
      <c r="CB61" s="245"/>
      <c r="CC61" s="245">
        <v>0.25</v>
      </c>
      <c r="CD61" s="247" t="s">
        <v>233</v>
      </c>
      <c r="CE61" s="268">
        <f t="shared" ref="CE61:CE69" si="4">SUM(C61:CD61)</f>
        <v>261.35000000000002</v>
      </c>
    </row>
    <row r="62" spans="1:83" x14ac:dyDescent="0.35">
      <c r="A62" s="39" t="s">
        <v>248</v>
      </c>
      <c r="B62" s="20"/>
      <c r="C62" s="213">
        <v>426185</v>
      </c>
      <c r="D62" s="213"/>
      <c r="E62" s="213">
        <v>2107967</v>
      </c>
      <c r="F62" s="213"/>
      <c r="G62" s="213"/>
      <c r="H62" s="213"/>
      <c r="I62" s="213">
        <v>2386864</v>
      </c>
      <c r="J62" s="213"/>
      <c r="K62" s="213"/>
      <c r="L62" s="213"/>
      <c r="M62" s="213"/>
      <c r="N62" s="213">
        <v>1688172</v>
      </c>
      <c r="O62" s="213"/>
      <c r="P62" s="214">
        <v>1136056</v>
      </c>
      <c r="Q62" s="214">
        <v>257595</v>
      </c>
      <c r="R62" s="214"/>
      <c r="S62" s="228">
        <v>115795</v>
      </c>
      <c r="T62" s="228"/>
      <c r="U62" s="227">
        <v>947554</v>
      </c>
      <c r="V62" s="214"/>
      <c r="W62" s="214">
        <v>244790</v>
      </c>
      <c r="X62" s="214">
        <v>713693</v>
      </c>
      <c r="Y62" s="214">
        <v>581122</v>
      </c>
      <c r="Z62" s="214"/>
      <c r="AA62" s="214"/>
      <c r="AB62" s="240">
        <v>728385</v>
      </c>
      <c r="AC62" s="214">
        <v>278834</v>
      </c>
      <c r="AD62" s="214"/>
      <c r="AE62" s="214">
        <v>486900</v>
      </c>
      <c r="AF62" s="214"/>
      <c r="AG62" s="214">
        <v>2210156</v>
      </c>
      <c r="AH62" s="214"/>
      <c r="AI62" s="214"/>
      <c r="AJ62" s="214">
        <v>1087934</v>
      </c>
      <c r="AK62" s="214">
        <v>168748</v>
      </c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>
        <v>654211</v>
      </c>
      <c r="BA62" s="228"/>
      <c r="BB62" s="228"/>
      <c r="BC62" s="228"/>
      <c r="BD62" s="228">
        <v>143460</v>
      </c>
      <c r="BE62" s="214">
        <v>530658</v>
      </c>
      <c r="BF62" s="228">
        <v>677029</v>
      </c>
      <c r="BG62" s="228"/>
      <c r="BH62" s="228">
        <v>660859</v>
      </c>
      <c r="BI62" s="228">
        <v>2559853</v>
      </c>
      <c r="BJ62" s="228">
        <v>224491</v>
      </c>
      <c r="BK62" s="228">
        <v>357999</v>
      </c>
      <c r="BL62" s="228">
        <v>550138</v>
      </c>
      <c r="BM62" s="228"/>
      <c r="BN62" s="228">
        <v>1653803</v>
      </c>
      <c r="BO62" s="228">
        <v>9910</v>
      </c>
      <c r="BP62" s="228"/>
      <c r="BQ62" s="228"/>
      <c r="BR62" s="228">
        <v>207574</v>
      </c>
      <c r="BS62" s="228"/>
      <c r="BT62" s="228"/>
      <c r="BU62" s="228"/>
      <c r="BV62" s="228">
        <v>541728</v>
      </c>
      <c r="BW62" s="228">
        <v>59962</v>
      </c>
      <c r="BX62" s="228">
        <v>476778</v>
      </c>
      <c r="BY62" s="228">
        <v>427713</v>
      </c>
      <c r="BZ62" s="228"/>
      <c r="CA62" s="228"/>
      <c r="CB62" s="228"/>
      <c r="CC62" s="228">
        <v>224730</v>
      </c>
      <c r="CD62" s="29" t="s">
        <v>233</v>
      </c>
      <c r="CE62" s="32">
        <f t="shared" si="4"/>
        <v>25527646</v>
      </c>
    </row>
    <row r="63" spans="1:83" x14ac:dyDescent="0.35">
      <c r="A63" s="39" t="s">
        <v>9</v>
      </c>
      <c r="B63" s="20"/>
      <c r="C63" s="269">
        <f>ROUND(C48+C49,0)</f>
        <v>99859</v>
      </c>
      <c r="D63" s="269">
        <f t="shared" ref="D63:BO63" si="5">ROUND(D48+D49,0)</f>
        <v>0</v>
      </c>
      <c r="E63" s="269">
        <f t="shared" si="5"/>
        <v>493916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559264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395554</v>
      </c>
      <c r="O63" s="269">
        <f t="shared" si="5"/>
        <v>0</v>
      </c>
      <c r="P63" s="269">
        <f t="shared" si="5"/>
        <v>266188</v>
      </c>
      <c r="Q63" s="269">
        <f t="shared" si="5"/>
        <v>60357</v>
      </c>
      <c r="R63" s="269">
        <f t="shared" si="5"/>
        <v>0</v>
      </c>
      <c r="S63" s="269">
        <f t="shared" si="5"/>
        <v>27132</v>
      </c>
      <c r="T63" s="269">
        <f t="shared" si="5"/>
        <v>0</v>
      </c>
      <c r="U63" s="269">
        <f t="shared" si="5"/>
        <v>222021</v>
      </c>
      <c r="V63" s="269">
        <f t="shared" si="5"/>
        <v>0</v>
      </c>
      <c r="W63" s="269">
        <f t="shared" si="5"/>
        <v>57357</v>
      </c>
      <c r="X63" s="269">
        <f t="shared" si="5"/>
        <v>167225</v>
      </c>
      <c r="Y63" s="269">
        <f t="shared" si="5"/>
        <v>136162</v>
      </c>
      <c r="Z63" s="269">
        <f t="shared" si="5"/>
        <v>0</v>
      </c>
      <c r="AA63" s="269">
        <f t="shared" si="5"/>
        <v>0</v>
      </c>
      <c r="AB63" s="269">
        <f t="shared" si="5"/>
        <v>170667</v>
      </c>
      <c r="AC63" s="269">
        <f t="shared" si="5"/>
        <v>65333</v>
      </c>
      <c r="AD63" s="269">
        <f t="shared" si="5"/>
        <v>0</v>
      </c>
      <c r="AE63" s="269">
        <f t="shared" si="5"/>
        <v>114085</v>
      </c>
      <c r="AF63" s="269">
        <f t="shared" si="5"/>
        <v>0</v>
      </c>
      <c r="AG63" s="269">
        <f t="shared" si="5"/>
        <v>517860</v>
      </c>
      <c r="AH63" s="269">
        <f t="shared" si="5"/>
        <v>0</v>
      </c>
      <c r="AI63" s="269">
        <f t="shared" si="5"/>
        <v>0</v>
      </c>
      <c r="AJ63" s="269">
        <f t="shared" si="5"/>
        <v>254913</v>
      </c>
      <c r="AK63" s="269">
        <f t="shared" si="5"/>
        <v>39539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153288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33614</v>
      </c>
      <c r="BE63" s="269">
        <f t="shared" si="5"/>
        <v>124338</v>
      </c>
      <c r="BF63" s="269">
        <f t="shared" si="5"/>
        <v>158634</v>
      </c>
      <c r="BG63" s="269">
        <f t="shared" si="5"/>
        <v>0</v>
      </c>
      <c r="BH63" s="269">
        <f t="shared" si="5"/>
        <v>154845</v>
      </c>
      <c r="BI63" s="269">
        <f t="shared" si="5"/>
        <v>599797</v>
      </c>
      <c r="BJ63" s="269">
        <f t="shared" si="5"/>
        <v>52600</v>
      </c>
      <c r="BK63" s="269">
        <f t="shared" si="5"/>
        <v>83882</v>
      </c>
      <c r="BL63" s="269">
        <f t="shared" si="5"/>
        <v>128902</v>
      </c>
      <c r="BM63" s="269">
        <f t="shared" si="5"/>
        <v>0</v>
      </c>
      <c r="BN63" s="269">
        <f t="shared" si="5"/>
        <v>387501</v>
      </c>
      <c r="BO63" s="269">
        <f t="shared" si="5"/>
        <v>2322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48636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126932</v>
      </c>
      <c r="BW63" s="269">
        <f t="shared" si="6"/>
        <v>14050</v>
      </c>
      <c r="BX63" s="269">
        <f t="shared" si="6"/>
        <v>111713</v>
      </c>
      <c r="BY63" s="269">
        <f t="shared" si="6"/>
        <v>100217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52656</v>
      </c>
      <c r="CD63" s="29" t="s">
        <v>233</v>
      </c>
      <c r="CE63" s="32">
        <f t="shared" si="4"/>
        <v>5981359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>
        <v>45213</v>
      </c>
      <c r="J64" s="213"/>
      <c r="K64" s="213"/>
      <c r="L64" s="213"/>
      <c r="M64" s="213"/>
      <c r="N64" s="213">
        <v>13357</v>
      </c>
      <c r="O64" s="213"/>
      <c r="P64" s="214"/>
      <c r="Q64" s="214"/>
      <c r="R64" s="214"/>
      <c r="S64" s="228"/>
      <c r="T64" s="228"/>
      <c r="U64" s="227">
        <v>11578</v>
      </c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>
        <v>1498198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>
        <v>101602</v>
      </c>
      <c r="BA64" s="228"/>
      <c r="BB64" s="228"/>
      <c r="BC64" s="228"/>
      <c r="BD64" s="228"/>
      <c r="BE64" s="214"/>
      <c r="BF64" s="228"/>
      <c r="BG64" s="228"/>
      <c r="BH64" s="228"/>
      <c r="BI64" s="228">
        <v>49751</v>
      </c>
      <c r="BJ64" s="228">
        <v>75906</v>
      </c>
      <c r="BK64" s="228">
        <v>-32492</v>
      </c>
      <c r="BL64" s="228"/>
      <c r="BM64" s="228"/>
      <c r="BN64" s="228">
        <v>133334</v>
      </c>
      <c r="BO64" s="228"/>
      <c r="BP64" s="228"/>
      <c r="BQ64" s="228"/>
      <c r="BR64" s="228">
        <v>155074</v>
      </c>
      <c r="BS64" s="228"/>
      <c r="BT64" s="228"/>
      <c r="BU64" s="228"/>
      <c r="BV64" s="228"/>
      <c r="BW64" s="228"/>
      <c r="BX64" s="228">
        <v>4785</v>
      </c>
      <c r="BY64" s="228"/>
      <c r="BZ64" s="228"/>
      <c r="CA64" s="228"/>
      <c r="CB64" s="228"/>
      <c r="CC64" s="228"/>
      <c r="CD64" s="29" t="s">
        <v>233</v>
      </c>
      <c r="CE64" s="32">
        <f t="shared" si="4"/>
        <v>2056306</v>
      </c>
    </row>
    <row r="65" spans="1:83" x14ac:dyDescent="0.35">
      <c r="A65" s="39" t="s">
        <v>250</v>
      </c>
      <c r="B65" s="20"/>
      <c r="C65" s="213">
        <v>40192</v>
      </c>
      <c r="D65" s="213"/>
      <c r="E65" s="213">
        <v>194947</v>
      </c>
      <c r="F65" s="213"/>
      <c r="G65" s="213"/>
      <c r="H65" s="213"/>
      <c r="I65" s="213">
        <v>114308</v>
      </c>
      <c r="J65" s="213"/>
      <c r="K65" s="213"/>
      <c r="L65" s="213"/>
      <c r="M65" s="213"/>
      <c r="N65" s="213">
        <v>145</v>
      </c>
      <c r="O65" s="213">
        <v>279</v>
      </c>
      <c r="P65" s="214">
        <v>2796888</v>
      </c>
      <c r="Q65" s="214">
        <v>8154</v>
      </c>
      <c r="R65" s="214">
        <v>49711</v>
      </c>
      <c r="S65" s="228">
        <v>261577</v>
      </c>
      <c r="T65" s="228"/>
      <c r="U65" s="227">
        <v>637272</v>
      </c>
      <c r="V65" s="214"/>
      <c r="W65" s="214">
        <v>8928</v>
      </c>
      <c r="X65" s="214">
        <v>1460</v>
      </c>
      <c r="Y65" s="214">
        <v>67104</v>
      </c>
      <c r="Z65" s="214"/>
      <c r="AA65" s="214"/>
      <c r="AB65" s="240">
        <v>880609</v>
      </c>
      <c r="AC65" s="214">
        <v>26891</v>
      </c>
      <c r="AD65" s="214"/>
      <c r="AE65" s="214">
        <v>11844</v>
      </c>
      <c r="AF65" s="214"/>
      <c r="AG65" s="214">
        <v>439398</v>
      </c>
      <c r="AH65" s="214"/>
      <c r="AI65" s="214"/>
      <c r="AJ65" s="214">
        <v>172743</v>
      </c>
      <c r="AK65" s="214"/>
      <c r="AL65" s="214"/>
      <c r="AM65" s="214"/>
      <c r="AN65" s="214"/>
      <c r="AO65" s="214"/>
      <c r="AP65" s="214">
        <v>19</v>
      </c>
      <c r="AQ65" s="214"/>
      <c r="AR65" s="214"/>
      <c r="AS65" s="214"/>
      <c r="AT65" s="214"/>
      <c r="AU65" s="214"/>
      <c r="AV65" s="228"/>
      <c r="AW65" s="228"/>
      <c r="AX65" s="228"/>
      <c r="AY65" s="214"/>
      <c r="AZ65" s="214">
        <v>226924</v>
      </c>
      <c r="BA65" s="228">
        <v>1653</v>
      </c>
      <c r="BB65" s="228"/>
      <c r="BC65" s="228"/>
      <c r="BD65" s="228">
        <v>62690</v>
      </c>
      <c r="BE65" s="214">
        <v>115311</v>
      </c>
      <c r="BF65" s="228">
        <v>101138</v>
      </c>
      <c r="BG65" s="228">
        <v>305</v>
      </c>
      <c r="BH65" s="228">
        <v>77360</v>
      </c>
      <c r="BI65" s="228">
        <v>71848</v>
      </c>
      <c r="BJ65" s="228">
        <v>1348</v>
      </c>
      <c r="BK65" s="228">
        <v>2372</v>
      </c>
      <c r="BL65" s="228">
        <v>10207</v>
      </c>
      <c r="BM65" s="228"/>
      <c r="BN65" s="228">
        <v>7889</v>
      </c>
      <c r="BO65" s="228">
        <v>559</v>
      </c>
      <c r="BP65" s="228"/>
      <c r="BQ65" s="228"/>
      <c r="BR65" s="228">
        <v>1371</v>
      </c>
      <c r="BS65" s="228"/>
      <c r="BT65" s="228"/>
      <c r="BU65" s="228"/>
      <c r="BV65" s="228">
        <v>4633</v>
      </c>
      <c r="BW65" s="228">
        <v>570</v>
      </c>
      <c r="BX65" s="228">
        <v>1452</v>
      </c>
      <c r="BY65" s="228">
        <v>963</v>
      </c>
      <c r="BZ65" s="228"/>
      <c r="CA65" s="228">
        <v>1912</v>
      </c>
      <c r="CB65" s="228"/>
      <c r="CC65" s="228">
        <v>10774</v>
      </c>
      <c r="CD65" s="29" t="s">
        <v>233</v>
      </c>
      <c r="CE65" s="32">
        <f t="shared" si="4"/>
        <v>6413748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>
        <v>53666</v>
      </c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462090</v>
      </c>
      <c r="BF66" s="228"/>
      <c r="BG66" s="228">
        <v>102885</v>
      </c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618641</v>
      </c>
    </row>
    <row r="67" spans="1:83" x14ac:dyDescent="0.35">
      <c r="A67" s="39" t="s">
        <v>252</v>
      </c>
      <c r="B67" s="20"/>
      <c r="C67" s="213"/>
      <c r="D67" s="213"/>
      <c r="E67" s="213">
        <v>29565</v>
      </c>
      <c r="F67" s="213"/>
      <c r="G67" s="213">
        <v>164</v>
      </c>
      <c r="H67" s="213"/>
      <c r="I67" s="213">
        <v>7325</v>
      </c>
      <c r="J67" s="213"/>
      <c r="K67" s="213"/>
      <c r="L67" s="213"/>
      <c r="M67" s="213"/>
      <c r="N67" s="213"/>
      <c r="O67" s="213"/>
      <c r="P67" s="214">
        <v>79689</v>
      </c>
      <c r="Q67" s="214"/>
      <c r="R67" s="214">
        <v>408000</v>
      </c>
      <c r="S67" s="228"/>
      <c r="T67" s="228"/>
      <c r="U67" s="227">
        <v>1067429</v>
      </c>
      <c r="V67" s="214"/>
      <c r="W67" s="214">
        <v>35108</v>
      </c>
      <c r="X67" s="214">
        <v>28497</v>
      </c>
      <c r="Y67" s="214">
        <v>171988</v>
      </c>
      <c r="Z67" s="214"/>
      <c r="AA67" s="214"/>
      <c r="AB67" s="240">
        <v>114257</v>
      </c>
      <c r="AC67" s="214">
        <v>269</v>
      </c>
      <c r="AD67" s="214"/>
      <c r="AE67" s="214"/>
      <c r="AF67" s="214"/>
      <c r="AG67" s="214">
        <v>16851</v>
      </c>
      <c r="AH67" s="214"/>
      <c r="AI67" s="214"/>
      <c r="AJ67" s="214">
        <v>378669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>
        <v>124909</v>
      </c>
      <c r="AY67" s="214"/>
      <c r="AZ67" s="214">
        <v>8598</v>
      </c>
      <c r="BA67" s="228">
        <v>317291</v>
      </c>
      <c r="BB67" s="228"/>
      <c r="BC67" s="228"/>
      <c r="BD67" s="228">
        <v>4689</v>
      </c>
      <c r="BE67" s="214">
        <v>509622</v>
      </c>
      <c r="BF67" s="228">
        <v>105430</v>
      </c>
      <c r="BG67" s="228"/>
      <c r="BH67" s="228">
        <v>925463</v>
      </c>
      <c r="BI67" s="228">
        <v>13069</v>
      </c>
      <c r="BJ67" s="228"/>
      <c r="BK67" s="228">
        <v>336039</v>
      </c>
      <c r="BL67" s="228">
        <v>75648</v>
      </c>
      <c r="BM67" s="228"/>
      <c r="BN67" s="228">
        <v>1459730</v>
      </c>
      <c r="BO67" s="228">
        <v>4682</v>
      </c>
      <c r="BP67" s="228">
        <v>186104</v>
      </c>
      <c r="BQ67" s="228"/>
      <c r="BR67" s="228">
        <v>97180</v>
      </c>
      <c r="BS67" s="228"/>
      <c r="BT67" s="228"/>
      <c r="BU67" s="228"/>
      <c r="BV67" s="228">
        <v>188521</v>
      </c>
      <c r="BW67" s="228">
        <v>5492</v>
      </c>
      <c r="BX67" s="228">
        <v>130308</v>
      </c>
      <c r="BY67" s="228"/>
      <c r="BZ67" s="228"/>
      <c r="CA67" s="228"/>
      <c r="CB67" s="228"/>
      <c r="CC67" s="228"/>
      <c r="CD67" s="29" t="s">
        <v>233</v>
      </c>
      <c r="CE67" s="32">
        <f t="shared" si="4"/>
        <v>6830586</v>
      </c>
    </row>
    <row r="68" spans="1:83" x14ac:dyDescent="0.35">
      <c r="A68" s="39" t="s">
        <v>11</v>
      </c>
      <c r="B68" s="20"/>
      <c r="C68" s="32">
        <f t="shared" ref="C68:BN68" si="7">ROUND(C52+C53,0)</f>
        <v>43323</v>
      </c>
      <c r="D68" s="32">
        <f t="shared" si="7"/>
        <v>0</v>
      </c>
      <c r="E68" s="32">
        <f t="shared" si="7"/>
        <v>237806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1214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110300</v>
      </c>
      <c r="P68" s="32">
        <f t="shared" si="7"/>
        <v>109872</v>
      </c>
      <c r="Q68" s="32">
        <f t="shared" si="7"/>
        <v>10948</v>
      </c>
      <c r="R68" s="32">
        <f t="shared" si="7"/>
        <v>3321</v>
      </c>
      <c r="S68" s="32">
        <f t="shared" si="7"/>
        <v>0</v>
      </c>
      <c r="T68" s="32">
        <f t="shared" si="7"/>
        <v>0</v>
      </c>
      <c r="U68" s="32">
        <f t="shared" si="7"/>
        <v>39531</v>
      </c>
      <c r="V68" s="32">
        <f t="shared" si="7"/>
        <v>0</v>
      </c>
      <c r="W68" s="32">
        <f t="shared" si="7"/>
        <v>230803</v>
      </c>
      <c r="X68" s="32">
        <f t="shared" si="7"/>
        <v>89565</v>
      </c>
      <c r="Y68" s="32">
        <f t="shared" si="7"/>
        <v>93705</v>
      </c>
      <c r="Z68" s="32">
        <f t="shared" si="7"/>
        <v>0</v>
      </c>
      <c r="AA68" s="32">
        <f t="shared" si="7"/>
        <v>7791</v>
      </c>
      <c r="AB68" s="32">
        <f t="shared" si="7"/>
        <v>14798</v>
      </c>
      <c r="AC68" s="32">
        <f t="shared" si="7"/>
        <v>17140</v>
      </c>
      <c r="AD68" s="32">
        <f t="shared" si="7"/>
        <v>0</v>
      </c>
      <c r="AE68" s="32">
        <f t="shared" si="7"/>
        <v>4744</v>
      </c>
      <c r="AF68" s="32">
        <f t="shared" si="7"/>
        <v>0</v>
      </c>
      <c r="AG68" s="32">
        <f t="shared" si="7"/>
        <v>147107</v>
      </c>
      <c r="AH68" s="32">
        <f t="shared" si="7"/>
        <v>0</v>
      </c>
      <c r="AI68" s="32">
        <f t="shared" si="7"/>
        <v>0</v>
      </c>
      <c r="AJ68" s="32">
        <f t="shared" si="7"/>
        <v>156817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80942</v>
      </c>
      <c r="BA68" s="32">
        <f t="shared" si="7"/>
        <v>7536</v>
      </c>
      <c r="BB68" s="32">
        <f t="shared" si="7"/>
        <v>0</v>
      </c>
      <c r="BC68" s="32">
        <f t="shared" si="7"/>
        <v>0</v>
      </c>
      <c r="BD68" s="32">
        <f t="shared" si="7"/>
        <v>58754</v>
      </c>
      <c r="BE68" s="32">
        <f t="shared" si="7"/>
        <v>492723</v>
      </c>
      <c r="BF68" s="32">
        <f t="shared" si="7"/>
        <v>7025</v>
      </c>
      <c r="BG68" s="32">
        <f t="shared" si="7"/>
        <v>0</v>
      </c>
      <c r="BH68" s="32">
        <f t="shared" si="7"/>
        <v>121321</v>
      </c>
      <c r="BI68" s="32">
        <f t="shared" si="7"/>
        <v>0</v>
      </c>
      <c r="BJ68" s="32">
        <f t="shared" si="7"/>
        <v>0</v>
      </c>
      <c r="BK68" s="32">
        <f t="shared" si="7"/>
        <v>21896</v>
      </c>
      <c r="BL68" s="32">
        <f t="shared" si="7"/>
        <v>7664</v>
      </c>
      <c r="BM68" s="32">
        <f t="shared" si="7"/>
        <v>0</v>
      </c>
      <c r="BN68" s="32">
        <f t="shared" si="7"/>
        <v>106341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10948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49758</v>
      </c>
      <c r="BW68" s="32">
        <f t="shared" si="8"/>
        <v>0</v>
      </c>
      <c r="BX68" s="32">
        <f t="shared" si="8"/>
        <v>0</v>
      </c>
      <c r="BY68" s="32">
        <f t="shared" si="8"/>
        <v>13630</v>
      </c>
      <c r="BZ68" s="32">
        <f t="shared" si="8"/>
        <v>0</v>
      </c>
      <c r="CA68" s="32">
        <f t="shared" si="8"/>
        <v>3181</v>
      </c>
      <c r="CB68" s="32">
        <f t="shared" si="8"/>
        <v>0</v>
      </c>
      <c r="CC68" s="32">
        <f t="shared" si="8"/>
        <v>30928</v>
      </c>
      <c r="CD68" s="29" t="s">
        <v>233</v>
      </c>
      <c r="CE68" s="32">
        <f t="shared" si="4"/>
        <v>2331432</v>
      </c>
    </row>
    <row r="69" spans="1:83" x14ac:dyDescent="0.35">
      <c r="A69" s="39" t="s">
        <v>253</v>
      </c>
      <c r="B69" s="32"/>
      <c r="C69" s="213"/>
      <c r="D69" s="213"/>
      <c r="E69" s="213">
        <v>6830</v>
      </c>
      <c r="F69" s="213"/>
      <c r="G69" s="213"/>
      <c r="H69" s="213"/>
      <c r="I69" s="213">
        <v>447653</v>
      </c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>
        <v>34114</v>
      </c>
      <c r="V69" s="214"/>
      <c r="W69" s="214">
        <v>64625</v>
      </c>
      <c r="X69" s="214"/>
      <c r="Y69" s="214">
        <v>116756</v>
      </c>
      <c r="Z69" s="214"/>
      <c r="AA69" s="214"/>
      <c r="AB69" s="240">
        <v>164604</v>
      </c>
      <c r="AC69" s="214"/>
      <c r="AD69" s="214"/>
      <c r="AE69" s="214">
        <v>114237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4249</v>
      </c>
      <c r="BF69" s="228"/>
      <c r="BG69" s="228"/>
      <c r="BH69" s="228">
        <v>33306</v>
      </c>
      <c r="BI69" s="228">
        <v>32853</v>
      </c>
      <c r="BJ69" s="228"/>
      <c r="BK69" s="228">
        <v>5776</v>
      </c>
      <c r="BL69" s="228"/>
      <c r="BM69" s="228"/>
      <c r="BN69" s="228">
        <v>113663</v>
      </c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1138666</v>
      </c>
    </row>
    <row r="70" spans="1:83" x14ac:dyDescent="0.35">
      <c r="A70" s="39" t="s">
        <v>254</v>
      </c>
      <c r="B70" s="20"/>
      <c r="C70" s="32">
        <f t="shared" ref="C70:BN70" si="9">SUM(C71:C84)</f>
        <v>559</v>
      </c>
      <c r="D70" s="32">
        <f t="shared" si="9"/>
        <v>0</v>
      </c>
      <c r="E70" s="32">
        <f t="shared" si="9"/>
        <v>385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23629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7986</v>
      </c>
      <c r="O70" s="32">
        <f t="shared" si="9"/>
        <v>0</v>
      </c>
      <c r="P70" s="32">
        <f t="shared" si="9"/>
        <v>624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5765</v>
      </c>
      <c r="V70" s="32">
        <f t="shared" si="9"/>
        <v>0</v>
      </c>
      <c r="W70" s="32">
        <f t="shared" si="9"/>
        <v>237</v>
      </c>
      <c r="X70" s="32">
        <f t="shared" si="9"/>
        <v>180</v>
      </c>
      <c r="Y70" s="32">
        <f t="shared" si="9"/>
        <v>772</v>
      </c>
      <c r="Z70" s="32">
        <f t="shared" si="9"/>
        <v>0</v>
      </c>
      <c r="AA70" s="32">
        <f t="shared" si="9"/>
        <v>-225</v>
      </c>
      <c r="AB70" s="32">
        <f t="shared" si="9"/>
        <v>888</v>
      </c>
      <c r="AC70" s="32">
        <f t="shared" si="9"/>
        <v>25</v>
      </c>
      <c r="AD70" s="32">
        <f t="shared" si="9"/>
        <v>0</v>
      </c>
      <c r="AE70" s="32">
        <f t="shared" si="9"/>
        <v>450</v>
      </c>
      <c r="AF70" s="32">
        <f t="shared" si="9"/>
        <v>0</v>
      </c>
      <c r="AG70" s="32">
        <f t="shared" si="9"/>
        <v>6948</v>
      </c>
      <c r="AH70" s="32">
        <f t="shared" si="9"/>
        <v>0</v>
      </c>
      <c r="AI70" s="32">
        <f t="shared" si="9"/>
        <v>0</v>
      </c>
      <c r="AJ70" s="32">
        <f t="shared" si="9"/>
        <v>500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11750</v>
      </c>
      <c r="AY70" s="32">
        <f t="shared" si="9"/>
        <v>0</v>
      </c>
      <c r="AZ70" s="32">
        <f t="shared" si="9"/>
        <v>59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1264</v>
      </c>
      <c r="BF70" s="32">
        <f t="shared" si="9"/>
        <v>0</v>
      </c>
      <c r="BG70" s="32">
        <f t="shared" si="9"/>
        <v>0</v>
      </c>
      <c r="BH70" s="32">
        <f t="shared" si="9"/>
        <v>2115</v>
      </c>
      <c r="BI70" s="32">
        <f t="shared" si="9"/>
        <v>468</v>
      </c>
      <c r="BJ70" s="32">
        <f t="shared" si="9"/>
        <v>1044</v>
      </c>
      <c r="BK70" s="32">
        <f t="shared" si="9"/>
        <v>428</v>
      </c>
      <c r="BL70" s="32">
        <f t="shared" si="9"/>
        <v>0</v>
      </c>
      <c r="BM70" s="32">
        <f t="shared" si="9"/>
        <v>0</v>
      </c>
      <c r="BN70" s="32">
        <f t="shared" si="9"/>
        <v>123600</v>
      </c>
      <c r="BO70" s="32">
        <f t="shared" ref="BO70:CD70" si="10">SUM(BO71:BO84)</f>
        <v>79</v>
      </c>
      <c r="BP70" s="32">
        <f t="shared" si="10"/>
        <v>75</v>
      </c>
      <c r="BQ70" s="32">
        <f t="shared" si="10"/>
        <v>0</v>
      </c>
      <c r="BR70" s="32">
        <f t="shared" si="10"/>
        <v>3314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495</v>
      </c>
      <c r="BX70" s="32">
        <f t="shared" si="10"/>
        <v>320</v>
      </c>
      <c r="BY70" s="32">
        <f t="shared" si="10"/>
        <v>284</v>
      </c>
      <c r="BZ70" s="32">
        <f t="shared" si="10"/>
        <v>0</v>
      </c>
      <c r="CA70" s="32">
        <f t="shared" si="10"/>
        <v>13530</v>
      </c>
      <c r="CB70" s="32">
        <f t="shared" si="10"/>
        <v>0</v>
      </c>
      <c r="CC70" s="32">
        <f t="shared" si="10"/>
        <v>17520</v>
      </c>
      <c r="CD70" s="32">
        <f t="shared" si="10"/>
        <v>595213</v>
      </c>
      <c r="CE70" s="32">
        <f>SUM(CE71:CE85)</f>
        <v>820281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559</v>
      </c>
      <c r="D84" s="24"/>
      <c r="E84" s="30">
        <v>385</v>
      </c>
      <c r="F84" s="30"/>
      <c r="G84" s="24"/>
      <c r="H84" s="24"/>
      <c r="I84" s="30">
        <v>23629</v>
      </c>
      <c r="J84" s="30"/>
      <c r="K84" s="30"/>
      <c r="L84" s="30"/>
      <c r="M84" s="24"/>
      <c r="N84" s="24">
        <v>7986</v>
      </c>
      <c r="O84" s="24"/>
      <c r="P84" s="30">
        <v>624</v>
      </c>
      <c r="Q84" s="30"/>
      <c r="R84" s="31"/>
      <c r="S84" s="30"/>
      <c r="T84" s="24"/>
      <c r="U84" s="30">
        <v>5765</v>
      </c>
      <c r="V84" s="30"/>
      <c r="W84" s="24">
        <v>237</v>
      </c>
      <c r="X84" s="30">
        <v>180</v>
      </c>
      <c r="Y84" s="30">
        <v>772</v>
      </c>
      <c r="Z84" s="30"/>
      <c r="AA84" s="30">
        <v>-225</v>
      </c>
      <c r="AB84" s="30">
        <v>888</v>
      </c>
      <c r="AC84" s="30">
        <v>25</v>
      </c>
      <c r="AD84" s="30"/>
      <c r="AE84" s="30">
        <v>450</v>
      </c>
      <c r="AF84" s="30"/>
      <c r="AG84" s="30">
        <v>6948</v>
      </c>
      <c r="AH84" s="30"/>
      <c r="AI84" s="30"/>
      <c r="AJ84" s="30">
        <v>500</v>
      </c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>
        <v>11750</v>
      </c>
      <c r="AY84" s="30"/>
      <c r="AZ84" s="30">
        <v>59</v>
      </c>
      <c r="BA84" s="30"/>
      <c r="BB84" s="30"/>
      <c r="BC84" s="30"/>
      <c r="BD84" s="30"/>
      <c r="BE84" s="30">
        <v>1264</v>
      </c>
      <c r="BF84" s="30"/>
      <c r="BG84" s="30"/>
      <c r="BH84" s="31">
        <v>2115</v>
      </c>
      <c r="BI84" s="30">
        <v>468</v>
      </c>
      <c r="BJ84" s="30">
        <v>1044</v>
      </c>
      <c r="BK84" s="30">
        <v>428</v>
      </c>
      <c r="BL84" s="30"/>
      <c r="BM84" s="30"/>
      <c r="BN84" s="30">
        <v>123600</v>
      </c>
      <c r="BO84" s="30">
        <v>79</v>
      </c>
      <c r="BP84" s="30">
        <v>75</v>
      </c>
      <c r="BQ84" s="30"/>
      <c r="BR84" s="30">
        <v>3314</v>
      </c>
      <c r="BS84" s="30"/>
      <c r="BT84" s="30"/>
      <c r="BU84" s="30"/>
      <c r="BV84" s="30"/>
      <c r="BW84" s="30">
        <v>495</v>
      </c>
      <c r="BX84" s="30">
        <v>320</v>
      </c>
      <c r="BY84" s="30">
        <v>284</v>
      </c>
      <c r="BZ84" s="30"/>
      <c r="CA84" s="30">
        <v>13530</v>
      </c>
      <c r="CB84" s="30"/>
      <c r="CC84" s="30">
        <v>17520</v>
      </c>
      <c r="CD84" s="35">
        <v>595213</v>
      </c>
      <c r="CE84" s="32">
        <f t="shared" si="11"/>
        <v>820281</v>
      </c>
    </row>
    <row r="85" spans="1:84" x14ac:dyDescent="0.35">
      <c r="A85" s="39" t="s">
        <v>269</v>
      </c>
      <c r="B85" s="20"/>
      <c r="C85" s="213"/>
      <c r="D85" s="213"/>
      <c r="E85" s="213">
        <v>0</v>
      </c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610118</v>
      </c>
      <c r="D86" s="32">
        <f t="shared" ref="D86:BO86" si="12">SUM(D62:D70)-D85</f>
        <v>0</v>
      </c>
      <c r="E86" s="32">
        <f t="shared" si="12"/>
        <v>3071416</v>
      </c>
      <c r="F86" s="32">
        <f t="shared" si="12"/>
        <v>0</v>
      </c>
      <c r="G86" s="32">
        <f t="shared" si="12"/>
        <v>164</v>
      </c>
      <c r="H86" s="32">
        <f t="shared" si="12"/>
        <v>0</v>
      </c>
      <c r="I86" s="32">
        <f t="shared" si="12"/>
        <v>3639136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2105214</v>
      </c>
      <c r="O86" s="32">
        <f t="shared" si="12"/>
        <v>110579</v>
      </c>
      <c r="P86" s="32">
        <f t="shared" si="12"/>
        <v>4389317</v>
      </c>
      <c r="Q86" s="32">
        <f t="shared" si="12"/>
        <v>337054</v>
      </c>
      <c r="R86" s="32">
        <f t="shared" si="12"/>
        <v>461032</v>
      </c>
      <c r="S86" s="32">
        <f t="shared" si="12"/>
        <v>404504</v>
      </c>
      <c r="T86" s="32">
        <f t="shared" si="12"/>
        <v>0</v>
      </c>
      <c r="U86" s="32">
        <f t="shared" si="12"/>
        <v>2965264</v>
      </c>
      <c r="V86" s="32">
        <f t="shared" si="12"/>
        <v>0</v>
      </c>
      <c r="W86" s="32">
        <f t="shared" si="12"/>
        <v>641848</v>
      </c>
      <c r="X86" s="32">
        <f t="shared" si="12"/>
        <v>1000620</v>
      </c>
      <c r="Y86" s="32">
        <f t="shared" si="12"/>
        <v>1167609</v>
      </c>
      <c r="Z86" s="32">
        <f t="shared" si="12"/>
        <v>0</v>
      </c>
      <c r="AA86" s="32">
        <f t="shared" si="12"/>
        <v>7566</v>
      </c>
      <c r="AB86" s="32">
        <f t="shared" si="12"/>
        <v>2074208</v>
      </c>
      <c r="AC86" s="32">
        <f t="shared" si="12"/>
        <v>388492</v>
      </c>
      <c r="AD86" s="32">
        <f t="shared" si="12"/>
        <v>0</v>
      </c>
      <c r="AE86" s="32">
        <f t="shared" si="12"/>
        <v>732260</v>
      </c>
      <c r="AF86" s="32">
        <f t="shared" si="12"/>
        <v>0</v>
      </c>
      <c r="AG86" s="32">
        <f t="shared" si="12"/>
        <v>4836518</v>
      </c>
      <c r="AH86" s="32">
        <f t="shared" si="12"/>
        <v>0</v>
      </c>
      <c r="AI86" s="32">
        <f t="shared" si="12"/>
        <v>0</v>
      </c>
      <c r="AJ86" s="32">
        <f t="shared" si="12"/>
        <v>2051576</v>
      </c>
      <c r="AK86" s="32">
        <f t="shared" si="12"/>
        <v>208287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19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136659</v>
      </c>
      <c r="AY86" s="32">
        <f t="shared" si="12"/>
        <v>0</v>
      </c>
      <c r="AZ86" s="32">
        <f t="shared" si="12"/>
        <v>1225624</v>
      </c>
      <c r="BA86" s="32">
        <f t="shared" si="12"/>
        <v>326480</v>
      </c>
      <c r="BB86" s="32">
        <f t="shared" si="12"/>
        <v>0</v>
      </c>
      <c r="BC86" s="32">
        <f t="shared" si="12"/>
        <v>0</v>
      </c>
      <c r="BD86" s="32">
        <f t="shared" si="12"/>
        <v>303207</v>
      </c>
      <c r="BE86" s="32">
        <f t="shared" si="12"/>
        <v>2240255</v>
      </c>
      <c r="BF86" s="32">
        <f t="shared" si="12"/>
        <v>1049256</v>
      </c>
      <c r="BG86" s="32">
        <f t="shared" si="12"/>
        <v>103190</v>
      </c>
      <c r="BH86" s="32">
        <f t="shared" si="12"/>
        <v>1975269</v>
      </c>
      <c r="BI86" s="32">
        <f t="shared" si="12"/>
        <v>3327639</v>
      </c>
      <c r="BJ86" s="32">
        <f t="shared" si="12"/>
        <v>355389</v>
      </c>
      <c r="BK86" s="32">
        <f t="shared" si="12"/>
        <v>775900</v>
      </c>
      <c r="BL86" s="32">
        <f t="shared" si="12"/>
        <v>772559</v>
      </c>
      <c r="BM86" s="32">
        <f t="shared" si="12"/>
        <v>0</v>
      </c>
      <c r="BN86" s="32">
        <f t="shared" si="12"/>
        <v>3985861</v>
      </c>
      <c r="BO86" s="32">
        <f t="shared" si="12"/>
        <v>17552</v>
      </c>
      <c r="BP86" s="32">
        <f t="shared" ref="BP86:CD86" si="13">SUM(BP62:BP70)-BP85</f>
        <v>186179</v>
      </c>
      <c r="BQ86" s="32">
        <f t="shared" si="13"/>
        <v>0</v>
      </c>
      <c r="BR86" s="32">
        <f t="shared" si="13"/>
        <v>524097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911572</v>
      </c>
      <c r="BW86" s="32">
        <f t="shared" si="13"/>
        <v>80569</v>
      </c>
      <c r="BX86" s="32">
        <f t="shared" si="13"/>
        <v>725356</v>
      </c>
      <c r="BY86" s="32">
        <f t="shared" si="13"/>
        <v>542807</v>
      </c>
      <c r="BZ86" s="32">
        <f t="shared" si="13"/>
        <v>0</v>
      </c>
      <c r="CA86" s="32">
        <f t="shared" si="13"/>
        <v>18623</v>
      </c>
      <c r="CB86" s="32">
        <f t="shared" si="13"/>
        <v>0</v>
      </c>
      <c r="CC86" s="32">
        <f t="shared" si="13"/>
        <v>336608</v>
      </c>
      <c r="CD86" s="32">
        <f t="shared" si="13"/>
        <v>595213</v>
      </c>
      <c r="CE86" s="32">
        <f t="shared" si="11"/>
        <v>51718665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1020388</v>
      </c>
      <c r="D88" s="213"/>
      <c r="E88" s="213">
        <v>4787787</v>
      </c>
      <c r="F88" s="213"/>
      <c r="G88" s="213"/>
      <c r="H88" s="213"/>
      <c r="I88" s="213">
        <v>5528741</v>
      </c>
      <c r="J88" s="213"/>
      <c r="K88" s="213"/>
      <c r="L88" s="213"/>
      <c r="M88" s="213"/>
      <c r="N88" s="213">
        <v>0</v>
      </c>
      <c r="O88" s="213"/>
      <c r="P88" s="213">
        <v>5068303</v>
      </c>
      <c r="Q88" s="213">
        <v>525449</v>
      </c>
      <c r="R88" s="213">
        <v>467399</v>
      </c>
      <c r="S88" s="213"/>
      <c r="T88" s="213"/>
      <c r="U88" s="213">
        <v>2071410</v>
      </c>
      <c r="V88" s="213">
        <v>166024</v>
      </c>
      <c r="W88" s="213">
        <v>216104</v>
      </c>
      <c r="X88" s="213">
        <v>2192361</v>
      </c>
      <c r="Y88" s="213">
        <v>846922</v>
      </c>
      <c r="Z88" s="213"/>
      <c r="AA88" s="213"/>
      <c r="AB88" s="213">
        <v>2444221</v>
      </c>
      <c r="AC88" s="213">
        <v>340582</v>
      </c>
      <c r="AD88" s="213"/>
      <c r="AE88" s="213">
        <v>266910</v>
      </c>
      <c r="AF88" s="213"/>
      <c r="AG88" s="213">
        <v>2411901</v>
      </c>
      <c r="AH88" s="213"/>
      <c r="AI88" s="213"/>
      <c r="AJ88" s="213">
        <v>12847</v>
      </c>
      <c r="AK88" s="213">
        <v>4261</v>
      </c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>
        <v>520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28372130</v>
      </c>
    </row>
    <row r="89" spans="1:84" x14ac:dyDescent="0.35">
      <c r="A89" s="26" t="s">
        <v>273</v>
      </c>
      <c r="B89" s="20"/>
      <c r="C89" s="213">
        <v>-3849</v>
      </c>
      <c r="D89" s="213"/>
      <c r="E89" s="213">
        <v>1253550</v>
      </c>
      <c r="F89" s="213"/>
      <c r="G89" s="213"/>
      <c r="H89" s="213"/>
      <c r="I89" s="213">
        <v>657954</v>
      </c>
      <c r="J89" s="213"/>
      <c r="K89" s="213"/>
      <c r="L89" s="213"/>
      <c r="M89" s="213"/>
      <c r="N89" s="213">
        <v>1191966</v>
      </c>
      <c r="O89" s="213"/>
      <c r="P89" s="213">
        <v>17553569</v>
      </c>
      <c r="Q89" s="213">
        <v>1634554</v>
      </c>
      <c r="R89" s="213">
        <v>1588231</v>
      </c>
      <c r="S89" s="213"/>
      <c r="T89" s="213"/>
      <c r="U89" s="213">
        <v>9424457</v>
      </c>
      <c r="V89" s="213">
        <v>1374814</v>
      </c>
      <c r="W89" s="213">
        <v>4215184</v>
      </c>
      <c r="X89" s="213">
        <v>15784972</v>
      </c>
      <c r="Y89" s="213">
        <v>7300888</v>
      </c>
      <c r="Z89" s="213"/>
      <c r="AA89" s="213"/>
      <c r="AB89" s="213">
        <v>2732383</v>
      </c>
      <c r="AC89" s="213">
        <v>228580</v>
      </c>
      <c r="AD89" s="213"/>
      <c r="AE89" s="213">
        <v>2381357</v>
      </c>
      <c r="AF89" s="213"/>
      <c r="AG89" s="213">
        <v>32326783</v>
      </c>
      <c r="AH89" s="213"/>
      <c r="AI89" s="213"/>
      <c r="AJ89" s="213">
        <v>5753096</v>
      </c>
      <c r="AK89" s="213">
        <v>1079658</v>
      </c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>
        <v>46600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106524747</v>
      </c>
    </row>
    <row r="90" spans="1:84" x14ac:dyDescent="0.35">
      <c r="A90" s="26" t="s">
        <v>274</v>
      </c>
      <c r="B90" s="20"/>
      <c r="C90" s="32">
        <f>C88+C89</f>
        <v>1016539</v>
      </c>
      <c r="D90" s="32">
        <f t="shared" ref="D90:AV90" si="15">D88+D89</f>
        <v>0</v>
      </c>
      <c r="E90" s="32">
        <f t="shared" si="15"/>
        <v>6041337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6186695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1191966</v>
      </c>
      <c r="O90" s="32">
        <f t="shared" si="15"/>
        <v>0</v>
      </c>
      <c r="P90" s="32">
        <f t="shared" si="15"/>
        <v>22621872</v>
      </c>
      <c r="Q90" s="32">
        <f t="shared" si="15"/>
        <v>2160003</v>
      </c>
      <c r="R90" s="32">
        <f t="shared" si="15"/>
        <v>2055630</v>
      </c>
      <c r="S90" s="32">
        <f t="shared" si="15"/>
        <v>0</v>
      </c>
      <c r="T90" s="32">
        <f t="shared" si="15"/>
        <v>0</v>
      </c>
      <c r="U90" s="32">
        <f t="shared" si="15"/>
        <v>11495867</v>
      </c>
      <c r="V90" s="32">
        <f t="shared" si="15"/>
        <v>1540838</v>
      </c>
      <c r="W90" s="32">
        <f t="shared" si="15"/>
        <v>4431288</v>
      </c>
      <c r="X90" s="32">
        <f t="shared" si="15"/>
        <v>17977333</v>
      </c>
      <c r="Y90" s="32">
        <f t="shared" si="15"/>
        <v>8147810</v>
      </c>
      <c r="Z90" s="32">
        <f t="shared" si="15"/>
        <v>0</v>
      </c>
      <c r="AA90" s="32">
        <f t="shared" si="15"/>
        <v>0</v>
      </c>
      <c r="AB90" s="32">
        <f t="shared" si="15"/>
        <v>5176604</v>
      </c>
      <c r="AC90" s="32">
        <f t="shared" si="15"/>
        <v>569162</v>
      </c>
      <c r="AD90" s="32">
        <f t="shared" si="15"/>
        <v>0</v>
      </c>
      <c r="AE90" s="32">
        <f t="shared" si="15"/>
        <v>2648267</v>
      </c>
      <c r="AF90" s="32">
        <f t="shared" si="15"/>
        <v>0</v>
      </c>
      <c r="AG90" s="32">
        <f t="shared" si="15"/>
        <v>34738684</v>
      </c>
      <c r="AH90" s="32">
        <f t="shared" si="15"/>
        <v>0</v>
      </c>
      <c r="AI90" s="32">
        <f t="shared" si="15"/>
        <v>0</v>
      </c>
      <c r="AJ90" s="32">
        <f t="shared" si="15"/>
        <v>5765943</v>
      </c>
      <c r="AK90" s="32">
        <f t="shared" si="15"/>
        <v>1083919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47120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134896877</v>
      </c>
    </row>
    <row r="91" spans="1:84" x14ac:dyDescent="0.35">
      <c r="A91" s="39" t="s">
        <v>275</v>
      </c>
      <c r="B91" s="32"/>
      <c r="C91" s="213">
        <v>2200</v>
      </c>
      <c r="D91" s="213"/>
      <c r="E91" s="213">
        <v>11120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>
        <v>6045</v>
      </c>
      <c r="P91" s="213">
        <v>5422</v>
      </c>
      <c r="Q91" s="213">
        <v>600</v>
      </c>
      <c r="R91" s="213">
        <v>182</v>
      </c>
      <c r="S91" s="213"/>
      <c r="T91" s="213"/>
      <c r="U91" s="213">
        <v>1280</v>
      </c>
      <c r="V91" s="213"/>
      <c r="W91" s="213">
        <v>726</v>
      </c>
      <c r="X91" s="213">
        <v>554</v>
      </c>
      <c r="Y91" s="213">
        <v>3578</v>
      </c>
      <c r="Z91" s="213"/>
      <c r="AA91" s="213">
        <v>427</v>
      </c>
      <c r="AB91" s="213">
        <v>811</v>
      </c>
      <c r="AC91" s="213">
        <v>765</v>
      </c>
      <c r="AD91" s="213"/>
      <c r="AE91" s="213">
        <v>260</v>
      </c>
      <c r="AF91" s="213"/>
      <c r="AG91" s="213">
        <v>7800</v>
      </c>
      <c r="AH91" s="213"/>
      <c r="AI91" s="213"/>
      <c r="AJ91" s="213">
        <v>8420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>
        <v>4436</v>
      </c>
      <c r="BA91" s="213">
        <v>413</v>
      </c>
      <c r="BB91" s="213"/>
      <c r="BC91" s="213"/>
      <c r="BD91" s="213">
        <v>3220</v>
      </c>
      <c r="BE91" s="213">
        <v>10476</v>
      </c>
      <c r="BF91" s="213">
        <v>385</v>
      </c>
      <c r="BG91" s="213"/>
      <c r="BH91" s="213">
        <v>1300</v>
      </c>
      <c r="BI91" s="213"/>
      <c r="BJ91" s="213"/>
      <c r="BK91" s="213">
        <v>1200</v>
      </c>
      <c r="BL91" s="213">
        <v>420</v>
      </c>
      <c r="BM91" s="213"/>
      <c r="BN91" s="213">
        <v>5828</v>
      </c>
      <c r="BO91" s="213"/>
      <c r="BP91" s="213"/>
      <c r="BQ91" s="213"/>
      <c r="BR91" s="213">
        <v>600</v>
      </c>
      <c r="BS91" s="213"/>
      <c r="BT91" s="213"/>
      <c r="BU91" s="213"/>
      <c r="BV91" s="213">
        <v>2727</v>
      </c>
      <c r="BW91" s="213"/>
      <c r="BX91" s="213"/>
      <c r="BY91" s="213">
        <v>747</v>
      </c>
      <c r="BZ91" s="213"/>
      <c r="CA91" s="213"/>
      <c r="CB91" s="213"/>
      <c r="CC91" s="213">
        <v>1695</v>
      </c>
      <c r="CD91" s="233" t="s">
        <v>233</v>
      </c>
      <c r="CE91" s="32">
        <f t="shared" si="14"/>
        <v>83637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826</v>
      </c>
      <c r="D92" s="213"/>
      <c r="E92" s="213">
        <v>8157</v>
      </c>
      <c r="F92" s="213"/>
      <c r="G92" s="213"/>
      <c r="H92" s="213"/>
      <c r="I92" s="213">
        <v>15447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>
        <v>771</v>
      </c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>SUM(C92:CD92)</f>
        <v>25201</v>
      </c>
      <c r="CF92" s="32">
        <f>AY60-CE92</f>
        <v>-25201</v>
      </c>
    </row>
    <row r="93" spans="1:84" x14ac:dyDescent="0.35">
      <c r="A93" s="26" t="s">
        <v>277</v>
      </c>
      <c r="B93" s="20"/>
      <c r="C93" s="213">
        <v>921.03662912308926</v>
      </c>
      <c r="D93" s="213"/>
      <c r="E93" s="213">
        <v>3863.7014078841516</v>
      </c>
      <c r="F93" s="213"/>
      <c r="G93" s="213"/>
      <c r="H93" s="213"/>
      <c r="I93" s="213">
        <v>6529.4009493161702</v>
      </c>
      <c r="J93" s="213"/>
      <c r="K93" s="213"/>
      <c r="L93" s="213"/>
      <c r="M93" s="213"/>
      <c r="N93" s="213"/>
      <c r="O93" s="213"/>
      <c r="P93" s="213">
        <v>2270.2426146419953</v>
      </c>
      <c r="Q93" s="213">
        <v>251.52223652453739</v>
      </c>
      <c r="R93" s="213">
        <v>76.329002413515695</v>
      </c>
      <c r="S93" s="213"/>
      <c r="T93" s="213"/>
      <c r="U93" s="213">
        <v>536.48384553499602</v>
      </c>
      <c r="V93" s="213"/>
      <c r="W93" s="213">
        <v>200.63623491552696</v>
      </c>
      <c r="X93" s="213">
        <v>168.65074818986326</v>
      </c>
      <c r="Y93" s="213">
        <v>1066.4252051488334</v>
      </c>
      <c r="Z93" s="213"/>
      <c r="AA93" s="213">
        <v>178.82794851166531</v>
      </c>
      <c r="AB93" s="213">
        <v>339.48232502011263</v>
      </c>
      <c r="AC93" s="213">
        <v>319.85486725663719</v>
      </c>
      <c r="AD93" s="213"/>
      <c r="AE93" s="213">
        <v>108.31448913917941</v>
      </c>
      <c r="AF93" s="213"/>
      <c r="AG93" s="213">
        <v>3266.8813032984717</v>
      </c>
      <c r="AH93" s="213"/>
      <c r="AI93" s="213">
        <v>251.52223652453739</v>
      </c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>
        <v>10372.747956556719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30722.059999999998</v>
      </c>
      <c r="CF93" s="20"/>
    </row>
    <row r="94" spans="1:84" x14ac:dyDescent="0.35">
      <c r="A94" s="26" t="s">
        <v>278</v>
      </c>
      <c r="B94" s="20"/>
      <c r="C94" s="213">
        <v>4130</v>
      </c>
      <c r="D94" s="213"/>
      <c r="E94" s="213">
        <v>58535</v>
      </c>
      <c r="F94" s="213"/>
      <c r="G94" s="213"/>
      <c r="H94" s="213"/>
      <c r="I94" s="213">
        <v>7446</v>
      </c>
      <c r="J94" s="213"/>
      <c r="K94" s="213"/>
      <c r="L94" s="213"/>
      <c r="M94" s="213"/>
      <c r="N94" s="213"/>
      <c r="O94" s="213"/>
      <c r="P94" s="213">
        <v>44075</v>
      </c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>
        <v>5870</v>
      </c>
      <c r="AG94" s="213">
        <v>38430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158486</v>
      </c>
      <c r="CF94" s="32">
        <f>BA60</f>
        <v>0</v>
      </c>
    </row>
    <row r="95" spans="1:84" x14ac:dyDescent="0.35">
      <c r="A95" s="26" t="s">
        <v>279</v>
      </c>
      <c r="B95" s="20"/>
      <c r="C95" s="243">
        <v>3.42</v>
      </c>
      <c r="D95" s="243"/>
      <c r="E95" s="243">
        <v>15.99</v>
      </c>
      <c r="F95" s="243"/>
      <c r="G95" s="243"/>
      <c r="H95" s="243"/>
      <c r="I95" s="243">
        <v>8.2799999999999994</v>
      </c>
      <c r="J95" s="243"/>
      <c r="K95" s="243"/>
      <c r="L95" s="243"/>
      <c r="M95" s="243"/>
      <c r="N95" s="243"/>
      <c r="O95" s="243"/>
      <c r="P95" s="244">
        <v>4.29</v>
      </c>
      <c r="Q95" s="244">
        <v>2.14</v>
      </c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>
        <v>16.14</v>
      </c>
      <c r="AH95" s="244"/>
      <c r="AI95" s="244"/>
      <c r="AJ95" s="244">
        <v>4.2</v>
      </c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54.46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98272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626</v>
      </c>
      <c r="D128" s="220">
        <v>2541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>
        <v>620</v>
      </c>
      <c r="D130" s="220">
        <v>5549</v>
      </c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26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36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62</v>
      </c>
    </row>
    <row r="145" spans="1:6" x14ac:dyDescent="0.35">
      <c r="A145" s="20" t="s">
        <v>325</v>
      </c>
      <c r="B145" s="46" t="s">
        <v>284</v>
      </c>
      <c r="C145" s="47">
        <v>112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298</v>
      </c>
      <c r="C155" s="50">
        <v>104</v>
      </c>
      <c r="D155" s="50">
        <v>224</v>
      </c>
      <c r="E155" s="32">
        <f>SUM(B155:D155)</f>
        <v>626</v>
      </c>
    </row>
    <row r="156" spans="1:6" x14ac:dyDescent="0.35">
      <c r="A156" s="20" t="s">
        <v>227</v>
      </c>
      <c r="B156" s="50">
        <v>598</v>
      </c>
      <c r="C156" s="50">
        <v>158</v>
      </c>
      <c r="D156" s="50">
        <v>1785</v>
      </c>
      <c r="E156" s="32">
        <f>SUM(B156:D156)</f>
        <v>2541</v>
      </c>
    </row>
    <row r="157" spans="1:6" x14ac:dyDescent="0.35">
      <c r="A157" s="20" t="s">
        <v>332</v>
      </c>
      <c r="B157" s="50">
        <v>6049</v>
      </c>
      <c r="C157" s="50">
        <v>3769</v>
      </c>
      <c r="D157" s="50">
        <v>27471</v>
      </c>
      <c r="E157" s="32">
        <f>SUM(B157:D157)</f>
        <v>37289</v>
      </c>
    </row>
    <row r="158" spans="1:6" x14ac:dyDescent="0.35">
      <c r="A158" s="20" t="s">
        <v>272</v>
      </c>
      <c r="B158" s="50">
        <v>6291098</v>
      </c>
      <c r="C158" s="50">
        <v>1819966</v>
      </c>
      <c r="D158" s="50">
        <v>14732326</v>
      </c>
      <c r="E158" s="32">
        <f>SUM(B158:D158)</f>
        <v>22843390</v>
      </c>
      <c r="F158" s="18"/>
    </row>
    <row r="159" spans="1:6" x14ac:dyDescent="0.35">
      <c r="A159" s="20" t="s">
        <v>273</v>
      </c>
      <c r="B159" s="50">
        <v>14211566</v>
      </c>
      <c r="C159" s="50">
        <v>12923732</v>
      </c>
      <c r="D159" s="50">
        <v>78731495</v>
      </c>
      <c r="E159" s="32">
        <f>SUM(B159:D159)</f>
        <v>105866793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>
        <v>29</v>
      </c>
      <c r="C167" s="50">
        <v>32</v>
      </c>
      <c r="D167" s="50">
        <v>559</v>
      </c>
      <c r="E167" s="32">
        <f>SUM(B167:D167)</f>
        <v>620</v>
      </c>
    </row>
    <row r="168" spans="1:5" x14ac:dyDescent="0.35">
      <c r="A168" s="20" t="s">
        <v>227</v>
      </c>
      <c r="B168" s="50">
        <v>268</v>
      </c>
      <c r="C168" s="50">
        <v>332</v>
      </c>
      <c r="D168" s="50">
        <v>4949</v>
      </c>
      <c r="E168" s="32">
        <f>SUM(B168:D168)</f>
        <v>5549</v>
      </c>
    </row>
    <row r="169" spans="1:5" x14ac:dyDescent="0.35">
      <c r="A169" s="20" t="s">
        <v>332</v>
      </c>
      <c r="B169" s="50">
        <v>23</v>
      </c>
      <c r="C169" s="50">
        <v>0</v>
      </c>
      <c r="D169" s="50">
        <v>130</v>
      </c>
      <c r="E169" s="32">
        <f>SUM(B169:D169)</f>
        <v>153</v>
      </c>
    </row>
    <row r="170" spans="1:5" x14ac:dyDescent="0.35">
      <c r="A170" s="20" t="s">
        <v>272</v>
      </c>
      <c r="B170" s="50">
        <v>201426</v>
      </c>
      <c r="C170" s="50">
        <v>508445</v>
      </c>
      <c r="D170" s="50">
        <v>4818869</v>
      </c>
      <c r="E170" s="32">
        <f>SUM(B170:D170)</f>
        <v>5528740</v>
      </c>
    </row>
    <row r="171" spans="1:5" x14ac:dyDescent="0.35">
      <c r="A171" s="20" t="s">
        <v>273</v>
      </c>
      <c r="B171" s="50">
        <v>26361.3</v>
      </c>
      <c r="C171" s="50">
        <v>0</v>
      </c>
      <c r="D171" s="50">
        <v>631593</v>
      </c>
      <c r="E171" s="32">
        <f>SUM(B171:D171)</f>
        <v>657954.30000000005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2477429</v>
      </c>
      <c r="C174" s="50">
        <v>1554497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1554795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35000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222244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2476458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604408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869067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219390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5981362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890970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247697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1138667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153223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134728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287951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42071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316696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358767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741390.21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741390.21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1878609.67</v>
      </c>
      <c r="C212" s="216"/>
      <c r="D212" s="220"/>
      <c r="E212" s="32">
        <f t="shared" ref="E212:E220" si="16">SUM(B212:C212)-D212</f>
        <v>1878609.67</v>
      </c>
    </row>
    <row r="213" spans="1:5" x14ac:dyDescent="0.35">
      <c r="A213" s="20" t="s">
        <v>367</v>
      </c>
      <c r="B213" s="220">
        <v>1233751.07</v>
      </c>
      <c r="C213" s="216"/>
      <c r="D213" s="220"/>
      <c r="E213" s="32">
        <f t="shared" si="16"/>
        <v>1233751.07</v>
      </c>
    </row>
    <row r="214" spans="1:5" x14ac:dyDescent="0.35">
      <c r="A214" s="20" t="s">
        <v>368</v>
      </c>
      <c r="B214" s="220">
        <v>27003557.850000001</v>
      </c>
      <c r="C214" s="216">
        <v>223877</v>
      </c>
      <c r="D214" s="220"/>
      <c r="E214" s="32">
        <f t="shared" si="16"/>
        <v>27227434.850000001</v>
      </c>
    </row>
    <row r="215" spans="1:5" x14ac:dyDescent="0.35">
      <c r="A215" s="20" t="s">
        <v>369</v>
      </c>
      <c r="B215" s="220">
        <v>2731402.69</v>
      </c>
      <c r="C215" s="216"/>
      <c r="D215" s="220"/>
      <c r="E215" s="32">
        <f t="shared" si="16"/>
        <v>2731402.69</v>
      </c>
    </row>
    <row r="216" spans="1:5" x14ac:dyDescent="0.35">
      <c r="A216" s="20" t="s">
        <v>370</v>
      </c>
      <c r="B216" s="220">
        <v>0</v>
      </c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19382293.829999998</v>
      </c>
      <c r="C217" s="216">
        <v>82543</v>
      </c>
      <c r="D217" s="220"/>
      <c r="E217" s="32">
        <f t="shared" si="16"/>
        <v>19464836.829999998</v>
      </c>
    </row>
    <row r="218" spans="1:5" x14ac:dyDescent="0.35">
      <c r="A218" s="20" t="s">
        <v>372</v>
      </c>
      <c r="B218" s="220">
        <v>0</v>
      </c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3109130.11</v>
      </c>
      <c r="C219" s="216"/>
      <c r="D219" s="220"/>
      <c r="E219" s="32">
        <f t="shared" si="16"/>
        <v>3109130.11</v>
      </c>
    </row>
    <row r="220" spans="1:5" x14ac:dyDescent="0.35">
      <c r="A220" s="20" t="s">
        <v>374</v>
      </c>
      <c r="B220" s="220">
        <v>201524</v>
      </c>
      <c r="C220" s="216">
        <v>26898</v>
      </c>
      <c r="D220" s="220">
        <v>8969</v>
      </c>
      <c r="E220" s="32">
        <f t="shared" si="16"/>
        <v>219453</v>
      </c>
    </row>
    <row r="221" spans="1:5" x14ac:dyDescent="0.35">
      <c r="A221" s="20" t="s">
        <v>215</v>
      </c>
      <c r="B221" s="32">
        <f>SUM(B212:B220)</f>
        <v>55540269.219999999</v>
      </c>
      <c r="C221" s="266">
        <f>SUM(C212:C220)</f>
        <v>333318</v>
      </c>
      <c r="D221" s="32">
        <f>SUM(D212:D220)</f>
        <v>8969</v>
      </c>
      <c r="E221" s="32">
        <f>SUM(E212:E220)</f>
        <v>55864618.219999999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938361.25</v>
      </c>
      <c r="C226" s="216">
        <v>62597.180000000008</v>
      </c>
      <c r="D226" s="220"/>
      <c r="E226" s="32">
        <f t="shared" ref="E226:E233" si="17">SUM(B226:C226)-D226</f>
        <v>1000958.43</v>
      </c>
    </row>
    <row r="227" spans="1:5" x14ac:dyDescent="0.35">
      <c r="A227" s="20" t="s">
        <v>368</v>
      </c>
      <c r="B227" s="220">
        <v>19499735.620000001</v>
      </c>
      <c r="C227" s="216">
        <v>1032354.4824166666</v>
      </c>
      <c r="D227" s="220"/>
      <c r="E227" s="32">
        <f t="shared" si="17"/>
        <v>20532090.102416668</v>
      </c>
    </row>
    <row r="228" spans="1:5" x14ac:dyDescent="0.35">
      <c r="A228" s="20" t="s">
        <v>369</v>
      </c>
      <c r="B228" s="220">
        <v>2463416.75</v>
      </c>
      <c r="C228" s="216">
        <v>48712.090000000004</v>
      </c>
      <c r="D228" s="220"/>
      <c r="E228" s="32">
        <f t="shared" si="17"/>
        <v>2512128.84</v>
      </c>
    </row>
    <row r="229" spans="1:5" x14ac:dyDescent="0.35">
      <c r="A229" s="20" t="s">
        <v>370</v>
      </c>
      <c r="B229" s="220">
        <v>0</v>
      </c>
      <c r="C229" s="216">
        <v>0</v>
      </c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15356901.779999999</v>
      </c>
      <c r="C230" s="216">
        <v>1104673.990595239</v>
      </c>
      <c r="D230" s="220"/>
      <c r="E230" s="32">
        <f t="shared" si="17"/>
        <v>16461575.770595238</v>
      </c>
    </row>
    <row r="231" spans="1:5" x14ac:dyDescent="0.35">
      <c r="A231" s="20" t="s">
        <v>372</v>
      </c>
      <c r="B231" s="220">
        <v>0</v>
      </c>
      <c r="C231" s="216">
        <v>0</v>
      </c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2291401.21</v>
      </c>
      <c r="C232" s="216">
        <v>83091.680000000008</v>
      </c>
      <c r="D232" s="220"/>
      <c r="E232" s="32">
        <f t="shared" si="17"/>
        <v>2374492.89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40549816.609999999</v>
      </c>
      <c r="C234" s="266">
        <f>SUM(C225:C233)</f>
        <v>2331429.423011906</v>
      </c>
      <c r="D234" s="32">
        <f>SUM(D225:D233)</f>
        <v>0</v>
      </c>
      <c r="E234" s="32">
        <f>SUM(E225:E233)</f>
        <v>42881246.033011906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9" t="s">
        <v>377</v>
      </c>
      <c r="C237" s="349"/>
      <c r="D237" s="38"/>
      <c r="E237" s="38"/>
    </row>
    <row r="238" spans="1:5" x14ac:dyDescent="0.35">
      <c r="A238" s="56" t="s">
        <v>377</v>
      </c>
      <c r="B238" s="38"/>
      <c r="C238" s="216">
        <v>4023235.69</v>
      </c>
      <c r="D238" s="40">
        <f>C238</f>
        <v>4023235.69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28591158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19292035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1995927.99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1148297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30576765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3925835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85530017.99000001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717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200947.44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638868.52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839815.96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966250.55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966250.55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91359320.189999998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11275726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0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24100359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15360364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284116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77790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>
        <v>1954497</v>
      </c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844559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649974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23826657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1878609.67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1233751.07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27227435.309999999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2731402.69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19464837.079999998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3109130.11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219453.48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55864619.409999989</v>
      </c>
      <c r="E292" s="20"/>
    </row>
    <row r="293" spans="1:5" x14ac:dyDescent="0.35">
      <c r="A293" s="20" t="s">
        <v>416</v>
      </c>
      <c r="B293" s="46" t="s">
        <v>284</v>
      </c>
      <c r="C293" s="47">
        <v>42881246.030000001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12983373.379999988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36810030.379999988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1420785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2631872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3319499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2573578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1373082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11318816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19044958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845392.7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19890350.699999999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19890350.699999999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5600862.8900000043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36810029.590000004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36810030.379999988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28372130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106524747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134896877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4023236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85530018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839816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966251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91359321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43537556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2097402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2097402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2097402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45634958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25527643.560000002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5981362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2056306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6413749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618640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6830587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2332060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1138667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287952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358767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0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172927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172927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51718660.560000002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-6083702.5600000024</v>
      </c>
      <c r="E418" s="32"/>
    </row>
    <row r="419" spans="1:13" x14ac:dyDescent="0.35">
      <c r="A419" s="32" t="s">
        <v>508</v>
      </c>
      <c r="B419" s="20"/>
      <c r="C419" s="236">
        <v>10750468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10750468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4666765.4399999976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4666765.4399999976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73161</v>
      </c>
      <c r="E613" s="258">
        <f>SUM(C625:D648)+SUM(C669:D714)</f>
        <v>46323213.469676465</v>
      </c>
      <c r="F613" s="258">
        <f>CE65-(AX65+BD65+BE65+BG65+BJ65+BN65+BP65+BQ65+CB65+CC65+CD65)</f>
        <v>6215431</v>
      </c>
      <c r="G613" s="256">
        <f>CE92-(AX92+AY92+BD92+BE92+BG92+BJ92+BN92+BP92+BQ92+CB92+CC92+CD92)</f>
        <v>25201</v>
      </c>
      <c r="H613" s="261">
        <f>CE61-(AX61+AY61+AZ61+BD61+BE61+BG61+BJ61+BN61+BO61+BP61+BQ61+BR61+CB61+CC61+CD61)</f>
        <v>223.55</v>
      </c>
      <c r="I613" s="256">
        <f>CE93-(AX93+AY93+AZ93+BD93+BE93+BF93+BG93+BJ93+BN93+BO93+BP93+BQ93+BR93+CB93+CC93+CD93)</f>
        <v>30722.059999999998</v>
      </c>
      <c r="J613" s="256">
        <f>CE94-(AX94+AY94+AZ94+BA94+BD94+BE94+BF94+BG94+BJ94+BN94+BO94+BP94+BQ94+BR94+CB94+CC94+CD94)</f>
        <v>158486</v>
      </c>
      <c r="K613" s="256">
        <f>CE90-(AW90+AX90+AY90+AZ90+BA90+BB90+BC90+BD90+BE90+BF90+BG90+BH90+BI90+BJ90+BK90+BL90+BM90+BN90+BO90+BP90+BQ90+BR90+BS90+BT90+BU90+BV90+BW90+BX90+CB90+CC90+CD90)</f>
        <v>134896877</v>
      </c>
      <c r="L613" s="262">
        <f>CE95-(AW95+AX95+AY95+AZ95+BA95+BB95+BC95+BD95+BE95+BF95+BG95+BH95+BI95+BJ95+BK95+BL95+BM95+BN95+BO95+BP95+BQ95+BR95+BS95+BT95+BU95+BV95+BW95+BX95+BY95+BZ95+CA95+CB95+CC95+CD95)</f>
        <v>54.46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2240255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595213</v>
      </c>
      <c r="D616" s="256">
        <f>SUM(C615:C616)</f>
        <v>2835468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136659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355389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103190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3985861</v>
      </c>
      <c r="D620" s="256">
        <f>(D616/D613)*BN91</f>
        <v>225873.17702054375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336608</v>
      </c>
      <c r="D621" s="256">
        <f>(D616/D613)*CC91</f>
        <v>65692.353302989301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186179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5395451.5303235333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303207</v>
      </c>
      <c r="D625" s="256">
        <f>(D616/D613)*BD91</f>
        <v>124796.09300036906</v>
      </c>
      <c r="E625" s="258">
        <f>(E624/E613)*SUM(C625:D625)</f>
        <v>49851.246710760097</v>
      </c>
      <c r="F625" s="258">
        <f>SUM(C625:E625)</f>
        <v>477854.33971112914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0</v>
      </c>
      <c r="D626" s="256">
        <f>(D616/D613)*AY91</f>
        <v>0</v>
      </c>
      <c r="E626" s="258">
        <f>(E624/E613)*SUM(C626:D626)</f>
        <v>0</v>
      </c>
      <c r="F626" s="258">
        <f>(F625/F613)*AY65</f>
        <v>0</v>
      </c>
      <c r="G626" s="256">
        <f>SUM(C626:F626)</f>
        <v>0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524097</v>
      </c>
      <c r="D627" s="256">
        <f>(D616/D613)*BR91</f>
        <v>23253.930372739575</v>
      </c>
      <c r="E627" s="258">
        <f>(E624/E613)*SUM(C627:D627)</f>
        <v>63752.170752074417</v>
      </c>
      <c r="F627" s="258">
        <f>(F625/F613)*BR65</f>
        <v>105.40512793786273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17552</v>
      </c>
      <c r="D628" s="256">
        <f>(D616/D613)*BO91</f>
        <v>0</v>
      </c>
      <c r="E628" s="258">
        <f>(E624/E613)*SUM(C628:D628)</f>
        <v>2044.352240852864</v>
      </c>
      <c r="F628" s="258">
        <f>(F625/F613)*BO65</f>
        <v>42.976999647895894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1225624</v>
      </c>
      <c r="D629" s="256">
        <f>(D616/D613)*AZ91</f>
        <v>171924.05855578792</v>
      </c>
      <c r="E629" s="258">
        <f>(E624/E613)*SUM(C629:D629)</f>
        <v>162778.05977712481</v>
      </c>
      <c r="F629" s="258">
        <f>(F625/F613)*AZ65</f>
        <v>17446.355399103984</v>
      </c>
      <c r="G629" s="256">
        <f>(G626/G613)*AZ92</f>
        <v>0</v>
      </c>
      <c r="H629" s="258">
        <f>SUM(C627:G629)</f>
        <v>2208620.3092252691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1049256</v>
      </c>
      <c r="D630" s="256">
        <f>(D616/D613)*BF91</f>
        <v>14921.271989174562</v>
      </c>
      <c r="E630" s="258">
        <f>(E624/E613)*SUM(C630:D630)</f>
        <v>123949.0195223198</v>
      </c>
      <c r="F630" s="258">
        <f>(F625/F613)*BF65</f>
        <v>7775.6847770821014</v>
      </c>
      <c r="G630" s="256">
        <f>(G626/G613)*BF92</f>
        <v>0</v>
      </c>
      <c r="H630" s="258">
        <f>(H629/H613)*BF61</f>
        <v>142564.93429711758</v>
      </c>
      <c r="I630" s="256">
        <f>SUM(C630:H630)</f>
        <v>1338466.9105856942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326480</v>
      </c>
      <c r="D631" s="256">
        <f>(D616/D613)*BA91</f>
        <v>16006.455406569075</v>
      </c>
      <c r="E631" s="258">
        <f>(E624/E613)*SUM(C631:D631)</f>
        <v>39890.778975169436</v>
      </c>
      <c r="F631" s="258">
        <f>(F625/F613)*BA65</f>
        <v>127.08583259028964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382504.32021432876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3327639</v>
      </c>
      <c r="D635" s="256">
        <f>(D616/D613)*BI91</f>
        <v>0</v>
      </c>
      <c r="E635" s="258">
        <f>(E624/E613)*SUM(C635:D635)</f>
        <v>387583.53728346532</v>
      </c>
      <c r="F635" s="258">
        <f>(F625/F613)*BI65</f>
        <v>5523.8130066225831</v>
      </c>
      <c r="G635" s="256">
        <f>(G626/G613)*BI92</f>
        <v>0</v>
      </c>
      <c r="H635" s="258">
        <f>(H629/H613)*BI61</f>
        <v>112925.65481746735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775900</v>
      </c>
      <c r="D636" s="256">
        <f>(D616/D613)*BK91</f>
        <v>46507.860745479149</v>
      </c>
      <c r="E636" s="258">
        <f>(E624/E613)*SUM(C636:D636)</f>
        <v>95789.160950890524</v>
      </c>
      <c r="F636" s="258">
        <f>(F625/F613)*BK65</f>
        <v>182.36394126083908</v>
      </c>
      <c r="G636" s="256">
        <f>(G626/G613)*BK92</f>
        <v>0</v>
      </c>
      <c r="H636" s="258">
        <f>(H629/H613)*BK61</f>
        <v>64613.629265637486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1975269</v>
      </c>
      <c r="D637" s="256">
        <f>(D616/D613)*BH91</f>
        <v>50383.515807602416</v>
      </c>
      <c r="E637" s="258">
        <f>(E624/E613)*SUM(C637:D637)</f>
        <v>235935.9195465197</v>
      </c>
      <c r="F637" s="258">
        <f>(F625/F613)*BH65</f>
        <v>5947.5862124529986</v>
      </c>
      <c r="G637" s="256">
        <f>(G626/G613)*BH92</f>
        <v>0</v>
      </c>
      <c r="H637" s="258">
        <f>(H629/H613)*BH61</f>
        <v>67676.354811868005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772559</v>
      </c>
      <c r="D638" s="256">
        <f>(D616/D613)*BL91</f>
        <v>16277.751260917703</v>
      </c>
      <c r="E638" s="258">
        <f>(E624/E613)*SUM(C638:D638)</f>
        <v>91878.998410856351</v>
      </c>
      <c r="F638" s="258">
        <f>(F625/F613)*BL65</f>
        <v>784.73387371390584</v>
      </c>
      <c r="G638" s="256">
        <f>(G626/G613)*BL92</f>
        <v>0</v>
      </c>
      <c r="H638" s="258">
        <f>(H629/H613)*BL61</f>
        <v>105318.23975102379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911572</v>
      </c>
      <c r="D643" s="256">
        <f>(D616/D613)*BV91</f>
        <v>105689.11354410138</v>
      </c>
      <c r="E643" s="258">
        <f>(E624/E613)*SUM(C643:D643)</f>
        <v>118484.50529890403</v>
      </c>
      <c r="F643" s="258">
        <f>(F625/F613)*BV65</f>
        <v>356.19398813721227</v>
      </c>
      <c r="G643" s="256">
        <f>(G626/G613)*BV92</f>
        <v>0</v>
      </c>
      <c r="H643" s="258">
        <f>(H629/H613)*BV61</f>
        <v>85361.124901392657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80569</v>
      </c>
      <c r="D644" s="256">
        <f>(D616/D613)*BW91</f>
        <v>0</v>
      </c>
      <c r="E644" s="258">
        <f>(E624/E613)*SUM(C644:D644)</f>
        <v>9384.1964273743397</v>
      </c>
      <c r="F644" s="258">
        <f>(F625/F613)*BW65</f>
        <v>43.822700893203326</v>
      </c>
      <c r="G644" s="256">
        <f>(G626/G613)*BW92</f>
        <v>0</v>
      </c>
      <c r="H644" s="258">
        <f>(H629/H613)*BW61</f>
        <v>8496.5934508330647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725356</v>
      </c>
      <c r="D645" s="256">
        <f>(D616/D613)*BX91</f>
        <v>0</v>
      </c>
      <c r="E645" s="258">
        <f>(E624/E613)*SUM(C645:D645)</f>
        <v>84485.139244306643</v>
      </c>
      <c r="F645" s="258">
        <f>(F625/F613)*BX65</f>
        <v>111.6325643805811</v>
      </c>
      <c r="G645" s="256">
        <f>(G626/G613)*BX92</f>
        <v>0</v>
      </c>
      <c r="H645" s="258">
        <f>(H629/H613)*BX61</f>
        <v>52560.3222772464</v>
      </c>
      <c r="I645" s="256">
        <f>(I630/I613)*BX93</f>
        <v>0</v>
      </c>
      <c r="J645" s="256">
        <f>(J631/J613)*BX94</f>
        <v>0</v>
      </c>
      <c r="K645" s="258">
        <f>SUM(C632:J645)</f>
        <v>10321165.764083348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542807</v>
      </c>
      <c r="D646" s="256">
        <f>(D616/D613)*BY91</f>
        <v>28951.143314060773</v>
      </c>
      <c r="E646" s="258">
        <f>(E624/E613)*SUM(C646:D646)</f>
        <v>66594.977296602839</v>
      </c>
      <c r="F646" s="258">
        <f>(F625/F613)*BY65</f>
        <v>74.03729993009614</v>
      </c>
      <c r="G646" s="256">
        <f>(G626/G613)*BY92</f>
        <v>0</v>
      </c>
      <c r="H646" s="258">
        <f>(H629/H613)*BY61</f>
        <v>28848.898693526218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18623</v>
      </c>
      <c r="D648" s="256">
        <f>(D616/D613)*CA91</f>
        <v>0</v>
      </c>
      <c r="E648" s="258">
        <f>(E624/E613)*SUM(C648:D648)</f>
        <v>2169.0959310279677</v>
      </c>
      <c r="F648" s="258">
        <f>(F625/F613)*CA65</f>
        <v>146.99825282071009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688215.15078796854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20515864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610118</v>
      </c>
      <c r="D669" s="256">
        <f>(D616/D613)*C91</f>
        <v>85264.411366711778</v>
      </c>
      <c r="E669" s="258">
        <f>(E624/E613)*SUM(C669:D669)</f>
        <v>80993.99446941691</v>
      </c>
      <c r="F669" s="258">
        <f>(F625/F613)*C65</f>
        <v>3090.0385864905757</v>
      </c>
      <c r="G669" s="256">
        <f>(G626/G613)*C92</f>
        <v>0</v>
      </c>
      <c r="H669" s="258">
        <f>(H629/H613)*C61</f>
        <v>33689.981008535753</v>
      </c>
      <c r="I669" s="256">
        <f>(I630/I613)*C93</f>
        <v>40126.770519901438</v>
      </c>
      <c r="J669" s="256">
        <f>(J631/J613)*C94</f>
        <v>9967.7122426282313</v>
      </c>
      <c r="K669" s="256">
        <f>(K645/K613)*C90</f>
        <v>77776.949014583355</v>
      </c>
      <c r="L669" s="256">
        <f>(L648/L613)*C95</f>
        <v>43218.79940680963</v>
      </c>
      <c r="M669" s="231">
        <f t="shared" ref="M669:M714" si="18">ROUND(SUM(D669:L669),0)</f>
        <v>374129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3071416</v>
      </c>
      <c r="D671" s="256">
        <f>(D616/D613)*E91</f>
        <v>430972.8429081068</v>
      </c>
      <c r="E671" s="258">
        <f>(E624/E613)*SUM(C671:D671)</f>
        <v>407937.35638885928</v>
      </c>
      <c r="F671" s="258">
        <f>(F625/F613)*E65</f>
        <v>14987.901878995279</v>
      </c>
      <c r="G671" s="256">
        <f>(G626/G613)*E92</f>
        <v>0</v>
      </c>
      <c r="H671" s="258">
        <f>(H629/H613)*E61</f>
        <v>238003.41422159129</v>
      </c>
      <c r="I671" s="256">
        <f>(I630/I613)*E93</f>
        <v>168329.74373581388</v>
      </c>
      <c r="J671" s="256">
        <f>(J631/J613)*E94</f>
        <v>141273.61649448995</v>
      </c>
      <c r="K671" s="256">
        <f>(K645/K613)*E90</f>
        <v>462231.90633012209</v>
      </c>
      <c r="L671" s="256">
        <f>(L648/L613)*E95</f>
        <v>202066.84284060996</v>
      </c>
      <c r="M671" s="231">
        <f t="shared" si="18"/>
        <v>2065804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164</v>
      </c>
      <c r="D673" s="256">
        <f>(D616/D613)*G91</f>
        <v>0</v>
      </c>
      <c r="E673" s="258">
        <f>(E624/E613)*SUM(C673:D673)</f>
        <v>19.101741539418285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19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3639136</v>
      </c>
      <c r="D675" s="256">
        <f>(D616/D613)*I91</f>
        <v>0</v>
      </c>
      <c r="E675" s="258">
        <f>(E624/E613)*SUM(C675:D675)</f>
        <v>423864.84938288108</v>
      </c>
      <c r="F675" s="258">
        <f>(F625/F613)*I65</f>
        <v>8788.2198135092731</v>
      </c>
      <c r="G675" s="256">
        <f>(G626/G613)*I92</f>
        <v>0</v>
      </c>
      <c r="H675" s="258">
        <f>(H629/H613)*I61</f>
        <v>270804.21684573754</v>
      </c>
      <c r="I675" s="256">
        <f>(I630/I613)*I93</f>
        <v>284466.18217028788</v>
      </c>
      <c r="J675" s="256">
        <f>(J631/J613)*I94</f>
        <v>17970.843912496322</v>
      </c>
      <c r="K675" s="256">
        <f>(K645/K613)*I90</f>
        <v>473353.46856714576</v>
      </c>
      <c r="L675" s="256">
        <f>(L648/L613)*I95</f>
        <v>104634.98803753909</v>
      </c>
      <c r="M675" s="231">
        <f t="shared" si="18"/>
        <v>1583883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2105214</v>
      </c>
      <c r="D680" s="256">
        <f>(D616/D613)*N91</f>
        <v>0</v>
      </c>
      <c r="E680" s="258">
        <f>(E624/E613)*SUM(C680:D680)</f>
        <v>245202.76654368854</v>
      </c>
      <c r="F680" s="258">
        <f>(F625/F613)*N65</f>
        <v>11.147880051779794</v>
      </c>
      <c r="G680" s="256">
        <f>(G626/G613)*N92</f>
        <v>0</v>
      </c>
      <c r="H680" s="258">
        <f>(H629/H613)*N61</f>
        <v>55129.059832149418</v>
      </c>
      <c r="I680" s="256">
        <f>(I630/I613)*N93</f>
        <v>0</v>
      </c>
      <c r="J680" s="256">
        <f>(J631/J613)*N94</f>
        <v>0</v>
      </c>
      <c r="K680" s="256">
        <f>(K645/K613)*N90</f>
        <v>91199.136293951204</v>
      </c>
      <c r="L680" s="256">
        <f>(L648/L613)*N95</f>
        <v>0</v>
      </c>
      <c r="M680" s="231">
        <f t="shared" si="18"/>
        <v>391542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110579</v>
      </c>
      <c r="D681" s="256">
        <f>(D616/D613)*O91</f>
        <v>234283.34850535123</v>
      </c>
      <c r="E681" s="258">
        <f>(E624/E613)*SUM(C681:D681)</f>
        <v>40167.508828207392</v>
      </c>
      <c r="F681" s="258">
        <f>(F625/F613)*O65</f>
        <v>21.450058858252152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274472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4389317</v>
      </c>
      <c r="D682" s="256">
        <f>(D616/D613)*P91</f>
        <v>210138.01746832329</v>
      </c>
      <c r="E682" s="258">
        <f>(E624/E613)*SUM(C682:D682)</f>
        <v>535717.07906012505</v>
      </c>
      <c r="F682" s="258">
        <f>(F625/F613)*P65</f>
        <v>215030.15132594676</v>
      </c>
      <c r="G682" s="256">
        <f>(G626/G613)*P92</f>
        <v>0</v>
      </c>
      <c r="H682" s="258">
        <f>(H629/H613)*P61</f>
        <v>121817.43866136242</v>
      </c>
      <c r="I682" s="256">
        <f>(I630/I613)*P93</f>
        <v>98907.580373837569</v>
      </c>
      <c r="J682" s="256">
        <f>(J631/J613)*P94</f>
        <v>106374.55619705551</v>
      </c>
      <c r="K682" s="256">
        <f>(K645/K613)*P90</f>
        <v>1730833.9229074644</v>
      </c>
      <c r="L682" s="256">
        <f>(L648/L613)*P95</f>
        <v>54213.055396261203</v>
      </c>
      <c r="M682" s="231">
        <f t="shared" si="18"/>
        <v>3073032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337054</v>
      </c>
      <c r="D683" s="256">
        <f>(D616/D613)*Q91</f>
        <v>23253.930372739575</v>
      </c>
      <c r="E683" s="258">
        <f>(E624/E613)*SUM(C683:D683)</f>
        <v>41966.518052334082</v>
      </c>
      <c r="F683" s="258">
        <f>(F625/F613)*Q65</f>
        <v>626.89526856698228</v>
      </c>
      <c r="G683" s="256">
        <f>(G626/G613)*Q92</f>
        <v>0</v>
      </c>
      <c r="H683" s="258">
        <f>(H629/H613)*Q61</f>
        <v>21439.078823613661</v>
      </c>
      <c r="I683" s="256">
        <f>(I630/I613)*Q93</f>
        <v>10958.060457684212</v>
      </c>
      <c r="J683" s="256">
        <f>(J631/J613)*Q94</f>
        <v>0</v>
      </c>
      <c r="K683" s="256">
        <f>(K645/K613)*Q90</f>
        <v>165265.12332763142</v>
      </c>
      <c r="L683" s="256">
        <f>(L648/L613)*Q95</f>
        <v>27043.342318880881</v>
      </c>
      <c r="M683" s="231">
        <f t="shared" si="18"/>
        <v>290553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461032</v>
      </c>
      <c r="D684" s="256">
        <f>(D616/D613)*R91</f>
        <v>7053.6922130643379</v>
      </c>
      <c r="E684" s="258">
        <f>(E624/E613)*SUM(C684:D684)</f>
        <v>54519.828725327148</v>
      </c>
      <c r="F684" s="258">
        <f>(F625/F613)*R65</f>
        <v>3821.8776914070709</v>
      </c>
      <c r="G684" s="256">
        <f>(G626/G613)*R92</f>
        <v>0</v>
      </c>
      <c r="H684" s="258">
        <f>(H629/H613)*R61</f>
        <v>0</v>
      </c>
      <c r="I684" s="256">
        <f>(I630/I613)*R93</f>
        <v>3325.4229712625506</v>
      </c>
      <c r="J684" s="256">
        <f>(J631/J613)*R94</f>
        <v>0</v>
      </c>
      <c r="K684" s="256">
        <f>(K645/K613)*R90</f>
        <v>157279.38593880608</v>
      </c>
      <c r="L684" s="256">
        <f>(L648/L613)*R95</f>
        <v>0</v>
      </c>
      <c r="M684" s="231">
        <f t="shared" si="18"/>
        <v>226000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404504</v>
      </c>
      <c r="D685" s="256">
        <f>(D616/D613)*S91</f>
        <v>0</v>
      </c>
      <c r="E685" s="258">
        <f>(E624/E613)*SUM(C685:D685)</f>
        <v>47114.212558907639</v>
      </c>
      <c r="F685" s="258">
        <f>(F625/F613)*S65</f>
        <v>20110.544967616574</v>
      </c>
      <c r="G685" s="256">
        <f>(G626/G613)*S92</f>
        <v>0</v>
      </c>
      <c r="H685" s="258">
        <f>(H629/H613)*S61</f>
        <v>17388.377294728132</v>
      </c>
      <c r="I685" s="256">
        <f>(I630/I613)*S93</f>
        <v>0</v>
      </c>
      <c r="J685" s="256">
        <f>(J631/J613)*S94</f>
        <v>0</v>
      </c>
      <c r="K685" s="256">
        <f>(K645/K613)*S90</f>
        <v>0</v>
      </c>
      <c r="L685" s="256">
        <f>(L648/L613)*S95</f>
        <v>0</v>
      </c>
      <c r="M685" s="231">
        <f t="shared" si="18"/>
        <v>84613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2965264</v>
      </c>
      <c r="D687" s="256">
        <f>(D616/D613)*U91</f>
        <v>49608.384795177764</v>
      </c>
      <c r="E687" s="258">
        <f>(E624/E613)*SUM(C687:D687)</f>
        <v>351154.34797979944</v>
      </c>
      <c r="F687" s="258">
        <f>(F625/F613)*U65</f>
        <v>48994.702181778019</v>
      </c>
      <c r="G687" s="256">
        <f>(G626/G613)*U92</f>
        <v>0</v>
      </c>
      <c r="H687" s="258">
        <f>(H629/H613)*U61</f>
        <v>140391.38713527657</v>
      </c>
      <c r="I687" s="256">
        <f>(I630/I613)*U93</f>
        <v>23372.972883731069</v>
      </c>
      <c r="J687" s="256">
        <f>(J631/J613)*U94</f>
        <v>0</v>
      </c>
      <c r="K687" s="256">
        <f>(K645/K613)*U90</f>
        <v>879566.31426578946</v>
      </c>
      <c r="L687" s="256">
        <f>(L648/L613)*U95</f>
        <v>0</v>
      </c>
      <c r="M687" s="231">
        <f t="shared" si="18"/>
        <v>1493088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117891.8650103268</v>
      </c>
      <c r="L688" s="256">
        <f>(L648/L613)*V95</f>
        <v>0</v>
      </c>
      <c r="M688" s="231">
        <f t="shared" si="18"/>
        <v>117892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641848</v>
      </c>
      <c r="D689" s="256">
        <f>(D616/D613)*W91</f>
        <v>28137.255751014887</v>
      </c>
      <c r="E689" s="258">
        <f>(E624/E613)*SUM(C689:D689)</f>
        <v>78035.885308395998</v>
      </c>
      <c r="F689" s="258">
        <f>(F625/F613)*W65</f>
        <v>686.40188346406887</v>
      </c>
      <c r="G689" s="256">
        <f>(G626/G613)*W92</f>
        <v>0</v>
      </c>
      <c r="H689" s="258">
        <f>(H629/H613)*W61</f>
        <v>21933.066814941169</v>
      </c>
      <c r="I689" s="256">
        <f>(I630/I613)*W93</f>
        <v>8741.1118101758457</v>
      </c>
      <c r="J689" s="256">
        <f>(J631/J613)*W94</f>
        <v>0</v>
      </c>
      <c r="K689" s="256">
        <f>(K645/K613)*W90</f>
        <v>339044.60216965119</v>
      </c>
      <c r="L689" s="256">
        <f>(L648/L613)*W95</f>
        <v>0</v>
      </c>
      <c r="M689" s="231">
        <f t="shared" si="18"/>
        <v>476578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1000620</v>
      </c>
      <c r="D690" s="256">
        <f>(D616/D613)*X91</f>
        <v>21471.129044162877</v>
      </c>
      <c r="E690" s="258">
        <f>(E624/E613)*SUM(C690:D690)</f>
        <v>119047.07668740134</v>
      </c>
      <c r="F690" s="258">
        <f>(F625/F613)*X65</f>
        <v>112.24761983171378</v>
      </c>
      <c r="G690" s="256">
        <f>(G626/G613)*X92</f>
        <v>0</v>
      </c>
      <c r="H690" s="258">
        <f>(H629/H613)*X61</f>
        <v>80520.042586383119</v>
      </c>
      <c r="I690" s="256">
        <f>(I630/I613)*X93</f>
        <v>7347.6012317420173</v>
      </c>
      <c r="J690" s="256">
        <f>(J631/J613)*X94</f>
        <v>0</v>
      </c>
      <c r="K690" s="256">
        <f>(K645/K613)*X90</f>
        <v>1375473.1615404692</v>
      </c>
      <c r="L690" s="256">
        <f>(L648/L613)*X95</f>
        <v>0</v>
      </c>
      <c r="M690" s="231">
        <f t="shared" si="18"/>
        <v>1603971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1167609</v>
      </c>
      <c r="D691" s="256">
        <f>(D616/D613)*Y91</f>
        <v>138670.93812277034</v>
      </c>
      <c r="E691" s="258">
        <f>(E624/E613)*SUM(C691:D691)</f>
        <v>152147.69363505163</v>
      </c>
      <c r="F691" s="258">
        <f>(F625/F613)*Y65</f>
        <v>5159.085124100905</v>
      </c>
      <c r="G691" s="256">
        <f>(G626/G613)*Y92</f>
        <v>0</v>
      </c>
      <c r="H691" s="258">
        <f>(H629/H613)*Y61</f>
        <v>64317.23647084098</v>
      </c>
      <c r="I691" s="256">
        <f>(I630/I613)*Y93</f>
        <v>46460.909512782484</v>
      </c>
      <c r="J691" s="256">
        <f>(J631/J613)*Y94</f>
        <v>0</v>
      </c>
      <c r="K691" s="256">
        <f>(K645/K613)*Y90</f>
        <v>623401.36772963207</v>
      </c>
      <c r="L691" s="256">
        <f>(L648/L613)*Y95</f>
        <v>0</v>
      </c>
      <c r="M691" s="231">
        <f t="shared" si="18"/>
        <v>1030157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7566</v>
      </c>
      <c r="D693" s="256">
        <f>(D616/D613)*AA91</f>
        <v>16549.04711526633</v>
      </c>
      <c r="E693" s="258">
        <f>(E624/E613)*SUM(C693:D693)</f>
        <v>2808.776812236048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7790.9909612436886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27149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2074208</v>
      </c>
      <c r="D694" s="256">
        <f>(D616/D613)*AB91</f>
        <v>31431.562553819662</v>
      </c>
      <c r="E694" s="258">
        <f>(E624/E613)*SUM(C694:D694)</f>
        <v>245252.33353095636</v>
      </c>
      <c r="F694" s="258">
        <f>(F625/F613)*AB65</f>
        <v>67702.920720812079</v>
      </c>
      <c r="G694" s="256">
        <f>(G626/G613)*AB92</f>
        <v>0</v>
      </c>
      <c r="H694" s="258">
        <f>(H629/H613)*AB61</f>
        <v>61452.106121141464</v>
      </c>
      <c r="I694" s="256">
        <f>(I630/I613)*AB93</f>
        <v>14790.214548377247</v>
      </c>
      <c r="J694" s="256">
        <f>(J631/J613)*AB94</f>
        <v>0</v>
      </c>
      <c r="K694" s="256">
        <f>(K645/K613)*AB90</f>
        <v>396069.86586514465</v>
      </c>
      <c r="L694" s="256">
        <f>(L648/L613)*AB95</f>
        <v>0</v>
      </c>
      <c r="M694" s="231">
        <f t="shared" si="18"/>
        <v>816699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388492</v>
      </c>
      <c r="D695" s="256">
        <f>(D616/D613)*AC91</f>
        <v>29648.761225242961</v>
      </c>
      <c r="E695" s="258">
        <f>(E624/E613)*SUM(C695:D695)</f>
        <v>48702.541146464668</v>
      </c>
      <c r="F695" s="258">
        <f>(F625/F613)*AC65</f>
        <v>2067.4320170511064</v>
      </c>
      <c r="G695" s="256">
        <f>(G626/G613)*AC92</f>
        <v>0</v>
      </c>
      <c r="H695" s="258">
        <f>(H629/H613)*AC61</f>
        <v>29342.886684853725</v>
      </c>
      <c r="I695" s="256">
        <f>(I630/I613)*AC93</f>
        <v>13935.105784338306</v>
      </c>
      <c r="J695" s="256">
        <f>(J631/J613)*AC94</f>
        <v>0</v>
      </c>
      <c r="K695" s="256">
        <f>(K645/K613)*AC90</f>
        <v>43547.452537520243</v>
      </c>
      <c r="L695" s="256">
        <f>(L648/L613)*AC95</f>
        <v>0</v>
      </c>
      <c r="M695" s="231">
        <f t="shared" si="18"/>
        <v>167244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732260</v>
      </c>
      <c r="D697" s="256">
        <f>(D616/D613)*AE91</f>
        <v>10076.703161520483</v>
      </c>
      <c r="E697" s="258">
        <f>(E624/E613)*SUM(C697:D697)</f>
        <v>86462.950237897778</v>
      </c>
      <c r="F697" s="258">
        <f>(F625/F613)*AE65</f>
        <v>910.58959540193007</v>
      </c>
      <c r="G697" s="256">
        <f>(G626/G613)*AE92</f>
        <v>0</v>
      </c>
      <c r="H697" s="258">
        <f>(H629/H613)*AE61</f>
        <v>58883.368566238445</v>
      </c>
      <c r="I697" s="256">
        <f>(I630/I613)*AE93</f>
        <v>4718.9335496963813</v>
      </c>
      <c r="J697" s="256">
        <f>(J631/J613)*AE94</f>
        <v>0</v>
      </c>
      <c r="K697" s="256">
        <f>(K645/K613)*AE90</f>
        <v>202622.94652345226</v>
      </c>
      <c r="L697" s="256">
        <f>(L648/L613)*AE95</f>
        <v>0</v>
      </c>
      <c r="M697" s="231">
        <f t="shared" si="18"/>
        <v>363675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14167.184228626566</v>
      </c>
      <c r="K698" s="256">
        <f>(K645/K613)*AF90</f>
        <v>0</v>
      </c>
      <c r="L698" s="256">
        <f>(L648/L613)*AF95</f>
        <v>0</v>
      </c>
      <c r="M698" s="231">
        <f t="shared" si="18"/>
        <v>14167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4836518</v>
      </c>
      <c r="D699" s="256">
        <f>(D616/D613)*AG91</f>
        <v>302301.09484561451</v>
      </c>
      <c r="E699" s="258">
        <f>(E624/E613)*SUM(C699:D699)</f>
        <v>598538.98882663622</v>
      </c>
      <c r="F699" s="258">
        <f>(F625/F613)*AG65</f>
        <v>33781.766889599567</v>
      </c>
      <c r="G699" s="256">
        <f>(G626/G613)*AG92</f>
        <v>0</v>
      </c>
      <c r="H699" s="258">
        <f>(H629/H613)*AG61</f>
        <v>235632.2718632193</v>
      </c>
      <c r="I699" s="256">
        <f>(I630/I613)*AG93</f>
        <v>142328.10317003715</v>
      </c>
      <c r="J699" s="256">
        <f>(J631/J613)*AG94</f>
        <v>92750.407139032177</v>
      </c>
      <c r="K699" s="256">
        <f>(K645/K613)*AG90</f>
        <v>2657909.6860048878</v>
      </c>
      <c r="L699" s="256">
        <f>(L648/L613)*AG95</f>
        <v>203962.40421810158</v>
      </c>
      <c r="M699" s="231">
        <f t="shared" si="18"/>
        <v>4267205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10958.060457684212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10958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2051576</v>
      </c>
      <c r="D702" s="256">
        <f>(D616/D613)*AJ91</f>
        <v>326330.15623077872</v>
      </c>
      <c r="E702" s="258">
        <f>(E624/E613)*SUM(C702:D702)</f>
        <v>276964.32195921912</v>
      </c>
      <c r="F702" s="258">
        <f>(F625/F613)*AJ65</f>
        <v>13280.81547437653</v>
      </c>
      <c r="G702" s="256">
        <f>(G626/G613)*AJ92</f>
        <v>0</v>
      </c>
      <c r="H702" s="258">
        <f>(H629/H613)*AJ61</f>
        <v>74394.591493922067</v>
      </c>
      <c r="I702" s="256">
        <f>(I630/I613)*AJ93</f>
        <v>0</v>
      </c>
      <c r="J702" s="256">
        <f>(J631/J613)*AJ94</f>
        <v>0</v>
      </c>
      <c r="K702" s="256">
        <f>(K645/K613)*AJ90</f>
        <v>441161.0914406568</v>
      </c>
      <c r="L702" s="256">
        <f>(L648/L613)*AJ95</f>
        <v>53075.718569766213</v>
      </c>
      <c r="M702" s="231">
        <f t="shared" si="18"/>
        <v>1185207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208287</v>
      </c>
      <c r="D703" s="256">
        <f>(D616/D613)*AK91</f>
        <v>0</v>
      </c>
      <c r="E703" s="258">
        <f>(E624/E613)*SUM(C703:D703)</f>
        <v>24260.027073297657</v>
      </c>
      <c r="F703" s="258">
        <f>(F625/F613)*AK65</f>
        <v>0</v>
      </c>
      <c r="G703" s="256">
        <f>(G626/G613)*AK92</f>
        <v>0</v>
      </c>
      <c r="H703" s="258">
        <f>(H629/H613)*AK61</f>
        <v>15116.032534621614</v>
      </c>
      <c r="I703" s="256">
        <f>(I630/I613)*AK93</f>
        <v>0</v>
      </c>
      <c r="J703" s="256">
        <f>(J631/J613)*AK94</f>
        <v>0</v>
      </c>
      <c r="K703" s="256">
        <f>(K645/K613)*AK90</f>
        <v>82932.295562627871</v>
      </c>
      <c r="L703" s="256">
        <f>(L648/L613)*AK95</f>
        <v>0</v>
      </c>
      <c r="M703" s="231">
        <f t="shared" si="18"/>
        <v>122308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19</v>
      </c>
      <c r="D708" s="256">
        <f>(D616/D613)*AP91</f>
        <v>0</v>
      </c>
      <c r="E708" s="258">
        <f>(E624/E613)*SUM(C708:D708)</f>
        <v>2.2130066417618743</v>
      </c>
      <c r="F708" s="258">
        <f>(F625/F613)*AP65</f>
        <v>1.4607566964401109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4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451909.14644709846</v>
      </c>
      <c r="J714" s="256">
        <f>(J631/J613)*AV94</f>
        <v>0</v>
      </c>
      <c r="K714" s="256">
        <f>(K645/K613)*AV90</f>
        <v>3605.2230534855698</v>
      </c>
      <c r="L714" s="256">
        <f>(L648/L613)*AV95</f>
        <v>0</v>
      </c>
      <c r="M714" s="231">
        <f t="shared" si="18"/>
        <v>455514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51718665</v>
      </c>
      <c r="D716" s="231">
        <f>SUM(D617:D648)+SUM(D669:D714)</f>
        <v>2835467.9999999995</v>
      </c>
      <c r="E716" s="231">
        <f>SUM(E625:E648)+SUM(E669:E714)</f>
        <v>5395451.5303235324</v>
      </c>
      <c r="F716" s="231">
        <f>SUM(F626:F649)+SUM(F669:F714)</f>
        <v>477854.33971112914</v>
      </c>
      <c r="G716" s="231">
        <f>SUM(G627:G648)+SUM(G669:G714)</f>
        <v>0</v>
      </c>
      <c r="H716" s="231">
        <f>SUM(H630:H648)+SUM(H669:H714)</f>
        <v>2208620.3092252696</v>
      </c>
      <c r="I716" s="231">
        <f>SUM(I631:I648)+SUM(I669:I714)</f>
        <v>1338466.9105856945</v>
      </c>
      <c r="J716" s="231">
        <f>SUM(J632:J648)+SUM(J669:J714)</f>
        <v>382504.32021432871</v>
      </c>
      <c r="K716" s="231">
        <f>SUM(K669:K714)</f>
        <v>10321165.764083348</v>
      </c>
      <c r="L716" s="231">
        <f>SUM(L669:L714)</f>
        <v>688215.15078796865</v>
      </c>
      <c r="M716" s="231">
        <f>SUM(M669:M714)</f>
        <v>20515863</v>
      </c>
      <c r="N716" s="250" t="s">
        <v>669</v>
      </c>
    </row>
    <row r="717" spans="1:14" s="231" customFormat="1" ht="12.65" customHeight="1" x14ac:dyDescent="0.3">
      <c r="C717" s="253">
        <f>CE86</f>
        <v>51718665</v>
      </c>
      <c r="D717" s="231">
        <f>D616</f>
        <v>2835468</v>
      </c>
      <c r="E717" s="231">
        <f>E624</f>
        <v>5395451.5303235333</v>
      </c>
      <c r="F717" s="231">
        <f>F625</f>
        <v>477854.33971112914</v>
      </c>
      <c r="G717" s="231">
        <f>G626</f>
        <v>0</v>
      </c>
      <c r="H717" s="231">
        <f>H629</f>
        <v>2208620.3092252691</v>
      </c>
      <c r="I717" s="231">
        <f>I630</f>
        <v>1338466.9105856942</v>
      </c>
      <c r="J717" s="231">
        <f>J631</f>
        <v>382504.32021432876</v>
      </c>
      <c r="K717" s="231">
        <f>K645</f>
        <v>10321165.764083348</v>
      </c>
      <c r="L717" s="231">
        <f>L648</f>
        <v>688215.15078796854</v>
      </c>
      <c r="M717" s="231">
        <f>C649</f>
        <v>20515864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104</v>
      </c>
      <c r="C2" s="12" t="str">
        <f>SUBSTITUTE(LEFT(data!C98,49),",","")</f>
        <v>EvergreenHealth Monroe</v>
      </c>
      <c r="D2" s="12" t="str">
        <f>LEFT(data!C99,49)</f>
        <v>14701 179th Ave SE</v>
      </c>
      <c r="E2" s="12" t="str">
        <f>RIGHT(data!C100,100)</f>
        <v>Monroe</v>
      </c>
      <c r="F2" s="12" t="str">
        <f>RIGHT(data!C101,100)</f>
        <v>WA</v>
      </c>
      <c r="G2" s="12" t="str">
        <f>RIGHT(data!C102,100)</f>
        <v>98272</v>
      </c>
      <c r="H2" s="12" t="str">
        <f>RIGHT(data!C103,100)</f>
        <v>Snohomish</v>
      </c>
      <c r="I2" s="12" t="str">
        <f>LEFT(data!C104,49)</f>
        <v xml:space="preserve">Lisa LaPlante </v>
      </c>
      <c r="J2" s="12" t="str">
        <f>LEFT(data!C105,49)</f>
        <v>Ann Peterson</v>
      </c>
      <c r="K2" s="12" t="str">
        <f>LEFT(data!C107,49)</f>
        <v>360-794-7497</v>
      </c>
      <c r="L2" s="12" t="str">
        <f>LEFT(data!C107,49)</f>
        <v>360-794-7497</v>
      </c>
      <c r="M2" s="12" t="str">
        <f>LEFT(data!C109,49)</f>
        <v>Rubyann Toledo</v>
      </c>
      <c r="N2" s="12" t="str">
        <f>LEFT(data!C110,49)</f>
        <v>rtoledo@evergreenhealthmonroe.com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104</v>
      </c>
      <c r="B2" s="224" t="str">
        <f>RIGHT(data!C96,4)</f>
        <v>2022</v>
      </c>
      <c r="C2" s="16" t="s">
        <v>1123</v>
      </c>
      <c r="D2" s="223">
        <f>ROUND(data!C181,0)</f>
        <v>1413405</v>
      </c>
      <c r="E2" s="223">
        <f>ROUND(data!C182,0)</f>
        <v>0</v>
      </c>
      <c r="F2" s="223">
        <f>ROUND(data!C183,0)</f>
        <v>193106</v>
      </c>
      <c r="G2" s="223">
        <f>ROUND(data!C184,0)</f>
        <v>2263887</v>
      </c>
      <c r="H2" s="223">
        <f>ROUND(data!C185,0)</f>
        <v>0</v>
      </c>
      <c r="I2" s="223">
        <f>ROUND(data!C186,0)</f>
        <v>285818</v>
      </c>
      <c r="J2" s="223">
        <f>ROUND(data!C187+data!C188,0)</f>
        <v>310770</v>
      </c>
      <c r="K2" s="223">
        <f>ROUND(data!C191,0)</f>
        <v>188394</v>
      </c>
      <c r="L2" s="223">
        <f>ROUND(data!C192,0)</f>
        <v>217196</v>
      </c>
      <c r="M2" s="223">
        <f>ROUND(data!C195,0)</f>
        <v>298757</v>
      </c>
      <c r="N2" s="223">
        <f>ROUND(data!C196,0)</f>
        <v>158223</v>
      </c>
      <c r="O2" s="223">
        <f>ROUND(data!C199,0)</f>
        <v>41222</v>
      </c>
      <c r="P2" s="223">
        <f>ROUND(data!C200,0)</f>
        <v>290048</v>
      </c>
      <c r="Q2" s="223">
        <f>ROUND(data!C201,0)</f>
        <v>0</v>
      </c>
      <c r="R2" s="223">
        <f>ROUND(data!C204,0)</f>
        <v>0</v>
      </c>
      <c r="S2" s="223">
        <f>ROUND(data!C205,0)</f>
        <v>988351</v>
      </c>
      <c r="T2" s="223">
        <f>ROUND(data!B211,0)</f>
        <v>1878610</v>
      </c>
      <c r="U2" s="223">
        <f>ROUND(data!C211,0)</f>
        <v>0</v>
      </c>
      <c r="V2" s="223">
        <f>ROUND(data!D211,0)</f>
        <v>0</v>
      </c>
      <c r="W2" s="223">
        <f>ROUND(data!B212,0)</f>
        <v>1233751</v>
      </c>
      <c r="X2" s="223">
        <f>ROUND(data!C212,0)</f>
        <v>0</v>
      </c>
      <c r="Y2" s="223">
        <f>ROUND(data!D212,0)</f>
        <v>0</v>
      </c>
      <c r="Z2" s="223">
        <f>ROUND(data!B213,0)</f>
        <v>27227435</v>
      </c>
      <c r="AA2" s="223">
        <f>ROUND(data!C213,0)</f>
        <v>68622</v>
      </c>
      <c r="AB2" s="223">
        <f>ROUND(data!D213,0)</f>
        <v>0</v>
      </c>
      <c r="AC2" s="223">
        <f>ROUND(data!B214,0)</f>
        <v>2731403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19464837</v>
      </c>
      <c r="AJ2" s="223">
        <f>ROUND(data!C216,0)</f>
        <v>218731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3109130</v>
      </c>
      <c r="AP2" s="223">
        <f>ROUND(data!C218,0)</f>
        <v>0</v>
      </c>
      <c r="AQ2" s="223">
        <f>ROUND(data!D218,0)</f>
        <v>0</v>
      </c>
      <c r="AR2" s="223">
        <f>ROUND(data!B219,0)</f>
        <v>219453</v>
      </c>
      <c r="AS2" s="223">
        <f>ROUND(data!C219,0)</f>
        <v>979965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-1000958</v>
      </c>
      <c r="AY2" s="223">
        <f>ROUND(data!C225,0)</f>
        <v>-62597</v>
      </c>
      <c r="AZ2" s="223">
        <f>ROUND(data!D225,0)</f>
        <v>0</v>
      </c>
      <c r="BA2" s="223">
        <f>ROUND(data!B226,0)</f>
        <v>-20532090</v>
      </c>
      <c r="BB2" s="223">
        <f>ROUND(data!C226,0)</f>
        <v>-1052848</v>
      </c>
      <c r="BC2" s="223">
        <f>ROUND(data!D226,0)</f>
        <v>0</v>
      </c>
      <c r="BD2" s="223">
        <f>ROUND(data!B227,0)</f>
        <v>-2512129</v>
      </c>
      <c r="BE2" s="223">
        <f>ROUND(data!C227,0)</f>
        <v>-33388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-16461576</v>
      </c>
      <c r="BK2" s="223">
        <f>ROUND(data!C229,0)</f>
        <v>-935182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-2374493</v>
      </c>
      <c r="BQ2" s="223">
        <f>ROUND(data!C231,0)</f>
        <v>-76791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34449890</v>
      </c>
      <c r="BW2" s="223">
        <f>ROUND(data!C240,0)</f>
        <v>22507360</v>
      </c>
      <c r="BX2" s="223">
        <f>ROUND(data!C241,0)</f>
        <v>1852870</v>
      </c>
      <c r="BY2" s="223">
        <f>ROUND(data!C242,0)</f>
        <v>1052921</v>
      </c>
      <c r="BZ2" s="223">
        <f>ROUND(data!C243,0)</f>
        <v>31522056</v>
      </c>
      <c r="CA2" s="223">
        <f>ROUND(data!C244,0)</f>
        <v>3249341</v>
      </c>
      <c r="CB2" s="223">
        <f>ROUND(data!C247,0)</f>
        <v>471</v>
      </c>
      <c r="CC2" s="223">
        <f>ROUND(data!C249,0)</f>
        <v>220391</v>
      </c>
      <c r="CD2" s="223">
        <f>ROUND(data!C250,0)</f>
        <v>822227</v>
      </c>
      <c r="CE2" s="223">
        <f>ROUND(data!C254+data!C255,0)</f>
        <v>1789328</v>
      </c>
      <c r="CF2" s="223">
        <f>data!D237</f>
        <v>7276802.21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104</v>
      </c>
      <c r="B2" s="16" t="str">
        <f>RIGHT(data!C96,4)</f>
        <v>2022</v>
      </c>
      <c r="C2" s="16" t="s">
        <v>1123</v>
      </c>
      <c r="D2" s="222">
        <f>ROUND(data!C127,0)</f>
        <v>739</v>
      </c>
      <c r="E2" s="222">
        <f>ROUND(data!C128,0)</f>
        <v>0</v>
      </c>
      <c r="F2" s="222">
        <f>ROUND(data!C129,0)</f>
        <v>708</v>
      </c>
      <c r="G2" s="222">
        <f>ROUND(data!C130,0)</f>
        <v>0</v>
      </c>
      <c r="H2" s="222">
        <f>ROUND(data!D127,0)</f>
        <v>3080</v>
      </c>
      <c r="I2" s="222">
        <f>ROUND(data!D128,0)</f>
        <v>0</v>
      </c>
      <c r="J2" s="222">
        <f>ROUND(data!D129,0)</f>
        <v>6319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26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36</v>
      </c>
      <c r="V2" s="222">
        <f>ROUND(data!C142,0)</f>
        <v>0</v>
      </c>
      <c r="W2" s="222">
        <f>ROUND(data!C144,0)</f>
        <v>112</v>
      </c>
      <c r="X2" s="222">
        <f>ROUND(data!C145,0)</f>
        <v>0</v>
      </c>
      <c r="Y2" s="222">
        <f>ROUND(data!B154,0)</f>
        <v>416</v>
      </c>
      <c r="Z2" s="222">
        <f>ROUND(data!B155,0)</f>
        <v>2306</v>
      </c>
      <c r="AA2" s="222">
        <f>ROUND(data!B156,0)</f>
        <v>13048</v>
      </c>
      <c r="AB2" s="222">
        <f>ROUND(data!B157,0)</f>
        <v>15727278</v>
      </c>
      <c r="AC2" s="222">
        <f>ROUND(data!B158,0)</f>
        <v>37562660</v>
      </c>
      <c r="AD2" s="222">
        <f>ROUND(data!C154,0)</f>
        <v>95</v>
      </c>
      <c r="AE2" s="222">
        <f>ROUND(data!C155,0)</f>
        <v>434</v>
      </c>
      <c r="AF2" s="222">
        <f>ROUND(data!C156,0)</f>
        <v>5731</v>
      </c>
      <c r="AG2" s="222">
        <f>ROUND(data!C157,0)</f>
        <v>4171597</v>
      </c>
      <c r="AH2" s="222">
        <f>ROUND(data!C158,0)</f>
        <v>28576947</v>
      </c>
      <c r="AI2" s="222">
        <f>ROUND(data!D154,0)</f>
        <v>228</v>
      </c>
      <c r="AJ2" s="222">
        <f>ROUND(data!D155,0)</f>
        <v>340</v>
      </c>
      <c r="AK2" s="222">
        <f>ROUND(data!D156,0)</f>
        <v>9002</v>
      </c>
      <c r="AL2" s="222">
        <f>ROUND(data!D157,0)</f>
        <v>6026879</v>
      </c>
      <c r="AM2" s="222">
        <f>ROUND(data!D158,0)</f>
        <v>52824424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33</v>
      </c>
      <c r="BD2" s="222">
        <f>ROUND(data!B167,0)</f>
        <v>360</v>
      </c>
      <c r="BE2" s="222">
        <f>ROUND(data!B168,0)</f>
        <v>20</v>
      </c>
      <c r="BF2" s="222">
        <f>ROUND(data!B169,0)</f>
        <v>352533</v>
      </c>
      <c r="BG2" s="222">
        <f>ROUND(data!B170,0)</f>
        <v>57418</v>
      </c>
      <c r="BH2" s="222">
        <f>ROUND(data!C166,0)</f>
        <v>218</v>
      </c>
      <c r="BI2" s="222">
        <f>ROUND(data!C167,0)</f>
        <v>1660</v>
      </c>
      <c r="BJ2" s="222">
        <f>ROUND(data!C168,0)</f>
        <v>64</v>
      </c>
      <c r="BK2" s="222">
        <f>ROUND(data!C169,0)</f>
        <v>1968363</v>
      </c>
      <c r="BL2" s="222">
        <f>ROUND(data!C170,0)</f>
        <v>111284</v>
      </c>
      <c r="BM2" s="222">
        <f>ROUND(data!D166,0)</f>
        <v>457</v>
      </c>
      <c r="BN2" s="222">
        <f>ROUND(data!D167,0)</f>
        <v>4299</v>
      </c>
      <c r="BO2" s="222">
        <f>ROUND(data!D168,0)</f>
        <v>242</v>
      </c>
      <c r="BP2" s="222">
        <f>ROUND(data!D169,0)</f>
        <v>3817347</v>
      </c>
      <c r="BQ2" s="222">
        <f>ROUND(data!D170,0)</f>
        <v>490604</v>
      </c>
      <c r="BR2" s="222">
        <f>ROUND(data!B173,0)</f>
        <v>1358183</v>
      </c>
      <c r="BS2" s="222">
        <f>ROUND(data!C173,0)</f>
        <v>2006941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104</v>
      </c>
      <c r="B2" s="224" t="str">
        <f>RIGHT(data!C96,4)</f>
        <v>2022</v>
      </c>
      <c r="C2" s="16" t="s">
        <v>1123</v>
      </c>
      <c r="D2" s="222">
        <f>ROUND(data!C266,0)</f>
        <v>8775225</v>
      </c>
      <c r="E2" s="222">
        <f>ROUND(data!C267,0)</f>
        <v>0</v>
      </c>
      <c r="F2" s="222">
        <f>ROUND(data!C268,0)</f>
        <v>34246521</v>
      </c>
      <c r="G2" s="222">
        <f>ROUND(data!C269,0)</f>
        <v>23154977</v>
      </c>
      <c r="H2" s="222">
        <f>ROUND(data!C270,0)</f>
        <v>119873</v>
      </c>
      <c r="I2" s="222">
        <f>ROUND(data!C271,0)</f>
        <v>517354</v>
      </c>
      <c r="J2" s="222">
        <f>ROUND(data!C272,0)</f>
        <v>528854</v>
      </c>
      <c r="K2" s="222">
        <f>ROUND(data!C273,0)</f>
        <v>935497</v>
      </c>
      <c r="L2" s="222">
        <f>ROUND(data!C274,0)</f>
        <v>305784</v>
      </c>
      <c r="M2" s="222">
        <f>ROUND(data!C275,0)</f>
        <v>0</v>
      </c>
      <c r="N2" s="222">
        <f>ROUND(data!C278,0)</f>
        <v>213898</v>
      </c>
      <c r="O2" s="222">
        <f>ROUND(data!C279,0)</f>
        <v>0</v>
      </c>
      <c r="P2" s="222">
        <f>ROUND(data!C280,0)</f>
        <v>0</v>
      </c>
      <c r="Q2" s="222">
        <f>ROUND(data!C283,0)</f>
        <v>1878610</v>
      </c>
      <c r="R2" s="222">
        <f>ROUND(data!C284,0)</f>
        <v>1233751</v>
      </c>
      <c r="S2" s="222">
        <f>ROUND(data!C285,0)</f>
        <v>39057970</v>
      </c>
      <c r="T2" s="222">
        <f>ROUND(data!C286,0)</f>
        <v>0</v>
      </c>
      <c r="U2" s="222">
        <f>ROUND(data!C287,0)</f>
        <v>0</v>
      </c>
      <c r="V2" s="222">
        <f>ROUND(data!C288,0)</f>
        <v>22535113</v>
      </c>
      <c r="W2" s="222">
        <f>ROUND(data!C289,0)</f>
        <v>0</v>
      </c>
      <c r="X2" s="222">
        <f>ROUND(data!C290,0)</f>
        <v>1199418</v>
      </c>
      <c r="Y2" s="222">
        <f>ROUND(data!C291,0)</f>
        <v>0</v>
      </c>
      <c r="Z2" s="222">
        <f>ROUND(data!C292,0)</f>
        <v>45042052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6718382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1459489</v>
      </c>
      <c r="AJ2" s="222">
        <f>ROUND(data!C315,0)</f>
        <v>3559020</v>
      </c>
      <c r="AK2" s="222">
        <f>ROUND(data!C316,0)</f>
        <v>2113875</v>
      </c>
      <c r="AL2" s="222">
        <f>ROUND(data!C317,0)</f>
        <v>505463</v>
      </c>
      <c r="AM2" s="222">
        <f>ROUND(data!C318,0)</f>
        <v>0</v>
      </c>
      <c r="AN2" s="222">
        <f>ROUND(data!C319,0)</f>
        <v>2319656</v>
      </c>
      <c r="AO2" s="222">
        <f>ROUND(data!C320,0)</f>
        <v>0</v>
      </c>
      <c r="AP2" s="222">
        <f>ROUND(data!C321,0)</f>
        <v>0</v>
      </c>
      <c r="AQ2" s="222">
        <f>ROUND(data!C322,0)</f>
        <v>515923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6620220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26317999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12715456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-6057879</v>
      </c>
      <c r="BJ2" s="222">
        <f>ROUND(data!C349,0)</f>
        <v>0</v>
      </c>
      <c r="BK2" s="222">
        <f>ROUND(data!CE60,2)</f>
        <v>241.01</v>
      </c>
      <c r="BL2" s="222">
        <f>ROUND(data!C358,0)</f>
        <v>32063998</v>
      </c>
      <c r="BM2" s="222">
        <f>ROUND(data!C359,0)</f>
        <v>119623337</v>
      </c>
      <c r="BN2" s="222">
        <f>ROUND(data!C363,0)</f>
        <v>94634438</v>
      </c>
      <c r="BO2" s="222">
        <f>ROUND(data!C364,0)</f>
        <v>1042618</v>
      </c>
      <c r="BP2" s="222">
        <f>ROUND(data!C365,0)</f>
        <v>1789328</v>
      </c>
      <c r="BQ2" s="222">
        <f>ROUND(data!D381,0)</f>
        <v>1442158</v>
      </c>
      <c r="BR2" s="222">
        <f>ROUND(data!C370,0)</f>
        <v>43248</v>
      </c>
      <c r="BS2" s="222">
        <f>ROUND(data!C371,0)</f>
        <v>-72925</v>
      </c>
      <c r="BT2" s="222">
        <f>ROUND(data!C372,0)</f>
        <v>0</v>
      </c>
      <c r="BU2" s="222">
        <f>ROUND(data!C373,0)</f>
        <v>0</v>
      </c>
      <c r="BV2" s="222">
        <f>ROUND(data!C374,0)</f>
        <v>4552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825545</v>
      </c>
      <c r="CA2" s="222">
        <f>ROUND(data!C379,0)</f>
        <v>161413</v>
      </c>
      <c r="CB2" s="222">
        <f>ROUND(data!C380,0)</f>
        <v>480325</v>
      </c>
      <c r="CC2" s="222">
        <f>ROUND(data!C382,0)</f>
        <v>0</v>
      </c>
      <c r="CD2" s="222">
        <f>ROUND(data!C389,0)</f>
        <v>27162886</v>
      </c>
      <c r="CE2" s="222">
        <f>ROUND(data!C390,0)</f>
        <v>4466987</v>
      </c>
      <c r="CF2" s="222">
        <f>ROUND(data!C391,0)</f>
        <v>1954792</v>
      </c>
      <c r="CG2" s="222">
        <f>ROUND(data!C392,0)</f>
        <v>5688050</v>
      </c>
      <c r="CH2" s="222">
        <f>ROUND(data!C393,0)</f>
        <v>618644</v>
      </c>
      <c r="CI2" s="222">
        <f>ROUND(data!C394,0)</f>
        <v>7663565</v>
      </c>
      <c r="CJ2" s="222">
        <f>ROUND(data!C395,0)</f>
        <v>2867196</v>
      </c>
      <c r="CK2" s="222">
        <f>ROUND(data!C396,0)</f>
        <v>405590</v>
      </c>
      <c r="CL2" s="222">
        <f>ROUND(data!C397,0)</f>
        <v>456980</v>
      </c>
      <c r="CM2" s="222">
        <f>ROUND(data!C398,0)</f>
        <v>331270</v>
      </c>
      <c r="CN2" s="222">
        <f>ROUND(data!C399,0)</f>
        <v>0</v>
      </c>
      <c r="CO2" s="222">
        <f>ROUND(data!C362,0)</f>
        <v>7276802</v>
      </c>
      <c r="CP2" s="222">
        <f>ROUND(data!D415,0)</f>
        <v>213547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213547</v>
      </c>
      <c r="DE2" s="65">
        <f>ROUND(data!C419,0)</f>
        <v>99724</v>
      </c>
      <c r="DF2" s="222">
        <f>ROUND(data!D420,0)</f>
        <v>4442470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104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-0.03</v>
      </c>
      <c r="G2" s="222">
        <f>ROUND(data!C61,0)</f>
        <v>25000</v>
      </c>
      <c r="H2" s="222">
        <f>ROUND(data!C62,0)</f>
        <v>1917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39454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-10536</v>
      </c>
      <c r="AF2" s="222">
        <f>ROUND(data!C87,0)</f>
        <v>-3455</v>
      </c>
      <c r="AG2" s="222">
        <f>IF(data!C90&gt;0,ROUND(data!C90,0),0)</f>
        <v>2200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104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363</v>
      </c>
      <c r="F3" s="212">
        <f>ROUND(data!D60,2)</f>
        <v>3.85</v>
      </c>
      <c r="G3" s="222">
        <f>ROUND(data!D61,0)</f>
        <v>808960</v>
      </c>
      <c r="H3" s="222">
        <f>ROUND(data!D62,0)</f>
        <v>66035</v>
      </c>
      <c r="I3" s="222">
        <f>ROUND(data!D63,0)</f>
        <v>0</v>
      </c>
      <c r="J3" s="222">
        <f>ROUND(data!D64,0)</f>
        <v>3925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723</v>
      </c>
      <c r="O3" s="222">
        <f>ROUND(data!D69,0)</f>
        <v>1375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1375</v>
      </c>
      <c r="AD3" s="222">
        <f>ROUND(data!D84,0)</f>
        <v>0</v>
      </c>
      <c r="AE3" s="222">
        <f>ROUND(data!D89,0)</f>
        <v>1026666</v>
      </c>
      <c r="AF3" s="222">
        <f>ROUND(data!D87,0)</f>
        <v>1016994</v>
      </c>
      <c r="AG3" s="222">
        <f>IF(data!D90&gt;0,ROUND(data!D90,0),0)</f>
        <v>0</v>
      </c>
      <c r="AH3" s="222">
        <f>IF(data!D91&gt;0,ROUND(data!D91,0),0)</f>
        <v>1134</v>
      </c>
      <c r="AI3" s="222">
        <f>IF(data!D92&gt;0,ROUND(data!D92,0),0)</f>
        <v>923</v>
      </c>
      <c r="AJ3" s="222">
        <f>IF(data!D93&gt;0,ROUND(data!D93,0),0)</f>
        <v>5611</v>
      </c>
      <c r="AK3" s="212">
        <f>IF(data!D94&gt;0,ROUND(data!D94,2),0)</f>
        <v>3.85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104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2833</v>
      </c>
      <c r="F4" s="212">
        <f>ROUND(data!E60,2)</f>
        <v>23.5</v>
      </c>
      <c r="G4" s="222">
        <f>ROUND(data!E61,0)</f>
        <v>3104883</v>
      </c>
      <c r="H4" s="222">
        <f>ROUND(data!E62,0)</f>
        <v>352833</v>
      </c>
      <c r="I4" s="222">
        <f>ROUND(data!E63,0)</f>
        <v>0</v>
      </c>
      <c r="J4" s="222">
        <f>ROUND(data!E64,0)</f>
        <v>232899</v>
      </c>
      <c r="K4" s="222">
        <f>ROUND(data!E65,0)</f>
        <v>0</v>
      </c>
      <c r="L4" s="222">
        <f>ROUND(data!E66,0)</f>
        <v>25534</v>
      </c>
      <c r="M4" s="66">
        <f>ROUND(data!E67,0)</f>
        <v>223643</v>
      </c>
      <c r="N4" s="222">
        <f>ROUND(data!E68,0)</f>
        <v>23282</v>
      </c>
      <c r="O4" s="222">
        <f>ROUND(data!E69,0)</f>
        <v>315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315</v>
      </c>
      <c r="AD4" s="222">
        <f>ROUND(data!E84,0)</f>
        <v>0</v>
      </c>
      <c r="AE4" s="222">
        <f>ROUND(data!E89,0)</f>
        <v>7537135</v>
      </c>
      <c r="AF4" s="222">
        <f>ROUND(data!E87,0)</f>
        <v>5864776</v>
      </c>
      <c r="AG4" s="222">
        <f>IF(data!E90&gt;0,ROUND(data!E90,0),0)</f>
        <v>11120</v>
      </c>
      <c r="AH4" s="222">
        <f>IF(data!E91&gt;0,ROUND(data!E91,0),0)</f>
        <v>11195</v>
      </c>
      <c r="AI4" s="222">
        <f>IF(data!E92&gt;0,ROUND(data!E92,0),0)</f>
        <v>3872</v>
      </c>
      <c r="AJ4" s="222">
        <f>IF(data!E93&gt;0,ROUND(data!E93,0),0)</f>
        <v>81512</v>
      </c>
      <c r="AK4" s="212">
        <f>IF(data!E94&gt;0,ROUND(data!E94,2),0)</f>
        <v>14.21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104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104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4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104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104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6319</v>
      </c>
      <c r="F8" s="212">
        <f>ROUND(data!I60,2)</f>
        <v>27.23</v>
      </c>
      <c r="G8" s="222">
        <f>ROUND(data!I61,0)</f>
        <v>2759716</v>
      </c>
      <c r="H8" s="222">
        <f>ROUND(data!I62,0)</f>
        <v>520271</v>
      </c>
      <c r="I8" s="222">
        <f>ROUND(data!I63,0)</f>
        <v>7000</v>
      </c>
      <c r="J8" s="222">
        <f>ROUND(data!I64,0)</f>
        <v>183764</v>
      </c>
      <c r="K8" s="222">
        <f>ROUND(data!I65,0)</f>
        <v>53944</v>
      </c>
      <c r="L8" s="222">
        <f>ROUND(data!I66,0)</f>
        <v>2724</v>
      </c>
      <c r="M8" s="66">
        <f>ROUND(data!I67,0)</f>
        <v>403036</v>
      </c>
      <c r="N8" s="222">
        <f>ROUND(data!I68,0)</f>
        <v>0</v>
      </c>
      <c r="O8" s="222">
        <f>ROUND(data!I69,0)</f>
        <v>24542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24542</v>
      </c>
      <c r="AD8" s="222">
        <f>ROUND(data!I84,0)</f>
        <v>0</v>
      </c>
      <c r="AE8" s="222">
        <f>ROUND(data!I89,0)</f>
        <v>6797550</v>
      </c>
      <c r="AF8" s="222">
        <f>ROUND(data!I87,0)</f>
        <v>6138244</v>
      </c>
      <c r="AG8" s="222">
        <f>IF(data!I90&gt;0,ROUND(data!I90,0),0)</f>
        <v>0</v>
      </c>
      <c r="AH8" s="222">
        <f>IF(data!I91&gt;0,ROUND(data!I91,0),0)</f>
        <v>17483</v>
      </c>
      <c r="AI8" s="222">
        <f>IF(data!I92&gt;0,ROUND(data!I92,0),0)</f>
        <v>6543</v>
      </c>
      <c r="AJ8" s="222">
        <f>IF(data!I93&gt;0,ROUND(data!I93,0),0)</f>
        <v>10088</v>
      </c>
      <c r="AK8" s="212">
        <f>IF(data!I94&gt;0,ROUND(data!I94,2),0)</f>
        <v>8.7100000000000009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104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104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104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104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104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1.83</v>
      </c>
      <c r="G13" s="222">
        <f>ROUND(data!N61,0)</f>
        <v>1789591</v>
      </c>
      <c r="H13" s="222">
        <f>ROUND(data!N62,0)</f>
        <v>240435</v>
      </c>
      <c r="I13" s="222">
        <f>ROUND(data!N63,0)</f>
        <v>22000</v>
      </c>
      <c r="J13" s="222">
        <f>ROUND(data!N64,0)</f>
        <v>0</v>
      </c>
      <c r="K13" s="222">
        <f>ROUND(data!N65,0)</f>
        <v>0</v>
      </c>
      <c r="L13" s="222">
        <f>ROUND(data!N66,0)</f>
        <v>145</v>
      </c>
      <c r="M13" s="66">
        <f>ROUND(data!N67,0)</f>
        <v>0</v>
      </c>
      <c r="N13" s="222">
        <f>ROUND(data!N68,0)</f>
        <v>0</v>
      </c>
      <c r="O13" s="222">
        <f>ROUND(data!N69,0)</f>
        <v>7143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7143</v>
      </c>
      <c r="AD13" s="222">
        <f>ROUND(data!N84,0)</f>
        <v>0</v>
      </c>
      <c r="AE13" s="222">
        <f>ROUND(data!N89,0)</f>
        <v>1368272</v>
      </c>
      <c r="AF13" s="222">
        <f>ROUND(data!N87,0)</f>
        <v>228443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104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99668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6045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104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79658</v>
      </c>
      <c r="F15" s="212">
        <f>ROUND(data!P60,2)</f>
        <v>8.5500000000000007</v>
      </c>
      <c r="G15" s="222">
        <f>ROUND(data!P61,0)</f>
        <v>967166</v>
      </c>
      <c r="H15" s="222">
        <f>ROUND(data!P62,0)</f>
        <v>162993</v>
      </c>
      <c r="I15" s="222">
        <f>ROUND(data!P63,0)</f>
        <v>0</v>
      </c>
      <c r="J15" s="222">
        <f>ROUND(data!P64,0)</f>
        <v>1910977</v>
      </c>
      <c r="K15" s="222">
        <f>ROUND(data!P65,0)</f>
        <v>0</v>
      </c>
      <c r="L15" s="222">
        <f>ROUND(data!P66,0)</f>
        <v>110394</v>
      </c>
      <c r="M15" s="66">
        <f>ROUND(data!P67,0)</f>
        <v>100827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17183373</v>
      </c>
      <c r="AF15" s="222">
        <f>ROUND(data!P87,0)</f>
        <v>4038413</v>
      </c>
      <c r="AG15" s="222">
        <f>IF(data!P90&gt;0,ROUND(data!P90,0),0)</f>
        <v>5422</v>
      </c>
      <c r="AH15" s="222">
        <f>IF(data!P91&gt;0,ROUND(data!P91,0),0)</f>
        <v>0</v>
      </c>
      <c r="AI15" s="222">
        <f>IF(data!P92&gt;0,ROUND(data!P92,0),0)</f>
        <v>2275</v>
      </c>
      <c r="AJ15" s="222">
        <f>IF(data!P93&gt;0,ROUND(data!P93,0),0)</f>
        <v>42202</v>
      </c>
      <c r="AK15" s="212">
        <f>IF(data!P94&gt;0,ROUND(data!P94,2),0)</f>
        <v>4.4800000000000004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104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2.77</v>
      </c>
      <c r="G16" s="222">
        <f>ROUND(data!Q61,0)</f>
        <v>578720</v>
      </c>
      <c r="H16" s="222">
        <f>ROUND(data!Q62,0)</f>
        <v>58051</v>
      </c>
      <c r="I16" s="222">
        <f>ROUND(data!Q63,0)</f>
        <v>0</v>
      </c>
      <c r="J16" s="222">
        <f>ROUND(data!Q64,0)</f>
        <v>10774</v>
      </c>
      <c r="K16" s="222">
        <f>ROUND(data!Q65,0)</f>
        <v>0</v>
      </c>
      <c r="L16" s="222">
        <f>ROUND(data!Q66,0)</f>
        <v>0</v>
      </c>
      <c r="M16" s="66">
        <f>ROUND(data!Q67,0)</f>
        <v>9893</v>
      </c>
      <c r="N16" s="222">
        <f>ROUND(data!Q68,0)</f>
        <v>0</v>
      </c>
      <c r="O16" s="222">
        <f>ROUND(data!Q69,0)</f>
        <v>20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20</v>
      </c>
      <c r="AD16" s="222">
        <f>ROUND(data!Q84,0)</f>
        <v>0</v>
      </c>
      <c r="AE16" s="222">
        <f>ROUND(data!Q89,0)</f>
        <v>1830940</v>
      </c>
      <c r="AF16" s="222">
        <f>ROUND(data!Q87,0)</f>
        <v>387094</v>
      </c>
      <c r="AG16" s="222">
        <f>IF(data!Q90&gt;0,ROUND(data!Q90,0),0)</f>
        <v>600</v>
      </c>
      <c r="AH16" s="222">
        <f>IF(data!Q91&gt;0,ROUND(data!Q91,0),0)</f>
        <v>0</v>
      </c>
      <c r="AI16" s="222">
        <f>IF(data!Q92&gt;0,ROUND(data!Q92,0),0)</f>
        <v>252</v>
      </c>
      <c r="AJ16" s="222">
        <f>IF(data!Q93&gt;0,ROUND(data!Q93,0),0)</f>
        <v>0</v>
      </c>
      <c r="AK16" s="212">
        <f>IF(data!Q94&gt;0,ROUND(data!Q94,2),0)</f>
        <v>2.79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104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40455</v>
      </c>
      <c r="K17" s="222">
        <f>ROUND(data!R65,0)</f>
        <v>0</v>
      </c>
      <c r="L17" s="222">
        <f>ROUND(data!R66,0)</f>
        <v>513000</v>
      </c>
      <c r="M17" s="66">
        <f>ROUND(data!R67,0)</f>
        <v>3001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1869071</v>
      </c>
      <c r="AF17" s="222">
        <f>ROUND(data!R87,0)</f>
        <v>483436</v>
      </c>
      <c r="AG17" s="222">
        <f>IF(data!R90&gt;0,ROUND(data!R90,0),0)</f>
        <v>182</v>
      </c>
      <c r="AH17" s="222">
        <f>IF(data!R91&gt;0,ROUND(data!R91,0),0)</f>
        <v>0</v>
      </c>
      <c r="AI17" s="222">
        <f>IF(data!R92&gt;0,ROUND(data!R92,0),0)</f>
        <v>76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104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1.87</v>
      </c>
      <c r="G18" s="222">
        <f>ROUND(data!S61,0)</f>
        <v>139919</v>
      </c>
      <c r="H18" s="222">
        <f>ROUND(data!S62,0)</f>
        <v>34215</v>
      </c>
      <c r="I18" s="222">
        <f>ROUND(data!S63,0)</f>
        <v>0</v>
      </c>
      <c r="J18" s="222">
        <f>ROUND(data!S64,0)</f>
        <v>158139</v>
      </c>
      <c r="K18" s="222">
        <f>ROUND(data!S65,0)</f>
        <v>0</v>
      </c>
      <c r="L18" s="222">
        <f>ROUND(data!S66,0)</f>
        <v>374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104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104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132176</v>
      </c>
      <c r="F20" s="212">
        <f>ROUND(data!U60,2)</f>
        <v>14.67</v>
      </c>
      <c r="G20" s="222">
        <f>ROUND(data!U61,0)</f>
        <v>1031941</v>
      </c>
      <c r="H20" s="222">
        <f>ROUND(data!U62,0)</f>
        <v>226279</v>
      </c>
      <c r="I20" s="222">
        <f>ROUND(data!U63,0)</f>
        <v>9968</v>
      </c>
      <c r="J20" s="222">
        <f>ROUND(data!U64,0)</f>
        <v>961848</v>
      </c>
      <c r="K20" s="222">
        <f>ROUND(data!U65,0)</f>
        <v>0</v>
      </c>
      <c r="L20" s="222">
        <f>ROUND(data!U66,0)</f>
        <v>713320</v>
      </c>
      <c r="M20" s="66">
        <f>ROUND(data!U67,0)</f>
        <v>37995</v>
      </c>
      <c r="N20" s="222">
        <f>ROUND(data!U68,0)</f>
        <v>0</v>
      </c>
      <c r="O20" s="222">
        <f>ROUND(data!U69,0)</f>
        <v>5437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5437</v>
      </c>
      <c r="AD20" s="222">
        <f>ROUND(data!U84,0)</f>
        <v>0</v>
      </c>
      <c r="AE20" s="222">
        <f>ROUND(data!U89,0)</f>
        <v>14000157</v>
      </c>
      <c r="AF20" s="222">
        <f>ROUND(data!U87,0)</f>
        <v>2476565</v>
      </c>
      <c r="AG20" s="222">
        <f>IF(data!U90&gt;0,ROUND(data!U90,0),0)</f>
        <v>1280</v>
      </c>
      <c r="AH20" s="222">
        <f>IF(data!U91&gt;0,ROUND(data!U91,0),0)</f>
        <v>0</v>
      </c>
      <c r="AI20" s="222">
        <f>IF(data!U92&gt;0,ROUND(data!U92,0),0)</f>
        <v>538</v>
      </c>
      <c r="AJ20" s="222">
        <f>IF(data!U93&gt;0,ROUND(data!U93,0),0)</f>
        <v>0</v>
      </c>
      <c r="AK20" s="212">
        <f>IF(data!U94&gt;0,ROUND(data!U94,2),0)</f>
        <v>0.02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104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4126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1341380</v>
      </c>
      <c r="AF21" s="222">
        <f>ROUND(data!V87,0)</f>
        <v>137872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104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1310</v>
      </c>
      <c r="F22" s="212">
        <f>ROUND(data!W60,2)</f>
        <v>2.27</v>
      </c>
      <c r="G22" s="222">
        <f>ROUND(data!W61,0)</f>
        <v>321942</v>
      </c>
      <c r="H22" s="222">
        <f>ROUND(data!W62,0)</f>
        <v>48663</v>
      </c>
      <c r="I22" s="222">
        <f>ROUND(data!W63,0)</f>
        <v>0</v>
      </c>
      <c r="J22" s="222">
        <f>ROUND(data!W64,0)</f>
        <v>8732</v>
      </c>
      <c r="K22" s="222">
        <f>ROUND(data!W65,0)</f>
        <v>0</v>
      </c>
      <c r="L22" s="222">
        <f>ROUND(data!W66,0)</f>
        <v>106119</v>
      </c>
      <c r="M22" s="66">
        <f>ROUND(data!W67,0)</f>
        <v>235097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4792368</v>
      </c>
      <c r="AF22" s="222">
        <f>ROUND(data!W87,0)</f>
        <v>344632</v>
      </c>
      <c r="AG22" s="222">
        <f>IF(data!W90&gt;0,ROUND(data!W90,0),0)</f>
        <v>726</v>
      </c>
      <c r="AH22" s="222">
        <f>IF(data!W91&gt;0,ROUND(data!W91,0),0)</f>
        <v>0</v>
      </c>
      <c r="AI22" s="222">
        <f>IF(data!W92&gt;0,ROUND(data!W92,0),0)</f>
        <v>201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104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8243</v>
      </c>
      <c r="F23" s="212">
        <f>ROUND(data!X60,2)</f>
        <v>7.6</v>
      </c>
      <c r="G23" s="222">
        <f>ROUND(data!X61,0)</f>
        <v>878170</v>
      </c>
      <c r="H23" s="222">
        <f>ROUND(data!X62,0)</f>
        <v>143426</v>
      </c>
      <c r="I23" s="222">
        <f>ROUND(data!X63,0)</f>
        <v>0</v>
      </c>
      <c r="J23" s="222">
        <f>ROUND(data!X64,0)</f>
        <v>3036</v>
      </c>
      <c r="K23" s="222">
        <f>ROUND(data!X65,0)</f>
        <v>0</v>
      </c>
      <c r="L23" s="222">
        <f>ROUND(data!X66,0)</f>
        <v>80955</v>
      </c>
      <c r="M23" s="66">
        <f>ROUND(data!X67,0)</f>
        <v>90203</v>
      </c>
      <c r="N23" s="222">
        <f>ROUND(data!X68,0)</f>
        <v>0</v>
      </c>
      <c r="O23" s="222">
        <f>ROUND(data!X69,0)</f>
        <v>150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150</v>
      </c>
      <c r="AD23" s="222">
        <f>ROUND(data!X84,0)</f>
        <v>0</v>
      </c>
      <c r="AE23" s="222">
        <f>ROUND(data!X89,0)</f>
        <v>25441411</v>
      </c>
      <c r="AF23" s="222">
        <f>ROUND(data!X87,0)</f>
        <v>2894279</v>
      </c>
      <c r="AG23" s="222">
        <f>IF(data!X90&gt;0,ROUND(data!X90,0),0)</f>
        <v>554</v>
      </c>
      <c r="AH23" s="222">
        <f>IF(data!X91&gt;0,ROUND(data!X91,0),0)</f>
        <v>0</v>
      </c>
      <c r="AI23" s="222">
        <f>IF(data!X92&gt;0,ROUND(data!X92,0),0)</f>
        <v>169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104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6.09</v>
      </c>
      <c r="G24" s="222">
        <f>ROUND(data!Y61,0)</f>
        <v>722567</v>
      </c>
      <c r="H24" s="222">
        <f>ROUND(data!Y62,0)</f>
        <v>111540</v>
      </c>
      <c r="I24" s="222">
        <f>ROUND(data!Y63,0)</f>
        <v>0</v>
      </c>
      <c r="J24" s="222">
        <f>ROUND(data!Y64,0)</f>
        <v>95266</v>
      </c>
      <c r="K24" s="222">
        <f>ROUND(data!Y65,0)</f>
        <v>0</v>
      </c>
      <c r="L24" s="222">
        <f>ROUND(data!Y66,0)</f>
        <v>194128</v>
      </c>
      <c r="M24" s="66">
        <f>ROUND(data!Y67,0)</f>
        <v>87506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8713145</v>
      </c>
      <c r="AF24" s="222">
        <f>ROUND(data!Y87,0)</f>
        <v>888106</v>
      </c>
      <c r="AG24" s="222">
        <f>IF(data!Y90&gt;0,ROUND(data!Y90,0),0)</f>
        <v>3578</v>
      </c>
      <c r="AH24" s="222">
        <f>IF(data!Y91&gt;0,ROUND(data!Y91,0),0)</f>
        <v>0</v>
      </c>
      <c r="AI24" s="222">
        <f>IF(data!Y92&gt;0,ROUND(data!Y92,0),0)</f>
        <v>1069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104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104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7040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-4368</v>
      </c>
      <c r="AF26" s="222">
        <f>ROUND(data!AA87,0)</f>
        <v>0</v>
      </c>
      <c r="AG26" s="222">
        <f>IF(data!AA90&gt;0,ROUND(data!AA90,0),0)</f>
        <v>427</v>
      </c>
      <c r="AH26" s="222">
        <f>IF(data!AA91&gt;0,ROUND(data!AA91,0),0)</f>
        <v>0</v>
      </c>
      <c r="AI26" s="222">
        <f>IF(data!AA92&gt;0,ROUND(data!AA92,0),0)</f>
        <v>179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104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4.92</v>
      </c>
      <c r="G27" s="222">
        <f>ROUND(data!AB61,0)</f>
        <v>614375</v>
      </c>
      <c r="H27" s="222">
        <f>ROUND(data!AB62,0)</f>
        <v>137703</v>
      </c>
      <c r="I27" s="222">
        <f>ROUND(data!AB63,0)</f>
        <v>0</v>
      </c>
      <c r="J27" s="222">
        <f>ROUND(data!AB64,0)</f>
        <v>721972</v>
      </c>
      <c r="K27" s="222">
        <f>ROUND(data!AB65,0)</f>
        <v>0</v>
      </c>
      <c r="L27" s="222">
        <f>ROUND(data!AB66,0)</f>
        <v>121058</v>
      </c>
      <c r="M27" s="66">
        <f>ROUND(data!AB67,0)</f>
        <v>13371</v>
      </c>
      <c r="N27" s="222">
        <f>ROUND(data!AB68,0)</f>
        <v>144774</v>
      </c>
      <c r="O27" s="222">
        <f>ROUND(data!AB69,0)</f>
        <v>2534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2534</v>
      </c>
      <c r="AD27" s="222">
        <f>ROUND(data!AB84,0)</f>
        <v>0</v>
      </c>
      <c r="AE27" s="222">
        <f>ROUND(data!AB89,0)</f>
        <v>6282704</v>
      </c>
      <c r="AF27" s="222">
        <f>ROUND(data!AB87,0)</f>
        <v>2984414</v>
      </c>
      <c r="AG27" s="222">
        <f>IF(data!AB90&gt;0,ROUND(data!AB90,0),0)</f>
        <v>811</v>
      </c>
      <c r="AH27" s="222">
        <f>IF(data!AB91&gt;0,ROUND(data!AB91,0),0)</f>
        <v>0</v>
      </c>
      <c r="AI27" s="222">
        <f>IF(data!AB92&gt;0,ROUND(data!AB92,0),0)</f>
        <v>340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104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3399</v>
      </c>
      <c r="F28" s="212">
        <f>ROUND(data!AC60,2)</f>
        <v>4.3</v>
      </c>
      <c r="G28" s="222">
        <f>ROUND(data!AC61,0)</f>
        <v>925720</v>
      </c>
      <c r="H28" s="222">
        <f>ROUND(data!AC62,0)</f>
        <v>28476</v>
      </c>
      <c r="I28" s="222">
        <f>ROUND(data!AC63,0)</f>
        <v>0</v>
      </c>
      <c r="J28" s="222">
        <f>ROUND(data!AC64,0)</f>
        <v>25497</v>
      </c>
      <c r="K28" s="222">
        <f>ROUND(data!AC65,0)</f>
        <v>0</v>
      </c>
      <c r="L28" s="222">
        <f>ROUND(data!AC66,0)</f>
        <v>0</v>
      </c>
      <c r="M28" s="66">
        <f>ROUND(data!AC67,0)</f>
        <v>15794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985609</v>
      </c>
      <c r="AF28" s="222">
        <f>ROUND(data!AC87,0)</f>
        <v>662836</v>
      </c>
      <c r="AG28" s="222">
        <f>IF(data!AC90&gt;0,ROUND(data!AC90,0),0)</f>
        <v>765</v>
      </c>
      <c r="AH28" s="222">
        <f>IF(data!AC91&gt;0,ROUND(data!AC91,0),0)</f>
        <v>0</v>
      </c>
      <c r="AI28" s="222">
        <f>IF(data!AC92&gt;0,ROUND(data!AC92,0),0)</f>
        <v>321</v>
      </c>
      <c r="AJ28" s="222">
        <f>IF(data!AC93&gt;0,ROUND(data!AC93,0),0)</f>
        <v>0</v>
      </c>
      <c r="AK28" s="212">
        <f>IF(data!AC94&gt;0,ROUND(data!AC94,2),0)</f>
        <v>0.04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104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104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13723</v>
      </c>
      <c r="F30" s="212">
        <f>ROUND(data!AE60,2)</f>
        <v>5.92</v>
      </c>
      <c r="G30" s="222">
        <f>ROUND(data!AE61,0)</f>
        <v>502313</v>
      </c>
      <c r="H30" s="222">
        <f>ROUND(data!AE62,0)</f>
        <v>120560</v>
      </c>
      <c r="I30" s="222">
        <f>ROUND(data!AE63,0)</f>
        <v>0</v>
      </c>
      <c r="J30" s="222">
        <f>ROUND(data!AE64,0)</f>
        <v>13341</v>
      </c>
      <c r="K30" s="222">
        <f>ROUND(data!AE65,0)</f>
        <v>0</v>
      </c>
      <c r="L30" s="222">
        <f>ROUND(data!AE66,0)</f>
        <v>0</v>
      </c>
      <c r="M30" s="66">
        <f>ROUND(data!AE67,0)</f>
        <v>77795</v>
      </c>
      <c r="N30" s="222">
        <f>ROUND(data!AE68,0)</f>
        <v>0</v>
      </c>
      <c r="O30" s="222">
        <f>ROUND(data!AE69,0)</f>
        <v>1558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1558</v>
      </c>
      <c r="AD30" s="222">
        <f>ROUND(data!AE84,0)</f>
        <v>0</v>
      </c>
      <c r="AE30" s="222">
        <f>ROUND(data!AE89,0)</f>
        <v>2469796</v>
      </c>
      <c r="AF30" s="222">
        <f>ROUND(data!AE87,0)</f>
        <v>303592</v>
      </c>
      <c r="AG30" s="222">
        <f>IF(data!AE90&gt;0,ROUND(data!AE90,0),0)</f>
        <v>260</v>
      </c>
      <c r="AH30" s="222">
        <f>IF(data!AE91&gt;0,ROUND(data!AE91,0),0)</f>
        <v>0</v>
      </c>
      <c r="AI30" s="222">
        <f>IF(data!AE92&gt;0,ROUND(data!AE92,0),0)</f>
        <v>109</v>
      </c>
      <c r="AJ30" s="222">
        <f>IF(data!AE93&gt;0,ROUND(data!AE93,0),0)</f>
        <v>6181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104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104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18498</v>
      </c>
      <c r="F32" s="212">
        <f>ROUND(data!AG60,2)</f>
        <v>26.62</v>
      </c>
      <c r="G32" s="222">
        <f>ROUND(data!AG61,0)</f>
        <v>3185356</v>
      </c>
      <c r="H32" s="222">
        <f>ROUND(data!AG62,0)</f>
        <v>440719</v>
      </c>
      <c r="I32" s="222">
        <f>ROUND(data!AG63,0)</f>
        <v>729829</v>
      </c>
      <c r="J32" s="222">
        <f>ROUND(data!AG64,0)</f>
        <v>509871</v>
      </c>
      <c r="K32" s="222">
        <f>ROUND(data!AG65,0)</f>
        <v>0</v>
      </c>
      <c r="L32" s="222">
        <f>ROUND(data!AG66,0)</f>
        <v>21324</v>
      </c>
      <c r="M32" s="66">
        <f>ROUND(data!AG67,0)</f>
        <v>135575</v>
      </c>
      <c r="N32" s="222">
        <f>ROUND(data!AG68,0)</f>
        <v>0</v>
      </c>
      <c r="O32" s="222">
        <f>ROUND(data!AG69,0)</f>
        <v>844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844</v>
      </c>
      <c r="AD32" s="222">
        <f>ROUND(data!AG84,0)</f>
        <v>0</v>
      </c>
      <c r="AE32" s="222">
        <f>ROUND(data!AG89,0)</f>
        <v>43199264</v>
      </c>
      <c r="AF32" s="222">
        <f>ROUND(data!AG87,0)</f>
        <v>3195899</v>
      </c>
      <c r="AG32" s="222">
        <f>IF(data!AG90&gt;0,ROUND(data!AG90,0),0)</f>
        <v>7800</v>
      </c>
      <c r="AH32" s="222">
        <f>IF(data!AG91&gt;0,ROUND(data!AG91,0),0)</f>
        <v>895</v>
      </c>
      <c r="AI32" s="222">
        <f>IF(data!AG92&gt;0,ROUND(data!AG92,0),0)</f>
        <v>3274</v>
      </c>
      <c r="AJ32" s="222">
        <f>IF(data!AG93&gt;0,ROUND(data!AG93,0),0)</f>
        <v>51606</v>
      </c>
      <c r="AK32" s="212">
        <f>IF(data!AG94&gt;0,ROUND(data!AG94,2),0)</f>
        <v>17.32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104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104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252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104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692</v>
      </c>
      <c r="F35" s="212">
        <f>ROUND(data!AJ60,2)</f>
        <v>7.34</v>
      </c>
      <c r="G35" s="222">
        <f>ROUND(data!AJ61,0)</f>
        <v>980611</v>
      </c>
      <c r="H35" s="222">
        <f>ROUND(data!AJ62,0)</f>
        <v>172240</v>
      </c>
      <c r="I35" s="222">
        <f>ROUND(data!AJ63,0)</f>
        <v>3021</v>
      </c>
      <c r="J35" s="222">
        <f>ROUND(data!AJ64,0)</f>
        <v>215734</v>
      </c>
      <c r="K35" s="222">
        <f>ROUND(data!AJ65,0)</f>
        <v>0</v>
      </c>
      <c r="L35" s="222">
        <f>ROUND(data!AJ66,0)</f>
        <v>216508</v>
      </c>
      <c r="M35" s="66">
        <f>ROUND(data!AJ67,0)</f>
        <v>142007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6110025</v>
      </c>
      <c r="AF35" s="222">
        <f>ROUND(data!AJ87,0)</f>
        <v>21858</v>
      </c>
      <c r="AG35" s="222">
        <f>IF(data!AJ90&gt;0,ROUND(data!AJ90,0),0)</f>
        <v>8420</v>
      </c>
      <c r="AH35" s="222">
        <f>IF(data!AJ91&gt;0,ROUND(data!AJ91,0),0)</f>
        <v>1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3.35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104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3186</v>
      </c>
      <c r="F36" s="212">
        <f>ROUND(data!AK60,2)</f>
        <v>1.19</v>
      </c>
      <c r="G36" s="222">
        <f>ROUND(data!AK61,0)</f>
        <v>142418</v>
      </c>
      <c r="H36" s="222">
        <f>ROUND(data!AK62,0)</f>
        <v>36311</v>
      </c>
      <c r="I36" s="222">
        <f>ROUND(data!AK63,0)</f>
        <v>2177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636191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104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104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104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104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104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934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104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104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150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150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104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104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104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104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117182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10394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104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104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100447</v>
      </c>
      <c r="M49" s="66">
        <f>ROUND(data!AX67,0)</f>
        <v>0</v>
      </c>
      <c r="N49" s="222">
        <f>ROUND(data!AX68,0)</f>
        <v>0</v>
      </c>
      <c r="O49" s="222">
        <f>ROUND(data!AX69,0)</f>
        <v>2781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2781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104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0</v>
      </c>
      <c r="G50" s="222">
        <f>ROUND(data!AY61,0)</f>
        <v>0</v>
      </c>
      <c r="H50" s="222">
        <f>ROUND(data!AY62,0)</f>
        <v>0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104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30708</v>
      </c>
      <c r="F51" s="212">
        <f>ROUND(data!AZ60,2)</f>
        <v>11.64</v>
      </c>
      <c r="G51" s="222">
        <f>ROUND(data!AZ61,0)</f>
        <v>629610</v>
      </c>
      <c r="H51" s="222">
        <f>ROUND(data!AZ62,0)</f>
        <v>150282</v>
      </c>
      <c r="I51" s="222">
        <f>ROUND(data!AZ63,0)</f>
        <v>103723</v>
      </c>
      <c r="J51" s="222">
        <f>ROUND(data!AZ64,0)</f>
        <v>221020</v>
      </c>
      <c r="K51" s="222">
        <f>ROUND(data!AZ65,0)</f>
        <v>0</v>
      </c>
      <c r="L51" s="222">
        <f>ROUND(data!AZ66,0)</f>
        <v>6709</v>
      </c>
      <c r="M51" s="66">
        <f>ROUND(data!AZ67,0)</f>
        <v>73139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4436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104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315070</v>
      </c>
      <c r="M52" s="66">
        <f>ROUND(data!BA67,0)</f>
        <v>6809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413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104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104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104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1.95</v>
      </c>
      <c r="G55" s="222">
        <f>ROUND(data!BD61,0)</f>
        <v>108139</v>
      </c>
      <c r="H55" s="222">
        <f>ROUND(data!BD62,0)</f>
        <v>24511</v>
      </c>
      <c r="I55" s="222">
        <f>ROUND(data!BD63,0)</f>
        <v>0</v>
      </c>
      <c r="J55" s="222">
        <f>ROUND(data!BD64,0)</f>
        <v>535</v>
      </c>
      <c r="K55" s="222">
        <f>ROUND(data!BD65,0)</f>
        <v>0</v>
      </c>
      <c r="L55" s="222">
        <f>ROUND(data!BD66,0)</f>
        <v>4825</v>
      </c>
      <c r="M55" s="66">
        <f>ROUND(data!BD67,0)</f>
        <v>53090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3220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104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83637</v>
      </c>
      <c r="F56" s="212">
        <f>ROUND(data!BE60,2)</f>
        <v>5.7</v>
      </c>
      <c r="G56" s="222">
        <f>ROUND(data!BE61,0)</f>
        <v>477046</v>
      </c>
      <c r="H56" s="222">
        <f>ROUND(data!BE62,0)</f>
        <v>75483</v>
      </c>
      <c r="I56" s="222">
        <f>ROUND(data!BE63,0)</f>
        <v>0</v>
      </c>
      <c r="J56" s="222">
        <f>ROUND(data!BE64,0)</f>
        <v>140948</v>
      </c>
      <c r="K56" s="222">
        <f>ROUND(data!BE65,0)</f>
        <v>463996</v>
      </c>
      <c r="L56" s="222">
        <f>ROUND(data!BE66,0)</f>
        <v>574643</v>
      </c>
      <c r="M56" s="66">
        <f>ROUND(data!BE67,0)</f>
        <v>497547</v>
      </c>
      <c r="N56" s="222">
        <f>ROUND(data!BE68,0)</f>
        <v>5583</v>
      </c>
      <c r="O56" s="222">
        <f>ROUND(data!BE69,0)</f>
        <v>892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892</v>
      </c>
      <c r="AD56" s="222">
        <f>ROUND(data!BE84,0)</f>
        <v>0</v>
      </c>
      <c r="AE56" s="222"/>
      <c r="AF56" s="222"/>
      <c r="AG56" s="222">
        <f>IF(data!BE90&gt;0,ROUND(data!BE90,0),0)</f>
        <v>10476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104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14.87</v>
      </c>
      <c r="G57" s="222">
        <f>ROUND(data!BF61,0)</f>
        <v>770197</v>
      </c>
      <c r="H57" s="222">
        <f>ROUND(data!BF62,0)</f>
        <v>208931</v>
      </c>
      <c r="I57" s="222">
        <f>ROUND(data!BF63,0)</f>
        <v>0</v>
      </c>
      <c r="J57" s="222">
        <f>ROUND(data!BF64,0)</f>
        <v>77347</v>
      </c>
      <c r="K57" s="222">
        <f>ROUND(data!BF65,0)</f>
        <v>0</v>
      </c>
      <c r="L57" s="222">
        <f>ROUND(data!BF66,0)</f>
        <v>85655</v>
      </c>
      <c r="M57" s="66">
        <f>ROUND(data!BF67,0)</f>
        <v>6348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385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104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2835</v>
      </c>
      <c r="K58" s="222">
        <f>ROUND(data!BG65,0)</f>
        <v>89069</v>
      </c>
      <c r="L58" s="222">
        <f>ROUND(data!BG66,0)</f>
        <v>19045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104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5.77</v>
      </c>
      <c r="G59" s="222">
        <f>ROUND(data!BH61,0)</f>
        <v>869647</v>
      </c>
      <c r="H59" s="222">
        <f>ROUND(data!BH62,0)</f>
        <v>65328</v>
      </c>
      <c r="I59" s="222">
        <f>ROUND(data!BH63,0)</f>
        <v>1803</v>
      </c>
      <c r="J59" s="222">
        <f>ROUND(data!BH64,0)</f>
        <v>103568</v>
      </c>
      <c r="K59" s="222">
        <f>ROUND(data!BH65,0)</f>
        <v>11635</v>
      </c>
      <c r="L59" s="222">
        <f>ROUND(data!BH66,0)</f>
        <v>1570692</v>
      </c>
      <c r="M59" s="66">
        <f>ROUND(data!BH67,0)</f>
        <v>148755</v>
      </c>
      <c r="N59" s="222">
        <f>ROUND(data!BH68,0)</f>
        <v>3504</v>
      </c>
      <c r="O59" s="222">
        <f>ROUND(data!BH69,0)</f>
        <v>4378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4378</v>
      </c>
      <c r="AD59" s="222">
        <f>ROUND(data!BH84,0)</f>
        <v>0</v>
      </c>
      <c r="AE59" s="222"/>
      <c r="AF59" s="222"/>
      <c r="AG59" s="222">
        <f>IF(data!BH90&gt;0,ROUND(data!BH90,0),0)</f>
        <v>1300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104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0.17</v>
      </c>
      <c r="G60" s="222">
        <f>ROUND(data!BI61,0)</f>
        <v>14090</v>
      </c>
      <c r="H60" s="222">
        <f>ROUND(data!BI62,0)</f>
        <v>1070</v>
      </c>
      <c r="I60" s="222">
        <f>ROUND(data!BI63,0)</f>
        <v>25986</v>
      </c>
      <c r="J60" s="222">
        <f>ROUND(data!BI64,0)</f>
        <v>10405</v>
      </c>
      <c r="K60" s="222">
        <f>ROUND(data!BI65,0)</f>
        <v>0</v>
      </c>
      <c r="L60" s="222">
        <f>ROUND(data!BI66,0)</f>
        <v>2000</v>
      </c>
      <c r="M60" s="66">
        <f>ROUND(data!BI67,0)</f>
        <v>0</v>
      </c>
      <c r="N60" s="222">
        <f>ROUND(data!BI68,0)</f>
        <v>39330</v>
      </c>
      <c r="O60" s="222">
        <f>ROUND(data!BI69,0)</f>
        <v>1900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1900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104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2.61</v>
      </c>
      <c r="G61" s="222">
        <f>ROUND(data!BJ61,0)</f>
        <v>256344</v>
      </c>
      <c r="H61" s="222">
        <f>ROUND(data!BJ62,0)</f>
        <v>23070</v>
      </c>
      <c r="I61" s="222">
        <f>ROUND(data!BJ63,0)</f>
        <v>97619</v>
      </c>
      <c r="J61" s="222">
        <f>ROUND(data!BJ64,0)</f>
        <v>1768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725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725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104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5.78</v>
      </c>
      <c r="G62" s="222">
        <f>ROUND(data!BK61,0)</f>
        <v>340440</v>
      </c>
      <c r="H62" s="222">
        <f>ROUND(data!BK62,0)</f>
        <v>81307</v>
      </c>
      <c r="I62" s="222">
        <f>ROUND(data!BK63,0)</f>
        <v>-18258</v>
      </c>
      <c r="J62" s="222">
        <f>ROUND(data!BK64,0)</f>
        <v>1470</v>
      </c>
      <c r="K62" s="222">
        <f>ROUND(data!BK65,0)</f>
        <v>0</v>
      </c>
      <c r="L62" s="222">
        <f>ROUND(data!BK66,0)</f>
        <v>246820</v>
      </c>
      <c r="M62" s="66">
        <f>ROUND(data!BK67,0)</f>
        <v>19785</v>
      </c>
      <c r="N62" s="222">
        <f>ROUND(data!BK68,0)</f>
        <v>0</v>
      </c>
      <c r="O62" s="222">
        <f>ROUND(data!BK69,0)</f>
        <v>251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251</v>
      </c>
      <c r="AD62" s="222">
        <f>ROUND(data!BK84,0)</f>
        <v>0</v>
      </c>
      <c r="AE62" s="222"/>
      <c r="AF62" s="222"/>
      <c r="AG62" s="222">
        <f>IF(data!BK90&gt;0,ROUND(data!BK90,0),0)</f>
        <v>1200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104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11.55</v>
      </c>
      <c r="G63" s="222">
        <f>ROUND(data!BL61,0)</f>
        <v>681493</v>
      </c>
      <c r="H63" s="222">
        <f>ROUND(data!BL62,0)</f>
        <v>128370</v>
      </c>
      <c r="I63" s="222">
        <f>ROUND(data!BL63,0)</f>
        <v>0</v>
      </c>
      <c r="J63" s="222">
        <f>ROUND(data!BL64,0)</f>
        <v>14694</v>
      </c>
      <c r="K63" s="222">
        <f>ROUND(data!BL65,0)</f>
        <v>0</v>
      </c>
      <c r="L63" s="222">
        <f>ROUND(data!BL66,0)</f>
        <v>75648</v>
      </c>
      <c r="M63" s="66">
        <f>ROUND(data!BL67,0)</f>
        <v>6925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420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104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104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7.42</v>
      </c>
      <c r="G65" s="222">
        <f>ROUND(data!BN61,0)</f>
        <v>1100063</v>
      </c>
      <c r="H65" s="222">
        <f>ROUND(data!BN62,0)</f>
        <v>559946</v>
      </c>
      <c r="I65" s="222">
        <f>ROUND(data!BN63,0)</f>
        <v>67614</v>
      </c>
      <c r="J65" s="222">
        <f>ROUND(data!BN64,0)</f>
        <v>13924</v>
      </c>
      <c r="K65" s="222">
        <f>ROUND(data!BN65,0)</f>
        <v>0</v>
      </c>
      <c r="L65" s="222">
        <f>ROUND(data!BN66,0)</f>
        <v>2124726</v>
      </c>
      <c r="M65" s="66">
        <f>ROUND(data!BN67,0)</f>
        <v>234596</v>
      </c>
      <c r="N65" s="222">
        <f>ROUND(data!BN68,0)</f>
        <v>188394</v>
      </c>
      <c r="O65" s="222">
        <f>ROUND(data!BN69,0)</f>
        <v>138278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138278</v>
      </c>
      <c r="AD65" s="222">
        <f>ROUND(data!BN84,0)</f>
        <v>0</v>
      </c>
      <c r="AE65" s="222"/>
      <c r="AF65" s="222"/>
      <c r="AG65" s="222">
        <f>IF(data!BN90&gt;0,ROUND(data!BN90,0),0)</f>
        <v>5828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104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0.39</v>
      </c>
      <c r="G66" s="222">
        <f>ROUND(data!BO61,0)</f>
        <v>46570</v>
      </c>
      <c r="H66" s="222">
        <f>ROUND(data!BO62,0)</f>
        <v>27458</v>
      </c>
      <c r="I66" s="222">
        <f>ROUND(data!BO63,0)</f>
        <v>0</v>
      </c>
      <c r="J66" s="222">
        <f>ROUND(data!BO64,0)</f>
        <v>6298</v>
      </c>
      <c r="K66" s="222">
        <f>ROUND(data!BO65,0)</f>
        <v>0</v>
      </c>
      <c r="L66" s="222">
        <f>ROUND(data!BO66,0)</f>
        <v>5051</v>
      </c>
      <c r="M66" s="66">
        <f>ROUND(data!BO67,0)</f>
        <v>0</v>
      </c>
      <c r="N66" s="222">
        <f>ROUND(data!BO68,0)</f>
        <v>0</v>
      </c>
      <c r="O66" s="222">
        <f>ROUND(data!BO69,0)</f>
        <v>1341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1341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104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10</v>
      </c>
      <c r="K67" s="222">
        <f>ROUND(data!BP65,0)</f>
        <v>0</v>
      </c>
      <c r="L67" s="222">
        <f>ROUND(data!BP66,0)</f>
        <v>73507</v>
      </c>
      <c r="M67" s="66">
        <f>ROUND(data!BP67,0)</f>
        <v>0</v>
      </c>
      <c r="N67" s="222">
        <f>ROUND(data!BP68,0)</f>
        <v>0</v>
      </c>
      <c r="O67" s="222">
        <f>ROUND(data!BP69,0)</f>
        <v>11443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11443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104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104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2.65</v>
      </c>
      <c r="G69" s="222">
        <f>ROUND(data!BR61,0)</f>
        <v>249356</v>
      </c>
      <c r="H69" s="222">
        <f>ROUND(data!BR62,0)</f>
        <v>62829</v>
      </c>
      <c r="I69" s="222">
        <f>ROUND(data!BR63,0)</f>
        <v>216624</v>
      </c>
      <c r="J69" s="222">
        <f>ROUND(data!BR64,0)</f>
        <v>4873</v>
      </c>
      <c r="K69" s="222">
        <f>ROUND(data!BR65,0)</f>
        <v>0</v>
      </c>
      <c r="L69" s="222">
        <f>ROUND(data!BR66,0)</f>
        <v>46662</v>
      </c>
      <c r="M69" s="66">
        <f>ROUND(data!BR67,0)</f>
        <v>9893</v>
      </c>
      <c r="N69" s="222">
        <f>ROUND(data!BR68,0)</f>
        <v>0</v>
      </c>
      <c r="O69" s="222">
        <f>ROUND(data!BR69,0)</f>
        <v>2171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2171</v>
      </c>
      <c r="AD69" s="222">
        <f>ROUND(data!BR84,0)</f>
        <v>0</v>
      </c>
      <c r="AE69" s="222"/>
      <c r="AF69" s="222"/>
      <c r="AG69" s="222">
        <f>IF(data!BR90&gt;0,ROUND(data!BR90,0),0)</f>
        <v>600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104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104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104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104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9.4600000000000009</v>
      </c>
      <c r="G73" s="222">
        <f>ROUND(data!BV61,0)</f>
        <v>599437</v>
      </c>
      <c r="H73" s="222">
        <f>ROUND(data!BV62,0)</f>
        <v>118860</v>
      </c>
      <c r="I73" s="222">
        <f>ROUND(data!BV63,0)</f>
        <v>0</v>
      </c>
      <c r="J73" s="222">
        <f>ROUND(data!BV64,0)</f>
        <v>2099</v>
      </c>
      <c r="K73" s="222">
        <f>ROUND(data!BV65,0)</f>
        <v>0</v>
      </c>
      <c r="L73" s="222">
        <f>ROUND(data!BV66,0)</f>
        <v>202089</v>
      </c>
      <c r="M73" s="66">
        <f>ROUND(data!BV67,0)</f>
        <v>44962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2727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104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0.81</v>
      </c>
      <c r="G74" s="222">
        <f>ROUND(data!BW61,0)</f>
        <v>178432</v>
      </c>
      <c r="H74" s="222">
        <f>ROUND(data!BW62,0)</f>
        <v>21566</v>
      </c>
      <c r="I74" s="222">
        <f>ROUND(data!BW63,0)</f>
        <v>675561</v>
      </c>
      <c r="J74" s="222">
        <f>ROUND(data!BW64,0)</f>
        <v>416</v>
      </c>
      <c r="K74" s="222">
        <f>ROUND(data!BW65,0)</f>
        <v>0</v>
      </c>
      <c r="L74" s="222">
        <f>ROUND(data!BW66,0)</f>
        <v>10711</v>
      </c>
      <c r="M74" s="66">
        <f>ROUND(data!BW67,0)</f>
        <v>0</v>
      </c>
      <c r="N74" s="222">
        <f>ROUND(data!BW68,0)</f>
        <v>0</v>
      </c>
      <c r="O74" s="222">
        <f>ROUND(data!BW69,0)</f>
        <v>888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888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104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3.79</v>
      </c>
      <c r="G75" s="222">
        <f>ROUND(data!BX61,0)</f>
        <v>366890</v>
      </c>
      <c r="H75" s="222">
        <f>ROUND(data!BX62,0)</f>
        <v>60037</v>
      </c>
      <c r="I75" s="222">
        <f>ROUND(data!BX63,0)</f>
        <v>10125</v>
      </c>
      <c r="J75" s="222">
        <f>ROUND(data!BX64,0)</f>
        <v>1917</v>
      </c>
      <c r="K75" s="222">
        <f>ROUND(data!BX65,0)</f>
        <v>0</v>
      </c>
      <c r="L75" s="222">
        <f>ROUND(data!BX66,0)</f>
        <v>92333</v>
      </c>
      <c r="M75" s="66">
        <f>ROUND(data!BX67,0)</f>
        <v>0</v>
      </c>
      <c r="N75" s="222">
        <f>ROUND(data!BX68,0)</f>
        <v>0</v>
      </c>
      <c r="O75" s="222">
        <f>ROUND(data!BX69,0)</f>
        <v>359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359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104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4.2699999999999996</v>
      </c>
      <c r="G76" s="222">
        <f>ROUND(data!BY61,0)</f>
        <v>673533</v>
      </c>
      <c r="H76" s="222">
        <f>ROUND(data!BY62,0)</f>
        <v>73293</v>
      </c>
      <c r="I76" s="222">
        <f>ROUND(data!BY63,0)</f>
        <v>0</v>
      </c>
      <c r="J76" s="222">
        <f>ROUND(data!BY64,0)</f>
        <v>495</v>
      </c>
      <c r="K76" s="222">
        <f>ROUND(data!BY65,0)</f>
        <v>0</v>
      </c>
      <c r="L76" s="222">
        <f>ROUND(data!BY66,0)</f>
        <v>0</v>
      </c>
      <c r="M76" s="66">
        <f>ROUND(data!BY67,0)</f>
        <v>12316</v>
      </c>
      <c r="N76" s="222">
        <f>ROUND(data!BY68,0)</f>
        <v>0</v>
      </c>
      <c r="O76" s="222">
        <f>ROUND(data!BY69,0)</f>
        <v>471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471</v>
      </c>
      <c r="AD76" s="222">
        <f>ROUND(data!BY84,0)</f>
        <v>0</v>
      </c>
      <c r="AE76" s="222"/>
      <c r="AF76" s="222"/>
      <c r="AG76" s="222">
        <f>IF(data!BY90&gt;0,ROUND(data!BY90,0),0)</f>
        <v>747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104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104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0.01</v>
      </c>
      <c r="G78" s="222">
        <f>ROUND(data!CA61,0)</f>
        <v>582</v>
      </c>
      <c r="H78" s="222">
        <f>ROUND(data!CA62,0)</f>
        <v>0</v>
      </c>
      <c r="I78" s="222">
        <f>ROUND(data!CA63,0)</f>
        <v>0</v>
      </c>
      <c r="J78" s="222">
        <f>ROUND(data!CA64,0)</f>
        <v>281</v>
      </c>
      <c r="K78" s="222">
        <f>ROUND(data!CA65,0)</f>
        <v>0</v>
      </c>
      <c r="L78" s="222">
        <f>ROUND(data!CA66,0)</f>
        <v>0</v>
      </c>
      <c r="M78" s="66">
        <f>ROUND(data!CA67,0)</f>
        <v>3181</v>
      </c>
      <c r="N78" s="222">
        <f>ROUND(data!CA68,0)</f>
        <v>0</v>
      </c>
      <c r="O78" s="222">
        <f>ROUND(data!CA69,0)</f>
        <v>20779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20779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104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104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1.68</v>
      </c>
      <c r="G80" s="222">
        <f>ROUND(data!CC61,0)</f>
        <v>321649</v>
      </c>
      <c r="H80" s="222">
        <f>ROUND(data!CC62,0)</f>
        <v>-118022</v>
      </c>
      <c r="I80" s="222">
        <f>ROUND(data!CC63,0)</f>
        <v>0</v>
      </c>
      <c r="J80" s="222">
        <f>ROUND(data!CC64,0)</f>
        <v>-14020</v>
      </c>
      <c r="K80" s="222">
        <f>ROUND(data!CC65,0)</f>
        <v>0</v>
      </c>
      <c r="L80" s="222">
        <f>ROUND(data!CC66,0)</f>
        <v>1350</v>
      </c>
      <c r="M80" s="66">
        <f>ROUND(data!CC67,0)</f>
        <v>27947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1695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C33" sqref="C33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EvergreenHealth Monroe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H-104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14701 179th Ave SE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Monroe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pane xSplit="1" ySplit="14" topLeftCell="B45" activePane="bottomRight" state="frozen"/>
      <selection pane="topRight" activeCell="B1" sqref="B1"/>
      <selection pane="bottomLeft" activeCell="A15" sqref="A15"/>
      <selection pane="bottomRight" activeCell="I48" sqref="I48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104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610118</v>
      </c>
      <c r="C15" s="275">
        <f>data!C85</f>
        <v>66371</v>
      </c>
      <c r="D15" s="275">
        <f>'Prior Year'!C60</f>
        <v>295</v>
      </c>
      <c r="E15" s="1">
        <f>data!C59</f>
        <v>0</v>
      </c>
      <c r="F15" s="238">
        <f t="shared" ref="F15:F59" si="0">IF(B15=0,"",IF(D15=0,"",B15/D15))</f>
        <v>2068.1966101694916</v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881018.11</v>
      </c>
      <c r="D16" s="275">
        <f>'Prior Year'!D60</f>
        <v>0</v>
      </c>
      <c r="E16" s="1">
        <f>data!D59</f>
        <v>363</v>
      </c>
      <c r="F16" s="238" t="str">
        <f t="shared" si="0"/>
        <v/>
      </c>
      <c r="G16" s="238">
        <f t="shared" si="1"/>
        <v>2427.047134986226</v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3071416</v>
      </c>
      <c r="C17" s="275">
        <f>data!E85</f>
        <v>3963388.9200000004</v>
      </c>
      <c r="D17" s="275">
        <f>'Prior Year'!E60</f>
        <v>2246</v>
      </c>
      <c r="E17" s="1">
        <f>data!E59</f>
        <v>2833</v>
      </c>
      <c r="F17" s="238">
        <f t="shared" si="0"/>
        <v>1367.5048975957257</v>
      </c>
      <c r="G17" s="238">
        <f t="shared" si="1"/>
        <v>1399.0077373808685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164</v>
      </c>
      <c r="C19" s="275">
        <f>data!G85</f>
        <v>4.45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3639136</v>
      </c>
      <c r="C21" s="275">
        <f>data!I85</f>
        <v>3954996.91</v>
      </c>
      <c r="D21" s="275">
        <f>'Prior Year'!I60</f>
        <v>5149</v>
      </c>
      <c r="E21" s="1">
        <f>data!I59</f>
        <v>6319</v>
      </c>
      <c r="F21" s="238">
        <f t="shared" si="0"/>
        <v>706.76558555059239</v>
      </c>
      <c r="G21" s="238">
        <f t="shared" si="1"/>
        <v>625.88968349422385</v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2105214</v>
      </c>
      <c r="C26" s="275">
        <f>data!N85</f>
        <v>2059313.79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110579</v>
      </c>
      <c r="C27" s="275">
        <f>data!O85</f>
        <v>99668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4389317</v>
      </c>
      <c r="C28" s="275">
        <f>data!P85</f>
        <v>3252356.9699999997</v>
      </c>
      <c r="D28" s="275">
        <f>'Prior Year'!P60</f>
        <v>91845</v>
      </c>
      <c r="E28" s="1">
        <f>data!P59</f>
        <v>79658</v>
      </c>
      <c r="F28" s="238">
        <f t="shared" si="0"/>
        <v>47.790483967554032</v>
      </c>
      <c r="G28" s="238">
        <f t="shared" si="1"/>
        <v>40.829006126189455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337054</v>
      </c>
      <c r="C29" s="275">
        <f>data!Q85</f>
        <v>657457.82999999996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461032</v>
      </c>
      <c r="C30" s="275">
        <f>data!R85</f>
        <v>556455.51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404504</v>
      </c>
      <c r="C31" s="275">
        <f>data!S85</f>
        <v>332647.60000000003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2965264</v>
      </c>
      <c r="C33" s="275">
        <f>data!U85</f>
        <v>2986787.46</v>
      </c>
      <c r="D33" s="275">
        <f>'Prior Year'!U60</f>
        <v>114438</v>
      </c>
      <c r="E33" s="1">
        <f>data!U59</f>
        <v>132176</v>
      </c>
      <c r="F33" s="238">
        <f t="shared" si="0"/>
        <v>25.911532882434155</v>
      </c>
      <c r="G33" s="238">
        <f t="shared" ref="G33:G69" si="5">IF(C33=0,"",IF(E33=0,"",C33/E33))</f>
        <v>22.597048329500062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4801</v>
      </c>
      <c r="E34" s="1">
        <f>data!V59</f>
        <v>4126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641848</v>
      </c>
      <c r="C35" s="275">
        <f>data!W85</f>
        <v>720552.74</v>
      </c>
      <c r="D35" s="275">
        <f>'Prior Year'!W60</f>
        <v>0</v>
      </c>
      <c r="E35" s="1">
        <f>data!W59</f>
        <v>1310</v>
      </c>
      <c r="F35" s="238" t="str">
        <f t="shared" si="0"/>
        <v/>
      </c>
      <c r="G35" s="238">
        <f t="shared" si="5"/>
        <v>550.04025954198471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1000620</v>
      </c>
      <c r="C36" s="275">
        <f>data!X85</f>
        <v>1195940.1400000001</v>
      </c>
      <c r="D36" s="275">
        <f>'Prior Year'!X60</f>
        <v>0</v>
      </c>
      <c r="E36" s="1">
        <f>data!X59</f>
        <v>8243</v>
      </c>
      <c r="F36" s="238" t="str">
        <f t="shared" si="0"/>
        <v/>
      </c>
      <c r="G36" s="238">
        <f t="shared" si="5"/>
        <v>145.08554409802258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1167609</v>
      </c>
      <c r="C37" s="275">
        <f>data!Y85</f>
        <v>1211007.24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7566</v>
      </c>
      <c r="C39" s="275">
        <f>data!AA85</f>
        <v>7040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2074208</v>
      </c>
      <c r="C40" s="275">
        <f>data!AB85</f>
        <v>1755786.8599999999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345" t="s">
        <v>735</v>
      </c>
      <c r="B41" s="346">
        <f>'Prior Year'!AC86</f>
        <v>388492</v>
      </c>
      <c r="C41" s="346">
        <f>data!AC85</f>
        <v>995487.17999999993</v>
      </c>
      <c r="D41" s="346">
        <f>'Prior Year'!AC60</f>
        <v>2391</v>
      </c>
      <c r="E41" s="345">
        <f>data!AC59</f>
        <v>3399</v>
      </c>
      <c r="F41" s="347">
        <f t="shared" si="0"/>
        <v>162.48097030531159</v>
      </c>
      <c r="G41" s="347">
        <f t="shared" si="5"/>
        <v>292.87648720211826</v>
      </c>
      <c r="H41" s="348">
        <f t="shared" si="2"/>
        <v>0.80252793082036367</v>
      </c>
      <c r="I41" s="275" t="s">
        <v>1380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732260</v>
      </c>
      <c r="C43" s="275">
        <f>data!AE85</f>
        <v>715566.92999999993</v>
      </c>
      <c r="D43" s="275">
        <f>'Prior Year'!AE60</f>
        <v>14387</v>
      </c>
      <c r="E43" s="1">
        <f>data!AE59</f>
        <v>13723</v>
      </c>
      <c r="F43" s="238">
        <f t="shared" si="0"/>
        <v>50.897337874470004</v>
      </c>
      <c r="G43" s="238">
        <f t="shared" si="5"/>
        <v>52.1436223857757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4836518</v>
      </c>
      <c r="C45" s="275">
        <f>data!AG85</f>
        <v>5023517.7600000007</v>
      </c>
      <c r="D45" s="275">
        <f>'Prior Year'!AG60</f>
        <v>15208</v>
      </c>
      <c r="E45" s="1">
        <f>data!AG59</f>
        <v>18498</v>
      </c>
      <c r="F45" s="238">
        <f t="shared" si="0"/>
        <v>318.02459231983164</v>
      </c>
      <c r="G45" s="238">
        <f t="shared" si="5"/>
        <v>271.57085955238409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345" t="s">
        <v>742</v>
      </c>
      <c r="B48" s="346">
        <f>'Prior Year'!AJ86</f>
        <v>2051576</v>
      </c>
      <c r="C48" s="346">
        <f>data!AJ85</f>
        <v>1730119.7100000002</v>
      </c>
      <c r="D48" s="346">
        <f>'Prior Year'!AJ60</f>
        <v>587</v>
      </c>
      <c r="E48" s="345">
        <f>data!AJ59</f>
        <v>692</v>
      </c>
      <c r="F48" s="347">
        <f t="shared" si="0"/>
        <v>3495.0187393526408</v>
      </c>
      <c r="G48" s="347">
        <f t="shared" si="5"/>
        <v>2500.1729913294798</v>
      </c>
      <c r="H48" s="348">
        <f t="shared" si="2"/>
        <v>-0.28464675648847293</v>
      </c>
      <c r="I48" s="275" t="s">
        <v>1381</v>
      </c>
      <c r="M48" s="7"/>
    </row>
    <row r="49" spans="1:13" x14ac:dyDescent="0.35">
      <c r="A49" s="345" t="s">
        <v>743</v>
      </c>
      <c r="B49" s="346">
        <f>'Prior Year'!AK86</f>
        <v>208287</v>
      </c>
      <c r="C49" s="346">
        <f>data!AK85</f>
        <v>180905.9</v>
      </c>
      <c r="D49" s="346">
        <f>'Prior Year'!AK60</f>
        <v>5538</v>
      </c>
      <c r="E49" s="345">
        <f>data!AK59</f>
        <v>3186</v>
      </c>
      <c r="F49" s="347">
        <f t="shared" si="0"/>
        <v>37.610509209100755</v>
      </c>
      <c r="G49" s="347">
        <f t="shared" si="5"/>
        <v>56.781512868801002</v>
      </c>
      <c r="H49" s="348">
        <f t="shared" si="2"/>
        <v>0.509724650445875</v>
      </c>
      <c r="I49" s="275" t="s">
        <v>1380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19</v>
      </c>
      <c r="C54" s="275">
        <f>data!AP85</f>
        <v>934.46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150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136659</v>
      </c>
      <c r="C62" s="275">
        <f>data!AX85</f>
        <v>103227.58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0</v>
      </c>
      <c r="C63" s="275">
        <f>data!AY85</f>
        <v>0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5"/>
        <v/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345" t="s">
        <v>758</v>
      </c>
      <c r="B64" s="346">
        <f>'Prior Year'!AZ86</f>
        <v>1225624</v>
      </c>
      <c r="C64" s="346">
        <f>data!AZ85</f>
        <v>1184482.6000000001</v>
      </c>
      <c r="D64" s="346">
        <f>'Prior Year'!AZ60</f>
        <v>110976</v>
      </c>
      <c r="E64" s="345">
        <f>data!AZ59</f>
        <v>30708</v>
      </c>
      <c r="F64" s="347">
        <f>IF(B64=0,"",IF(D64=0,"",B64/D64))</f>
        <v>11.04404555940023</v>
      </c>
      <c r="G64" s="347">
        <f t="shared" si="5"/>
        <v>38.57244366288915</v>
      </c>
      <c r="H64" s="348">
        <f>IF(B64=0,"",IF(C64=0,"",IF(D64=0,"",IF(E64=0,"",IF(G64/F64-1&lt;-0.25,G64/F64-1,IF(G64/F64-1&gt;0.25,G64/F64-1,""))))))</f>
        <v>2.4926009183344866</v>
      </c>
      <c r="I64" s="275" t="s">
        <v>1379</v>
      </c>
      <c r="J64" s="1">
        <v>26753</v>
      </c>
      <c r="M64" s="7"/>
    </row>
    <row r="65" spans="1:13" x14ac:dyDescent="0.35">
      <c r="A65" s="1" t="s">
        <v>759</v>
      </c>
      <c r="B65" s="275">
        <f>'Prior Year'!BA86</f>
        <v>326480</v>
      </c>
      <c r="C65" s="275">
        <f>data!BA85</f>
        <v>321878.90000000002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303207</v>
      </c>
      <c r="C68" s="275">
        <f>data!BD85</f>
        <v>191100.18000000002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2240255</v>
      </c>
      <c r="C69" s="275">
        <f>data!BE85</f>
        <v>2236136.94</v>
      </c>
      <c r="D69" s="275">
        <f>'Prior Year'!BE60</f>
        <v>83637</v>
      </c>
      <c r="E69" s="1">
        <f>data!BE59</f>
        <v>83637</v>
      </c>
      <c r="F69" s="238">
        <f>IF(B69=0,"",IF(D69=0,"",B69/D69))</f>
        <v>26.785453806329734</v>
      </c>
      <c r="G69" s="238">
        <f t="shared" si="5"/>
        <v>26.736216507048315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1049256</v>
      </c>
      <c r="C70" s="275">
        <f>data!BF85</f>
        <v>1148477.8799999999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103190</v>
      </c>
      <c r="C71" s="275">
        <f>data!BG85</f>
        <v>110947.83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1975269</v>
      </c>
      <c r="C72" s="275">
        <f>data!BH85</f>
        <v>2779310.6100000003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3327639</v>
      </c>
      <c r="C73" s="275">
        <f>data!BI85</f>
        <v>94780.58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355389</v>
      </c>
      <c r="C74" s="275">
        <f>data!BJ85</f>
        <v>379527.18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775900</v>
      </c>
      <c r="C75" s="275">
        <f>data!BK85</f>
        <v>671815.62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772559</v>
      </c>
      <c r="C76" s="275">
        <f>data!BL85</f>
        <v>907130.8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3985861</v>
      </c>
      <c r="C78" s="275">
        <f>data!BN85</f>
        <v>4427540.2200000007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17552</v>
      </c>
      <c r="C79" s="275">
        <f>data!BO85</f>
        <v>86717.78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186179</v>
      </c>
      <c r="C80" s="275">
        <f>data!BP85</f>
        <v>84960.099999999991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524097</v>
      </c>
      <c r="C82" s="275">
        <f>data!BR85</f>
        <v>592407.05000000005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911572</v>
      </c>
      <c r="C86" s="275">
        <f>data!BV85</f>
        <v>967447.09000000008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80569</v>
      </c>
      <c r="C87" s="275">
        <f>data!BW85</f>
        <v>887574.95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725356</v>
      </c>
      <c r="C88" s="275">
        <f>data!BX85</f>
        <v>531661.25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542807</v>
      </c>
      <c r="C89" s="275">
        <f>data!BY85</f>
        <v>760108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18623</v>
      </c>
      <c r="C91" s="275">
        <f>data!CA85</f>
        <v>24821.98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336608</v>
      </c>
      <c r="C93" s="275">
        <f>data!CC85</f>
        <v>218903.41999999998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595213</v>
      </c>
      <c r="C94" s="275">
        <f>data!CD85</f>
        <v>771072.42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A35" sqref="A3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480324.58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213547.35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H-104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EvergreenHealth Monroe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98272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Lisa LaPlante 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Ann Peterson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360-794-7497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360-863-4672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739</v>
      </c>
      <c r="G23" s="81">
        <f>data!D127</f>
        <v>3080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708</v>
      </c>
      <c r="G25" s="81">
        <f>data!D129</f>
        <v>6319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26</v>
      </c>
      <c r="E32" s="78" t="s">
        <v>815</v>
      </c>
      <c r="F32" s="81"/>
      <c r="G32" s="81">
        <f>data!C141</f>
        <v>36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62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112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EvergreenHealth Monroe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416</v>
      </c>
      <c r="C7" s="141">
        <f>data!B155</f>
        <v>2306</v>
      </c>
      <c r="D7" s="141">
        <f>data!B156</f>
        <v>13048</v>
      </c>
      <c r="E7" s="141">
        <f>data!B157</f>
        <v>15727278</v>
      </c>
      <c r="F7" s="141">
        <f>data!B158</f>
        <v>37562660</v>
      </c>
      <c r="G7" s="141">
        <f>data!B157+data!B158</f>
        <v>53289938</v>
      </c>
    </row>
    <row r="8" spans="1:7" ht="20.149999999999999" customHeight="1" x14ac:dyDescent="0.35">
      <c r="A8" s="77" t="s">
        <v>331</v>
      </c>
      <c r="B8" s="141">
        <f>data!C154</f>
        <v>95</v>
      </c>
      <c r="C8" s="141">
        <f>data!C155</f>
        <v>434</v>
      </c>
      <c r="D8" s="141">
        <f>data!C156</f>
        <v>5731</v>
      </c>
      <c r="E8" s="141">
        <f>data!C157</f>
        <v>4171597</v>
      </c>
      <c r="F8" s="141">
        <f>data!C158</f>
        <v>28576947</v>
      </c>
      <c r="G8" s="141">
        <f>data!C157+data!C158</f>
        <v>32748544</v>
      </c>
    </row>
    <row r="9" spans="1:7" ht="20.149999999999999" customHeight="1" x14ac:dyDescent="0.35">
      <c r="A9" s="77" t="s">
        <v>829</v>
      </c>
      <c r="B9" s="141">
        <f>data!D154</f>
        <v>228</v>
      </c>
      <c r="C9" s="141">
        <f>data!D155</f>
        <v>340</v>
      </c>
      <c r="D9" s="141">
        <f>data!D156</f>
        <v>9002</v>
      </c>
      <c r="E9" s="141">
        <f>data!D157</f>
        <v>6026879</v>
      </c>
      <c r="F9" s="141">
        <f>data!D158</f>
        <v>52824424</v>
      </c>
      <c r="G9" s="141">
        <f>data!D157+data!D158</f>
        <v>58851303</v>
      </c>
    </row>
    <row r="10" spans="1:7" ht="20.149999999999999" customHeight="1" x14ac:dyDescent="0.35">
      <c r="A10" s="92" t="s">
        <v>215</v>
      </c>
      <c r="B10" s="141">
        <f>data!E154</f>
        <v>739</v>
      </c>
      <c r="C10" s="141">
        <f>data!E155</f>
        <v>3080</v>
      </c>
      <c r="D10" s="141">
        <f>data!E156</f>
        <v>27781</v>
      </c>
      <c r="E10" s="141">
        <f>data!E157</f>
        <v>25925754</v>
      </c>
      <c r="F10" s="141">
        <f>data!E158</f>
        <v>118964031</v>
      </c>
      <c r="G10" s="141">
        <f>E10+F10</f>
        <v>144889785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33</v>
      </c>
      <c r="C25" s="141">
        <f>data!B167</f>
        <v>360</v>
      </c>
      <c r="D25" s="141">
        <f>data!B168</f>
        <v>20</v>
      </c>
      <c r="E25" s="141">
        <f>data!B169</f>
        <v>352533</v>
      </c>
      <c r="F25" s="141">
        <f>data!B170</f>
        <v>57418</v>
      </c>
      <c r="G25" s="141">
        <f>data!B169+data!B170</f>
        <v>409951</v>
      </c>
    </row>
    <row r="26" spans="1:7" ht="20.149999999999999" customHeight="1" x14ac:dyDescent="0.35">
      <c r="A26" s="77" t="s">
        <v>331</v>
      </c>
      <c r="B26" s="141">
        <f>data!C166</f>
        <v>218</v>
      </c>
      <c r="C26" s="141">
        <f>data!C167</f>
        <v>1660</v>
      </c>
      <c r="D26" s="141">
        <f>data!C168</f>
        <v>64</v>
      </c>
      <c r="E26" s="141">
        <f>data!C169</f>
        <v>1968363</v>
      </c>
      <c r="F26" s="141">
        <f>data!C170</f>
        <v>111284</v>
      </c>
      <c r="G26" s="141">
        <f>data!C169+data!C170</f>
        <v>2079647</v>
      </c>
    </row>
    <row r="27" spans="1:7" ht="20.149999999999999" customHeight="1" x14ac:dyDescent="0.35">
      <c r="A27" s="77" t="s">
        <v>829</v>
      </c>
      <c r="B27" s="141">
        <f>data!D166</f>
        <v>457</v>
      </c>
      <c r="C27" s="141">
        <f>data!D167</f>
        <v>4299</v>
      </c>
      <c r="D27" s="141">
        <f>data!D168</f>
        <v>242</v>
      </c>
      <c r="E27" s="141">
        <f>data!D169</f>
        <v>3817347</v>
      </c>
      <c r="F27" s="141">
        <f>data!D170</f>
        <v>490604</v>
      </c>
      <c r="G27" s="141">
        <f>data!D169+data!D170</f>
        <v>4307951</v>
      </c>
    </row>
    <row r="28" spans="1:7" ht="20.149999999999999" customHeight="1" x14ac:dyDescent="0.35">
      <c r="A28" s="92" t="s">
        <v>215</v>
      </c>
      <c r="B28" s="141">
        <f>data!E166</f>
        <v>708</v>
      </c>
      <c r="C28" s="141">
        <f>data!E167</f>
        <v>6319</v>
      </c>
      <c r="D28" s="141">
        <f>data!E168</f>
        <v>326</v>
      </c>
      <c r="E28" s="141">
        <f>data!E169</f>
        <v>6138243</v>
      </c>
      <c r="F28" s="141">
        <f>data!E170</f>
        <v>659306</v>
      </c>
      <c r="G28" s="141">
        <f>data!E169+data!E170</f>
        <v>6797549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1358183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2006941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EvergreenHealth Monroe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1413405.0599999998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193105.94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2263887.4200000004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285818.19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310770.21000000002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4466986.82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188393.69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217196.01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405589.7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298757.42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158223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456980.42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41221.79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290048.17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331269.95999999996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988350.55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988350.55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EvergreenHealth Monroe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1878609.67</v>
      </c>
      <c r="D7" s="81">
        <f>data!C225</f>
        <v>-62597.19</v>
      </c>
      <c r="E7" s="81">
        <f>data!D225</f>
        <v>0</v>
      </c>
      <c r="F7" s="81">
        <f>data!E211</f>
        <v>1878609.67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1233751.07</v>
      </c>
      <c r="D8" s="81">
        <f>data!C226</f>
        <v>-1052847.69</v>
      </c>
      <c r="E8" s="81">
        <f>data!D226</f>
        <v>0</v>
      </c>
      <c r="F8" s="81">
        <f>data!E212</f>
        <v>1233751.07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27227435.309999999</v>
      </c>
      <c r="D9" s="81">
        <f>data!C227</f>
        <v>-33388.44</v>
      </c>
      <c r="E9" s="81">
        <f>data!D227</f>
        <v>0</v>
      </c>
      <c r="F9" s="81">
        <f>data!E213</f>
        <v>27296057.309999999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2731402.69</v>
      </c>
      <c r="D10" s="81">
        <f>data!C228</f>
        <v>0</v>
      </c>
      <c r="E10" s="81">
        <f>data!D228</f>
        <v>0</v>
      </c>
      <c r="F10" s="81">
        <f>data!E214</f>
        <v>2731402.69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data!C229</f>
        <v>-935181.73</v>
      </c>
      <c r="E11" s="81">
        <f>data!D229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19464837.079999998</v>
      </c>
      <c r="D12" s="81">
        <f>data!C230</f>
        <v>0</v>
      </c>
      <c r="E12" s="81">
        <f>data!D230</f>
        <v>0</v>
      </c>
      <c r="F12" s="81">
        <f>data!E216</f>
        <v>19683568.079999998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-76791.179999999993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3109130.11</v>
      </c>
      <c r="D14" s="81">
        <f>data!C232</f>
        <v>0</v>
      </c>
      <c r="E14" s="81">
        <f>data!D232</f>
        <v>0</v>
      </c>
      <c r="F14" s="81">
        <f>data!E218</f>
        <v>3109130.11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219453.48</v>
      </c>
      <c r="D15" s="81">
        <f>data!C233</f>
        <v>-2160806.23</v>
      </c>
      <c r="E15" s="81">
        <f>data!D233</f>
        <v>0</v>
      </c>
      <c r="F15" s="81">
        <f>data!E219</f>
        <v>1199418.48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55864619.409999989</v>
      </c>
      <c r="D16" s="81">
        <f>data!C234</f>
        <v>0</v>
      </c>
      <c r="E16" s="81">
        <f>data!D234</f>
        <v>0</v>
      </c>
      <c r="F16" s="81">
        <f>data!E220</f>
        <v>57131937.409999989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-1000958.43</v>
      </c>
      <c r="D24" s="81">
        <f>data!C225</f>
        <v>-62597.19</v>
      </c>
      <c r="E24" s="81">
        <f>data!D225</f>
        <v>0</v>
      </c>
      <c r="F24" s="81">
        <f>data!E225</f>
        <v>-1063555.6200000001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-20532090.100000001</v>
      </c>
      <c r="D25" s="81">
        <f>data!C226</f>
        <v>-1052847.69</v>
      </c>
      <c r="E25" s="81">
        <f>data!D226</f>
        <v>0</v>
      </c>
      <c r="F25" s="81">
        <f>data!E226</f>
        <v>-21584937.790000003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-2512128.84</v>
      </c>
      <c r="D26" s="81">
        <f>data!C227</f>
        <v>-33388.44</v>
      </c>
      <c r="E26" s="81">
        <f>data!D227</f>
        <v>0</v>
      </c>
      <c r="F26" s="81">
        <f>data!E227</f>
        <v>-2545517.2799999998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-16461575.77</v>
      </c>
      <c r="D28" s="81">
        <f>data!C229</f>
        <v>-935181.73</v>
      </c>
      <c r="E28" s="81">
        <f>data!D229</f>
        <v>0</v>
      </c>
      <c r="F28" s="81">
        <f>data!E229</f>
        <v>-17396757.5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-2374492.89</v>
      </c>
      <c r="D30" s="81">
        <f>data!C231</f>
        <v>-76791.179999999993</v>
      </c>
      <c r="E30" s="81">
        <f>data!D231</f>
        <v>0</v>
      </c>
      <c r="F30" s="81">
        <f>data!E231</f>
        <v>-2451284.0700000003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-42881246.030000001</v>
      </c>
      <c r="D32" s="81">
        <f>data!C233</f>
        <v>-2160806.23</v>
      </c>
      <c r="E32" s="81">
        <f>data!D233</f>
        <v>0</v>
      </c>
      <c r="F32" s="81">
        <f>data!E233</f>
        <v>-45042052.260000005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EvergreenHealth Monroe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7276802.21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34449890.210000001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22507359.819999997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1852870.2200000002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1052920.8899999999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31522055.939999994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3249341.36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94634438.439999998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471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220390.77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822226.81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1042617.5800000001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1789328.49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1789328.49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