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HSQA Division Share\HOFIDAR\MFT\from_HOS\Yearly\"/>
    </mc:Choice>
  </mc:AlternateContent>
  <xr:revisionPtr revIDLastSave="0" documentId="13_ncr:1_{5F0C024C-A48D-4EEB-83DD-9CEAC28A4A26}" xr6:coauthVersionLast="47" xr6:coauthVersionMax="47" xr10:uidLastSave="{00000000-0000-0000-0000-000000000000}"/>
  <workbookProtection workbookAlgorithmName="SHA-512" workbookHashValue="2h3l43Wb/KeejTKokhzsd5WSzLSLBn/4S3moRgmXVTJKgMSbAm8w0fZm2C78j9jIE6UdP0I1Wxmc4IyZHyBQhg==" workbookSaltValue="xMBS7qLmgvKTnQ7fA8GJwQ==" workbookSpinCount="100000" lockStructure="1"/>
  <bookViews>
    <workbookView xWindow="28680" yWindow="-120" windowWidth="29040" windowHeight="15840" tabRatio="764" activeTab="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D7" i="6"/>
  <c r="E7" i="6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AV88" i="24"/>
  <c r="AV87" i="24"/>
  <c r="CC83" i="24"/>
  <c r="CC81" i="24"/>
  <c r="Y81" i="24"/>
  <c r="Y83" i="24"/>
  <c r="C200" i="24" l="1"/>
  <c r="C199" i="24"/>
  <c r="C205" i="24" l="1"/>
  <c r="C196" i="24"/>
  <c r="B48" i="24"/>
  <c r="C195" i="24" l="1"/>
  <c r="C191" i="24"/>
  <c r="C192" i="24"/>
  <c r="C187" i="24"/>
  <c r="C184" i="24"/>
  <c r="CC60" i="24" l="1"/>
  <c r="AV60" i="24"/>
  <c r="BL60" i="24"/>
  <c r="AJ60" i="24"/>
  <c r="AL60" i="24"/>
  <c r="Y60" i="24"/>
  <c r="E60" i="24"/>
  <c r="E91" i="24" l="1"/>
  <c r="C91" i="24"/>
  <c r="Y93" i="24" l="1"/>
  <c r="AV93" i="24"/>
  <c r="E93" i="24"/>
  <c r="U87" i="24" l="1"/>
  <c r="E87" i="24"/>
  <c r="E88" i="24"/>
  <c r="AL88" i="24"/>
  <c r="AJ88" i="24"/>
  <c r="AE88" i="24"/>
  <c r="AB88" i="24"/>
  <c r="Y88" i="24"/>
  <c r="V88" i="24"/>
  <c r="U88" i="24"/>
  <c r="S88" i="24"/>
  <c r="AJ87" i="24" l="1"/>
  <c r="AG87" i="24"/>
  <c r="Y87" i="24"/>
  <c r="V87" i="24"/>
  <c r="S87" i="24"/>
  <c r="BY83" i="24"/>
  <c r="BI83" i="24"/>
  <c r="AL83" i="24"/>
  <c r="AV83" i="24"/>
  <c r="E83" i="24"/>
  <c r="AG83" i="24"/>
  <c r="CC77" i="24"/>
  <c r="BE77" i="24"/>
  <c r="AV77" i="24"/>
  <c r="AJ77" i="24"/>
  <c r="Y77" i="24"/>
  <c r="S77" i="24"/>
  <c r="E77" i="24"/>
  <c r="BY71" i="24"/>
  <c r="E71" i="24"/>
  <c r="CC68" i="24"/>
  <c r="BH68" i="24"/>
  <c r="AV68" i="24"/>
  <c r="AL69" i="24"/>
  <c r="AJ68" i="24"/>
  <c r="Y68" i="24"/>
  <c r="E68" i="24"/>
  <c r="AV66" i="24"/>
  <c r="Y66" i="24"/>
  <c r="CC66" i="24"/>
  <c r="BY66" i="24"/>
  <c r="BI66" i="24"/>
  <c r="BH66" i="24"/>
  <c r="BE66" i="24"/>
  <c r="AJ66" i="24"/>
  <c r="AE66" i="24"/>
  <c r="AB66" i="24"/>
  <c r="U66" i="24"/>
  <c r="E66" i="24"/>
  <c r="BV65" i="24"/>
  <c r="BH65" i="24"/>
  <c r="AV65" i="24"/>
  <c r="AJ65" i="24"/>
  <c r="Y65" i="24"/>
  <c r="CC64" i="24"/>
  <c r="S64" i="24"/>
  <c r="AG64" i="24"/>
  <c r="AJ64" i="24"/>
  <c r="BY64" i="24"/>
  <c r="BI64" i="24"/>
  <c r="AV64" i="24"/>
  <c r="AL64" i="24"/>
  <c r="AE64" i="24"/>
  <c r="AB64" i="24"/>
  <c r="Y64" i="24"/>
  <c r="E64" i="24"/>
  <c r="CC63" i="24" l="1"/>
  <c r="AJ63" i="24"/>
  <c r="AV63" i="24"/>
  <c r="CC61" i="24"/>
  <c r="BN61" i="24"/>
  <c r="BL61" i="24"/>
  <c r="AV61" i="24"/>
  <c r="AL61" i="24"/>
  <c r="AJ61" i="24"/>
  <c r="Y61" i="24"/>
  <c r="E61" i="24"/>
  <c r="CC47" i="24"/>
  <c r="E47" i="24"/>
  <c r="BL47" i="24"/>
  <c r="AL47" i="24"/>
  <c r="BN47" i="24"/>
  <c r="BH47" i="24"/>
  <c r="AV47" i="24" l="1"/>
  <c r="AJ47" i="24"/>
  <c r="Y47" i="24"/>
  <c r="B47" i="24"/>
  <c r="C244" i="24" l="1"/>
  <c r="C343" i="24" l="1"/>
  <c r="C271" i="24" l="1"/>
  <c r="C394" i="24" l="1"/>
  <c r="C414" i="24"/>
  <c r="C406" i="24"/>
  <c r="C391" i="24" s="1"/>
  <c r="C392" i="24"/>
  <c r="CE88" i="24" l="1"/>
  <c r="CE90" i="24"/>
  <c r="CE91" i="24"/>
  <c r="CF91" i="24" s="1"/>
  <c r="CE92" i="24"/>
  <c r="CE93" i="24"/>
  <c r="CE94" i="24"/>
  <c r="CE87" i="24"/>
  <c r="CF93" i="24" l="1"/>
  <c r="CE85" i="25"/>
  <c r="CE48" i="25"/>
  <c r="CE52" i="25"/>
  <c r="CF90" i="24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AE30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C89" i="24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D49" i="25" s="1"/>
  <c r="CE49" i="25" s="1"/>
  <c r="CE61" i="25"/>
  <c r="H613" i="25" s="1"/>
  <c r="B54" i="25"/>
  <c r="CC68" i="25"/>
  <c r="CB68" i="25"/>
  <c r="CA68" i="25"/>
  <c r="BZ68" i="25"/>
  <c r="BY68" i="25"/>
  <c r="BX68" i="25"/>
  <c r="BW68" i="25"/>
  <c r="BV68" i="25"/>
  <c r="BU68" i="25"/>
  <c r="BT68" i="25"/>
  <c r="BS68" i="25"/>
  <c r="BR68" i="25"/>
  <c r="BQ68" i="25"/>
  <c r="BP68" i="25"/>
  <c r="BO68" i="25"/>
  <c r="BN68" i="25"/>
  <c r="BM68" i="25"/>
  <c r="BL68" i="25"/>
  <c r="BK68" i="25"/>
  <c r="BJ68" i="25"/>
  <c r="BI68" i="25"/>
  <c r="BH68" i="25"/>
  <c r="BG68" i="25"/>
  <c r="BF68" i="25"/>
  <c r="BE68" i="25"/>
  <c r="BD68" i="25"/>
  <c r="BC68" i="25"/>
  <c r="BB68" i="25"/>
  <c r="BA68" i="25"/>
  <c r="AZ68" i="25"/>
  <c r="AY68" i="25"/>
  <c r="AX68" i="25"/>
  <c r="AW68" i="25"/>
  <c r="AV68" i="25"/>
  <c r="AU68" i="25"/>
  <c r="AT68" i="25"/>
  <c r="AS68" i="25"/>
  <c r="AR68" i="25"/>
  <c r="AQ68" i="25"/>
  <c r="AP68" i="25"/>
  <c r="AO68" i="25"/>
  <c r="AN68" i="25"/>
  <c r="AM68" i="25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50" i="25"/>
  <c r="AP63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C32" i="6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C16" i="6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I384" i="32"/>
  <c r="I383" i="32"/>
  <c r="I382" i="32"/>
  <c r="I381" i="32"/>
  <c r="I377" i="32"/>
  <c r="I376" i="32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D613" i="25" l="1"/>
  <c r="F218" i="32"/>
  <c r="AE2" i="31"/>
  <c r="CE89" i="24"/>
  <c r="I378" i="32" s="1"/>
  <c r="AU48" i="24"/>
  <c r="G48" i="24"/>
  <c r="W48" i="24"/>
  <c r="W62" i="24" s="1"/>
  <c r="H22" i="31" s="1"/>
  <c r="BK48" i="24"/>
  <c r="BK62" i="24" s="1"/>
  <c r="G268" i="32" s="1"/>
  <c r="H48" i="24"/>
  <c r="P48" i="24"/>
  <c r="X48" i="24"/>
  <c r="AF48" i="24"/>
  <c r="AN48" i="24"/>
  <c r="AV48" i="24"/>
  <c r="BD48" i="24"/>
  <c r="BD62" i="24" s="1"/>
  <c r="H55" i="31" s="1"/>
  <c r="BL48" i="24"/>
  <c r="BL62" i="24" s="1"/>
  <c r="H268" i="32" s="1"/>
  <c r="BT48" i="24"/>
  <c r="CB48" i="24"/>
  <c r="AM48" i="24"/>
  <c r="BS48" i="24"/>
  <c r="Q48" i="24"/>
  <c r="AO48" i="24"/>
  <c r="AW48" i="24"/>
  <c r="AW62" i="24" s="1"/>
  <c r="H48" i="31" s="1"/>
  <c r="J48" i="24"/>
  <c r="J62" i="24" s="1"/>
  <c r="H9" i="31" s="1"/>
  <c r="R48" i="24"/>
  <c r="Z48" i="24"/>
  <c r="AH48" i="24"/>
  <c r="AP48" i="24"/>
  <c r="AX48" i="24"/>
  <c r="BF48" i="24"/>
  <c r="BN48" i="24"/>
  <c r="BN62" i="24" s="1"/>
  <c r="C300" i="32" s="1"/>
  <c r="BV48" i="24"/>
  <c r="BV62" i="24" s="1"/>
  <c r="H73" i="31" s="1"/>
  <c r="CD48" i="24"/>
  <c r="O48" i="24"/>
  <c r="BC48" i="24"/>
  <c r="CA48" i="24"/>
  <c r="AG48" i="24"/>
  <c r="CC48" i="24"/>
  <c r="C48" i="24"/>
  <c r="C62" i="24" s="1"/>
  <c r="H2" i="31" s="1"/>
  <c r="K48" i="24"/>
  <c r="K62" i="24" s="1"/>
  <c r="D44" i="32" s="1"/>
  <c r="S48" i="24"/>
  <c r="S62" i="24" s="1"/>
  <c r="H18" i="31" s="1"/>
  <c r="AA48" i="24"/>
  <c r="AI48" i="24"/>
  <c r="AQ48" i="24"/>
  <c r="AY48" i="24"/>
  <c r="BG48" i="24"/>
  <c r="BO48" i="24"/>
  <c r="BO62" i="24" s="1"/>
  <c r="D300" i="32" s="1"/>
  <c r="BW48" i="24"/>
  <c r="BW62" i="24" s="1"/>
  <c r="E332" i="32" s="1"/>
  <c r="I48" i="24"/>
  <c r="BU48" i="24"/>
  <c r="D48" i="24"/>
  <c r="L48" i="24"/>
  <c r="L62" i="24" s="1"/>
  <c r="T48" i="24"/>
  <c r="AB48" i="24"/>
  <c r="AJ48" i="24"/>
  <c r="AJ62" i="24" s="1"/>
  <c r="H140" i="32" s="1"/>
  <c r="AR48" i="24"/>
  <c r="AR62" i="24" s="1"/>
  <c r="H43" i="31" s="1"/>
  <c r="AZ48" i="24"/>
  <c r="BH48" i="24"/>
  <c r="BP48" i="24"/>
  <c r="BX48" i="24"/>
  <c r="AE48" i="24"/>
  <c r="BM48" i="24"/>
  <c r="E48" i="24"/>
  <c r="E62" i="24" s="1"/>
  <c r="H4" i="31" s="1"/>
  <c r="M48" i="24"/>
  <c r="M62" i="24" s="1"/>
  <c r="H12" i="31" s="1"/>
  <c r="U48" i="24"/>
  <c r="AC48" i="24"/>
  <c r="AK48" i="24"/>
  <c r="AS48" i="24"/>
  <c r="BA48" i="24"/>
  <c r="BI48" i="24"/>
  <c r="BQ48" i="24"/>
  <c r="BY48" i="24"/>
  <c r="BY62" i="24" s="1"/>
  <c r="H76" i="31" s="1"/>
  <c r="Y48" i="24"/>
  <c r="BE48" i="24"/>
  <c r="F48" i="24"/>
  <c r="N48" i="24"/>
  <c r="V48" i="24"/>
  <c r="AD48" i="24"/>
  <c r="AL48" i="24"/>
  <c r="AT48" i="24"/>
  <c r="AT62" i="24" s="1"/>
  <c r="D204" i="32" s="1"/>
  <c r="BB48" i="24"/>
  <c r="BB62" i="24" s="1"/>
  <c r="H53" i="31" s="1"/>
  <c r="BJ48" i="24"/>
  <c r="BR48" i="24"/>
  <c r="BZ48" i="24"/>
  <c r="CF91" i="25"/>
  <c r="CD53" i="25" s="1"/>
  <c r="CE53" i="25" s="1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B52" i="24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AV52" i="24"/>
  <c r="AV67" i="24" s="1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63" i="25"/>
  <c r="CB86" i="25" s="1"/>
  <c r="BT63" i="25"/>
  <c r="BT86" i="25" s="1"/>
  <c r="BL63" i="25"/>
  <c r="BL86" i="25" s="1"/>
  <c r="BD63" i="25"/>
  <c r="BD86" i="25" s="1"/>
  <c r="AV63" i="25"/>
  <c r="AV86" i="25" s="1"/>
  <c r="AN63" i="25"/>
  <c r="AN86" i="25" s="1"/>
  <c r="AF63" i="25"/>
  <c r="AF86" i="25" s="1"/>
  <c r="X63" i="25"/>
  <c r="X86" i="25" s="1"/>
  <c r="P63" i="25"/>
  <c r="P86" i="25" s="1"/>
  <c r="H63" i="25"/>
  <c r="H86" i="25" s="1"/>
  <c r="CA63" i="25"/>
  <c r="CA86" i="25" s="1"/>
  <c r="BS63" i="25"/>
  <c r="BS86" i="25" s="1"/>
  <c r="BK63" i="25"/>
  <c r="BK86" i="25" s="1"/>
  <c r="BC63" i="25"/>
  <c r="BC86" i="25" s="1"/>
  <c r="AU63" i="25"/>
  <c r="AU86" i="25" s="1"/>
  <c r="AM63" i="25"/>
  <c r="AM86" i="25" s="1"/>
  <c r="AE63" i="25"/>
  <c r="AE86" i="25" s="1"/>
  <c r="W63" i="25"/>
  <c r="W86" i="25" s="1"/>
  <c r="O63" i="25"/>
  <c r="O86" i="25" s="1"/>
  <c r="G63" i="25"/>
  <c r="G86" i="25" s="1"/>
  <c r="BZ63" i="25"/>
  <c r="BZ86" i="25" s="1"/>
  <c r="BR63" i="25"/>
  <c r="BR86" i="25" s="1"/>
  <c r="BJ63" i="25"/>
  <c r="BJ86" i="25" s="1"/>
  <c r="BB63" i="25"/>
  <c r="BB86" i="25" s="1"/>
  <c r="AT63" i="25"/>
  <c r="AT86" i="25" s="1"/>
  <c r="AL63" i="25"/>
  <c r="AL86" i="25" s="1"/>
  <c r="AD63" i="25"/>
  <c r="AD86" i="25" s="1"/>
  <c r="V63" i="25"/>
  <c r="V86" i="25" s="1"/>
  <c r="N63" i="25"/>
  <c r="N86" i="25" s="1"/>
  <c r="F63" i="25"/>
  <c r="F86" i="25" s="1"/>
  <c r="BX63" i="25"/>
  <c r="BX86" i="25" s="1"/>
  <c r="BP63" i="25"/>
  <c r="BP86" i="25" s="1"/>
  <c r="BH63" i="25"/>
  <c r="BH86" i="25" s="1"/>
  <c r="AZ63" i="25"/>
  <c r="AZ86" i="25" s="1"/>
  <c r="AR63" i="25"/>
  <c r="AR86" i="25" s="1"/>
  <c r="AJ63" i="25"/>
  <c r="AJ86" i="25" s="1"/>
  <c r="AB63" i="25"/>
  <c r="AB86" i="25" s="1"/>
  <c r="T63" i="25"/>
  <c r="T86" i="25" s="1"/>
  <c r="L63" i="25"/>
  <c r="L86" i="25" s="1"/>
  <c r="D63" i="25"/>
  <c r="D86" i="25" s="1"/>
  <c r="BW63" i="25"/>
  <c r="BW86" i="25" s="1"/>
  <c r="BO63" i="25"/>
  <c r="BO86" i="25" s="1"/>
  <c r="BG63" i="25"/>
  <c r="BG86" i="25" s="1"/>
  <c r="AY63" i="25"/>
  <c r="AY86" i="25" s="1"/>
  <c r="AQ63" i="25"/>
  <c r="AQ86" i="25" s="1"/>
  <c r="AI63" i="25"/>
  <c r="AI86" i="25" s="1"/>
  <c r="AA63" i="25"/>
  <c r="AA86" i="25" s="1"/>
  <c r="S63" i="25"/>
  <c r="S86" i="25" s="1"/>
  <c r="K63" i="25"/>
  <c r="K86" i="25" s="1"/>
  <c r="CC63" i="25"/>
  <c r="CC86" i="25" s="1"/>
  <c r="BF63" i="25"/>
  <c r="BF86" i="25" s="1"/>
  <c r="AK63" i="25"/>
  <c r="AK86" i="25" s="1"/>
  <c r="Q63" i="25"/>
  <c r="Q86" i="25" s="1"/>
  <c r="BY63" i="25"/>
  <c r="BY86" i="25" s="1"/>
  <c r="BE63" i="25"/>
  <c r="BE86" i="25" s="1"/>
  <c r="AH63" i="25"/>
  <c r="AH86" i="25" s="1"/>
  <c r="M63" i="25"/>
  <c r="M86" i="25" s="1"/>
  <c r="BQ63" i="25"/>
  <c r="BQ86" i="25" s="1"/>
  <c r="AW63" i="25"/>
  <c r="AW86" i="25" s="1"/>
  <c r="Z63" i="25"/>
  <c r="Z86" i="25" s="1"/>
  <c r="E63" i="25"/>
  <c r="E86" i="25" s="1"/>
  <c r="BN63" i="25"/>
  <c r="BN86" i="25" s="1"/>
  <c r="AS63" i="25"/>
  <c r="AS86" i="25" s="1"/>
  <c r="Y63" i="25"/>
  <c r="Y86" i="25" s="1"/>
  <c r="BI63" i="25"/>
  <c r="BI86" i="25" s="1"/>
  <c r="R63" i="25"/>
  <c r="R86" i="25" s="1"/>
  <c r="BA63" i="25"/>
  <c r="BA86" i="25" s="1"/>
  <c r="J63" i="25"/>
  <c r="J86" i="25" s="1"/>
  <c r="AX63" i="25"/>
  <c r="AX86" i="25" s="1"/>
  <c r="I63" i="25"/>
  <c r="I86" i="25" s="1"/>
  <c r="AO63" i="25"/>
  <c r="AO86" i="25" s="1"/>
  <c r="BV63" i="25"/>
  <c r="BV86" i="25" s="1"/>
  <c r="AG63" i="25"/>
  <c r="AG86" i="25" s="1"/>
  <c r="U63" i="25"/>
  <c r="U86" i="25" s="1"/>
  <c r="BU63" i="25"/>
  <c r="BU86" i="25" s="1"/>
  <c r="BM63" i="25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D32" i="6"/>
  <c r="D367" i="24"/>
  <c r="AC63" i="25"/>
  <c r="AC86" i="25" s="1"/>
  <c r="CE68" i="25"/>
  <c r="E234" i="25"/>
  <c r="CE70" i="25"/>
  <c r="D342" i="25"/>
  <c r="D351" i="25" s="1"/>
  <c r="D332" i="32" l="1"/>
  <c r="C44" i="32"/>
  <c r="H62" i="31"/>
  <c r="I172" i="32"/>
  <c r="H10" i="31"/>
  <c r="H45" i="31"/>
  <c r="H74" i="31"/>
  <c r="H65" i="31"/>
  <c r="H63" i="31"/>
  <c r="G236" i="32"/>
  <c r="H35" i="31"/>
  <c r="I76" i="32"/>
  <c r="C12" i="32"/>
  <c r="G204" i="32"/>
  <c r="F44" i="32"/>
  <c r="H66" i="31"/>
  <c r="G332" i="32"/>
  <c r="E76" i="32"/>
  <c r="E236" i="32"/>
  <c r="BI62" i="24"/>
  <c r="H60" i="31" s="1"/>
  <c r="CC62" i="24"/>
  <c r="D364" i="32" s="1"/>
  <c r="AV62" i="24"/>
  <c r="F204" i="32" s="1"/>
  <c r="BZ62" i="24"/>
  <c r="H77" i="31" s="1"/>
  <c r="N62" i="24"/>
  <c r="G44" i="32" s="1"/>
  <c r="AS62" i="24"/>
  <c r="C204" i="32" s="1"/>
  <c r="BX62" i="24"/>
  <c r="BX85" i="24" s="1"/>
  <c r="AQ62" i="24"/>
  <c r="H172" i="32" s="1"/>
  <c r="CA62" i="24"/>
  <c r="I332" i="32" s="1"/>
  <c r="AP62" i="24"/>
  <c r="G172" i="32" s="1"/>
  <c r="BS62" i="24"/>
  <c r="H70" i="31" s="1"/>
  <c r="AF62" i="24"/>
  <c r="H31" i="31" s="1"/>
  <c r="AD62" i="24"/>
  <c r="H29" i="31" s="1"/>
  <c r="AB62" i="24"/>
  <c r="G108" i="32" s="1"/>
  <c r="BF62" i="24"/>
  <c r="H57" i="31" s="1"/>
  <c r="AO62" i="24"/>
  <c r="F172" i="32" s="1"/>
  <c r="BR62" i="24"/>
  <c r="G300" i="32" s="1"/>
  <c r="F62" i="24"/>
  <c r="F12" i="32" s="1"/>
  <c r="AK62" i="24"/>
  <c r="H36" i="31" s="1"/>
  <c r="BP62" i="24"/>
  <c r="E300" i="32" s="1"/>
  <c r="D62" i="24"/>
  <c r="D12" i="32" s="1"/>
  <c r="AI62" i="24"/>
  <c r="H34" i="31" s="1"/>
  <c r="BC62" i="24"/>
  <c r="F236" i="32" s="1"/>
  <c r="AH62" i="24"/>
  <c r="H33" i="31" s="1"/>
  <c r="AM62" i="24"/>
  <c r="D172" i="32" s="1"/>
  <c r="X62" i="24"/>
  <c r="C108" i="32" s="1"/>
  <c r="BJ62" i="24"/>
  <c r="H61" i="31" s="1"/>
  <c r="AC62" i="24"/>
  <c r="H28" i="31" s="1"/>
  <c r="AA62" i="24"/>
  <c r="H26" i="31" s="1"/>
  <c r="P62" i="24"/>
  <c r="H15" i="31" s="1"/>
  <c r="E12" i="32"/>
  <c r="Y62" i="24"/>
  <c r="H24" i="31" s="1"/>
  <c r="U62" i="24"/>
  <c r="H20" i="31" s="1"/>
  <c r="AZ62" i="24"/>
  <c r="H51" i="31" s="1"/>
  <c r="I62" i="24"/>
  <c r="I12" i="32" s="1"/>
  <c r="R62" i="24"/>
  <c r="H17" i="31" s="1"/>
  <c r="BT62" i="24"/>
  <c r="I300" i="32" s="1"/>
  <c r="H62" i="24"/>
  <c r="H7" i="31" s="1"/>
  <c r="BE62" i="24"/>
  <c r="H56" i="31" s="1"/>
  <c r="BH62" i="24"/>
  <c r="H59" i="31" s="1"/>
  <c r="O62" i="24"/>
  <c r="H14" i="31" s="1"/>
  <c r="Z62" i="24"/>
  <c r="H25" i="31" s="1"/>
  <c r="CB62" i="24"/>
  <c r="H79" i="31" s="1"/>
  <c r="BU62" i="24"/>
  <c r="C332" i="32" s="1"/>
  <c r="AL62" i="24"/>
  <c r="H37" i="31" s="1"/>
  <c r="BQ62" i="24"/>
  <c r="F300" i="32" s="1"/>
  <c r="BM62" i="24"/>
  <c r="H64" i="31" s="1"/>
  <c r="BG62" i="24"/>
  <c r="H58" i="31" s="1"/>
  <c r="G62" i="24"/>
  <c r="H6" i="31" s="1"/>
  <c r="V62" i="24"/>
  <c r="H76" i="32" s="1"/>
  <c r="BA62" i="24"/>
  <c r="H52" i="31" s="1"/>
  <c r="AE62" i="24"/>
  <c r="H30" i="31" s="1"/>
  <c r="T62" i="24"/>
  <c r="H19" i="31" s="1"/>
  <c r="AY62" i="24"/>
  <c r="H50" i="31" s="1"/>
  <c r="AG62" i="24"/>
  <c r="H32" i="31" s="1"/>
  <c r="AX62" i="24"/>
  <c r="H49" i="31" s="1"/>
  <c r="Q62" i="24"/>
  <c r="H16" i="31" s="1"/>
  <c r="AN62" i="24"/>
  <c r="H39" i="31" s="1"/>
  <c r="AU62" i="24"/>
  <c r="H46" i="31" s="1"/>
  <c r="C167" i="8"/>
  <c r="H40" i="31"/>
  <c r="BT52" i="24"/>
  <c r="BT67" i="24" s="1"/>
  <c r="E52" i="24"/>
  <c r="E67" i="24" s="1"/>
  <c r="M4" i="31" s="1"/>
  <c r="AB52" i="24"/>
  <c r="AB67" i="24" s="1"/>
  <c r="G113" i="32" s="1"/>
  <c r="CA52" i="24"/>
  <c r="CA67" i="24" s="1"/>
  <c r="M78" i="31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BJ52" i="24"/>
  <c r="BJ67" i="24" s="1"/>
  <c r="F273" i="32" s="1"/>
  <c r="BW52" i="24"/>
  <c r="BW67" i="24" s="1"/>
  <c r="BW85" i="24" s="1"/>
  <c r="C87" i="15" s="1"/>
  <c r="G87" i="15" s="1"/>
  <c r="AL52" i="24"/>
  <c r="AL67" i="24" s="1"/>
  <c r="M37" i="31" s="1"/>
  <c r="BM52" i="24"/>
  <c r="BM67" i="24" s="1"/>
  <c r="E44" i="32"/>
  <c r="H11" i="31"/>
  <c r="O52" i="24"/>
  <c r="O67" i="24" s="1"/>
  <c r="AH52" i="24"/>
  <c r="AH67" i="24" s="1"/>
  <c r="AH85" i="24" s="1"/>
  <c r="C699" i="24" s="1"/>
  <c r="CE48" i="24"/>
  <c r="W52" i="24"/>
  <c r="W67" i="24" s="1"/>
  <c r="I81" i="32" s="1"/>
  <c r="AP52" i="24"/>
  <c r="AP67" i="24" s="1"/>
  <c r="AU52" i="24"/>
  <c r="AU67" i="24" s="1"/>
  <c r="K52" i="24"/>
  <c r="K67" i="24" s="1"/>
  <c r="K85" i="24" s="1"/>
  <c r="D26" i="17"/>
  <c r="K612" i="24"/>
  <c r="B54" i="15"/>
  <c r="F54" i="15" s="1"/>
  <c r="D350" i="24"/>
  <c r="M79" i="31"/>
  <c r="C369" i="32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E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M61" i="31" l="1"/>
  <c r="AD67" i="24"/>
  <c r="M29" i="31" s="1"/>
  <c r="D236" i="32"/>
  <c r="G140" i="32"/>
  <c r="F332" i="32"/>
  <c r="H23" i="31"/>
  <c r="E17" i="32"/>
  <c r="X85" i="24"/>
  <c r="C689" i="24" s="1"/>
  <c r="C236" i="32"/>
  <c r="D140" i="32"/>
  <c r="E268" i="32"/>
  <c r="H44" i="31"/>
  <c r="F140" i="32"/>
  <c r="F76" i="32"/>
  <c r="O85" i="24"/>
  <c r="C680" i="24" s="1"/>
  <c r="H41" i="31"/>
  <c r="F268" i="32"/>
  <c r="G76" i="32"/>
  <c r="CB85" i="24"/>
  <c r="C622" i="24" s="1"/>
  <c r="AU85" i="24"/>
  <c r="C712" i="24" s="1"/>
  <c r="H13" i="31"/>
  <c r="C364" i="32"/>
  <c r="E204" i="32"/>
  <c r="AP85" i="24"/>
  <c r="G181" i="32" s="1"/>
  <c r="AV85" i="24"/>
  <c r="C60" i="15" s="1"/>
  <c r="D108" i="32"/>
  <c r="CE62" i="24"/>
  <c r="I364" i="32" s="1"/>
  <c r="E140" i="32"/>
  <c r="I44" i="32"/>
  <c r="H27" i="31"/>
  <c r="H332" i="32"/>
  <c r="BM85" i="24"/>
  <c r="I277" i="32" s="1"/>
  <c r="C140" i="32"/>
  <c r="H5" i="31"/>
  <c r="H80" i="31"/>
  <c r="H67" i="31"/>
  <c r="H42" i="31"/>
  <c r="BT85" i="24"/>
  <c r="C84" i="15" s="1"/>
  <c r="G84" i="15" s="1"/>
  <c r="F108" i="32"/>
  <c r="H47" i="31"/>
  <c r="H108" i="32"/>
  <c r="H236" i="32"/>
  <c r="H72" i="31"/>
  <c r="E172" i="32"/>
  <c r="I204" i="32"/>
  <c r="H21" i="31"/>
  <c r="H68" i="31"/>
  <c r="E108" i="32"/>
  <c r="H12" i="32"/>
  <c r="C268" i="32"/>
  <c r="D268" i="32"/>
  <c r="H78" i="31"/>
  <c r="H38" i="31"/>
  <c r="H3" i="31"/>
  <c r="H69" i="31"/>
  <c r="I108" i="32"/>
  <c r="H300" i="32"/>
  <c r="H44" i="32"/>
  <c r="C76" i="32"/>
  <c r="H71" i="31"/>
  <c r="G12" i="32"/>
  <c r="C172" i="32"/>
  <c r="H204" i="32"/>
  <c r="D76" i="32"/>
  <c r="I236" i="32"/>
  <c r="I140" i="32"/>
  <c r="H54" i="31"/>
  <c r="H75" i="31"/>
  <c r="I268" i="32"/>
  <c r="H8" i="31"/>
  <c r="S85" i="24"/>
  <c r="E85" i="32" s="1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D49" i="32"/>
  <c r="M74" i="31"/>
  <c r="M10" i="31"/>
  <c r="F145" i="32"/>
  <c r="I113" i="32"/>
  <c r="CA85" i="24"/>
  <c r="I341" i="32" s="1"/>
  <c r="M14" i="31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E209" i="32"/>
  <c r="M46" i="31"/>
  <c r="G177" i="32"/>
  <c r="W85" i="24"/>
  <c r="C35" i="15" s="1"/>
  <c r="G35" i="15" s="1"/>
  <c r="M41" i="31"/>
  <c r="I27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16" i="15"/>
  <c r="I16" i="15" s="1"/>
  <c r="F16" i="15"/>
  <c r="H23" i="15"/>
  <c r="I23" i="15" s="1"/>
  <c r="F23" i="15"/>
  <c r="F81" i="15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F22" i="15"/>
  <c r="F78" i="15"/>
  <c r="M5" i="31"/>
  <c r="F17" i="32"/>
  <c r="F85" i="24"/>
  <c r="F47" i="15"/>
  <c r="F77" i="15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E21" i="32"/>
  <c r="C17" i="15"/>
  <c r="G17" i="15" s="1"/>
  <c r="C670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36" i="15" l="1"/>
  <c r="G36" i="15" s="1"/>
  <c r="C373" i="32"/>
  <c r="C92" i="15"/>
  <c r="G92" i="15" s="1"/>
  <c r="C117" i="32"/>
  <c r="C640" i="24"/>
  <c r="C59" i="15"/>
  <c r="G59" i="15" s="1"/>
  <c r="H53" i="32"/>
  <c r="C27" i="15"/>
  <c r="G27" i="15" s="1"/>
  <c r="C707" i="24"/>
  <c r="C713" i="24"/>
  <c r="C54" i="15"/>
  <c r="G54" i="15" s="1"/>
  <c r="F213" i="32"/>
  <c r="I309" i="32"/>
  <c r="E213" i="32"/>
  <c r="C77" i="15"/>
  <c r="G77" i="15" s="1"/>
  <c r="H77" i="15" s="1"/>
  <c r="I77" i="15" s="1"/>
  <c r="C638" i="24"/>
  <c r="H277" i="32"/>
  <c r="C684" i="24"/>
  <c r="C31" i="15"/>
  <c r="G31" i="15" s="1"/>
  <c r="C42" i="15"/>
  <c r="G42" i="15" s="1"/>
  <c r="C74" i="15"/>
  <c r="G74" i="15" s="1"/>
  <c r="I117" i="32"/>
  <c r="C76" i="15"/>
  <c r="G76" i="15" s="1"/>
  <c r="H76" i="15" s="1"/>
  <c r="I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D309" i="32"/>
  <c r="C627" i="24"/>
  <c r="C79" i="15"/>
  <c r="G79" i="15" s="1"/>
  <c r="G245" i="32"/>
  <c r="C68" i="15"/>
  <c r="G68" i="15" s="1"/>
  <c r="C624" i="24"/>
  <c r="H36" i="15" l="1"/>
  <c r="I36" i="15" s="1"/>
  <c r="H27" i="15"/>
  <c r="I27" i="15" s="1"/>
  <c r="H31" i="15"/>
  <c r="I31" i="15" s="1"/>
  <c r="H42" i="15"/>
  <c r="I42" i="15" s="1"/>
  <c r="H50" i="15"/>
  <c r="I50" i="15" s="1"/>
  <c r="H69" i="15"/>
  <c r="I69" i="15" s="1"/>
  <c r="G30" i="15"/>
  <c r="H30" i="15"/>
  <c r="I30" i="15" s="1"/>
  <c r="H47" i="15"/>
  <c r="I47" i="15" s="1"/>
  <c r="H81" i="15"/>
  <c r="I81" i="15" s="1"/>
  <c r="H72" i="15"/>
  <c r="I72" i="15" s="1"/>
  <c r="H22" i="15"/>
  <c r="I22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 s="1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10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M710" i="25" s="1"/>
  <c r="K702" i="25"/>
  <c r="K694" i="25"/>
  <c r="K686" i="25"/>
  <c r="M686" i="25" s="1"/>
  <c r="K707" i="25"/>
  <c r="M707" i="25" s="1"/>
  <c r="K699" i="25"/>
  <c r="M699" i="25" s="1"/>
  <c r="K691" i="25"/>
  <c r="K683" i="25"/>
  <c r="K712" i="25"/>
  <c r="K704" i="25"/>
  <c r="K696" i="25"/>
  <c r="K688" i="25"/>
  <c r="M688" i="25" s="1"/>
  <c r="K680" i="25"/>
  <c r="K709" i="25"/>
  <c r="K701" i="25"/>
  <c r="K693" i="25"/>
  <c r="K685" i="25"/>
  <c r="M685" i="25" s="1"/>
  <c r="K717" i="25"/>
  <c r="K708" i="25"/>
  <c r="K700" i="25"/>
  <c r="K692" i="25"/>
  <c r="K684" i="25"/>
  <c r="K714" i="25"/>
  <c r="K689" i="25"/>
  <c r="K687" i="25"/>
  <c r="K678" i="25"/>
  <c r="K670" i="25"/>
  <c r="K706" i="25"/>
  <c r="K681" i="25"/>
  <c r="K675" i="25"/>
  <c r="K698" i="25"/>
  <c r="M698" i="25" s="1"/>
  <c r="K672" i="25"/>
  <c r="K690" i="25"/>
  <c r="K677" i="25"/>
  <c r="K669" i="25"/>
  <c r="K682" i="25"/>
  <c r="K674" i="25"/>
  <c r="K679" i="25"/>
  <c r="M679" i="25" s="1"/>
  <c r="K671" i="25"/>
  <c r="K713" i="25"/>
  <c r="K703" i="25"/>
  <c r="K673" i="25"/>
  <c r="K697" i="25"/>
  <c r="K711" i="25"/>
  <c r="K676" i="25"/>
  <c r="K705" i="25"/>
  <c r="K695" i="25"/>
  <c r="M695" i="25" s="1"/>
  <c r="M703" i="25" l="1"/>
  <c r="M711" i="25"/>
  <c r="L687" i="24"/>
  <c r="L708" i="24"/>
  <c r="L713" i="24"/>
  <c r="L702" i="24"/>
  <c r="L701" i="24"/>
  <c r="L682" i="24"/>
  <c r="L672" i="24"/>
  <c r="L673" i="24"/>
  <c r="L711" i="24"/>
  <c r="L694" i="24"/>
  <c r="L676" i="24"/>
  <c r="L669" i="24"/>
  <c r="L695" i="24"/>
  <c r="L716" i="24"/>
  <c r="L681" i="24"/>
  <c r="L693" i="24"/>
  <c r="L684" i="24"/>
  <c r="L686" i="24"/>
  <c r="L680" i="24"/>
  <c r="L685" i="24"/>
  <c r="L671" i="24"/>
  <c r="L690" i="24"/>
  <c r="L677" i="24"/>
  <c r="L700" i="24"/>
  <c r="L679" i="24"/>
  <c r="L691" i="24"/>
  <c r="L692" i="24"/>
  <c r="L688" i="24"/>
  <c r="L675" i="24"/>
  <c r="L712" i="24"/>
  <c r="L709" i="24"/>
  <c r="L705" i="24"/>
  <c r="L674" i="24"/>
  <c r="L696" i="24"/>
  <c r="L703" i="24"/>
  <c r="L689" i="24"/>
  <c r="L697" i="24"/>
  <c r="L698" i="24"/>
  <c r="L706" i="24"/>
  <c r="L678" i="24"/>
  <c r="L704" i="24"/>
  <c r="L668" i="24"/>
  <c r="L670" i="24"/>
  <c r="L699" i="24"/>
  <c r="L707" i="24"/>
  <c r="L683" i="24"/>
  <c r="M671" i="25"/>
  <c r="M701" i="25"/>
  <c r="M700" i="25"/>
  <c r="M670" i="25"/>
  <c r="M677" i="25"/>
  <c r="M690" i="25"/>
  <c r="M687" i="25"/>
  <c r="M713" i="25"/>
  <c r="M683" i="25"/>
  <c r="M694" i="25"/>
  <c r="M704" i="25"/>
  <c r="M691" i="25"/>
  <c r="M705" i="25"/>
  <c r="M675" i="25"/>
  <c r="M673" i="25"/>
  <c r="M676" i="25"/>
  <c r="M692" i="25"/>
  <c r="M680" i="25"/>
  <c r="M672" i="25"/>
  <c r="M693" i="25"/>
  <c r="M681" i="25"/>
  <c r="M696" i="25"/>
  <c r="M684" i="25"/>
  <c r="M674" i="25"/>
  <c r="M706" i="25"/>
  <c r="M697" i="25"/>
  <c r="M708" i="25"/>
  <c r="M689" i="25"/>
  <c r="M714" i="25"/>
  <c r="M678" i="25"/>
  <c r="M702" i="25"/>
  <c r="M682" i="25"/>
  <c r="L716" i="25"/>
  <c r="M709" i="25"/>
  <c r="M712" i="25"/>
  <c r="K713" i="24"/>
  <c r="K703" i="24"/>
  <c r="M703" i="24" s="1"/>
  <c r="C183" i="32" s="1"/>
  <c r="K695" i="24"/>
  <c r="K712" i="24"/>
  <c r="K711" i="24"/>
  <c r="K707" i="24"/>
  <c r="K699" i="24"/>
  <c r="M699" i="24" s="1"/>
  <c r="F151" i="32" s="1"/>
  <c r="K691" i="24"/>
  <c r="K683" i="24"/>
  <c r="M683" i="24" s="1"/>
  <c r="D87" i="32" s="1"/>
  <c r="K694" i="24"/>
  <c r="K689" i="24"/>
  <c r="M689" i="24" s="1"/>
  <c r="C119" i="32" s="1"/>
  <c r="K684" i="24"/>
  <c r="M684" i="24" s="1"/>
  <c r="E87" i="32" s="1"/>
  <c r="K679" i="24"/>
  <c r="K672" i="24"/>
  <c r="K693" i="24"/>
  <c r="M693" i="24" s="1"/>
  <c r="G119" i="32" s="1"/>
  <c r="K688" i="24"/>
  <c r="K669" i="24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K701" i="24"/>
  <c r="K706" i="24"/>
  <c r="K705" i="24"/>
  <c r="K704" i="24"/>
  <c r="K686" i="24"/>
  <c r="K681" i="24"/>
  <c r="K676" i="24"/>
  <c r="K673" i="24"/>
  <c r="K709" i="24"/>
  <c r="K702" i="24"/>
  <c r="K700" i="24"/>
  <c r="K696" i="24"/>
  <c r="K677" i="24"/>
  <c r="M677" i="24" s="1"/>
  <c r="E55" i="32" s="1"/>
  <c r="K675" i="24"/>
  <c r="M675" i="24" s="1"/>
  <c r="C55" i="32" s="1"/>
  <c r="K671" i="24"/>
  <c r="K690" i="24"/>
  <c r="K692" i="24"/>
  <c r="M692" i="24" s="1"/>
  <c r="F119" i="32" s="1"/>
  <c r="K685" i="24"/>
  <c r="K710" i="24"/>
  <c r="M710" i="24" s="1"/>
  <c r="C215" i="32" s="1"/>
  <c r="K698" i="24"/>
  <c r="K687" i="24"/>
  <c r="K670" i="24"/>
  <c r="K680" i="24"/>
  <c r="K697" i="24"/>
  <c r="K682" i="24"/>
  <c r="K716" i="25"/>
  <c r="M669" i="25"/>
  <c r="M672" i="24"/>
  <c r="G23" i="32" s="1"/>
  <c r="M671" i="24" l="1"/>
  <c r="F23" i="32" s="1"/>
  <c r="M679" i="24"/>
  <c r="G55" i="32" s="1"/>
  <c r="M709" i="24"/>
  <c r="I183" i="32" s="1"/>
  <c r="M711" i="24"/>
  <c r="D215" i="32" s="1"/>
  <c r="M701" i="24"/>
  <c r="H151" i="32" s="1"/>
  <c r="M682" i="24"/>
  <c r="C87" i="32" s="1"/>
  <c r="M687" i="24"/>
  <c r="H87" i="32" s="1"/>
  <c r="M686" i="24"/>
  <c r="G87" i="32" s="1"/>
  <c r="M695" i="24"/>
  <c r="I119" i="32" s="1"/>
  <c r="M705" i="24"/>
  <c r="E183" i="32" s="1"/>
  <c r="M697" i="24"/>
  <c r="D151" i="32" s="1"/>
  <c r="M698" i="24"/>
  <c r="E151" i="32" s="1"/>
  <c r="M690" i="24"/>
  <c r="D119" i="32" s="1"/>
  <c r="M696" i="24"/>
  <c r="C151" i="32" s="1"/>
  <c r="M704" i="24"/>
  <c r="D183" i="32" s="1"/>
  <c r="M668" i="24"/>
  <c r="M694" i="24"/>
  <c r="H119" i="32" s="1"/>
  <c r="M707" i="24"/>
  <c r="G183" i="32" s="1"/>
  <c r="M691" i="24"/>
  <c r="E119" i="32" s="1"/>
  <c r="M712" i="24"/>
  <c r="E215" i="32" s="1"/>
  <c r="M680" i="24"/>
  <c r="H55" i="32" s="1"/>
  <c r="M700" i="24"/>
  <c r="G151" i="32" s="1"/>
  <c r="M676" i="24"/>
  <c r="D55" i="32" s="1"/>
  <c r="M669" i="24"/>
  <c r="D23" i="32" s="1"/>
  <c r="M713" i="24"/>
  <c r="F215" i="32" s="1"/>
  <c r="M673" i="24"/>
  <c r="H23" i="32" s="1"/>
  <c r="M670" i="24"/>
  <c r="E23" i="32" s="1"/>
  <c r="M685" i="24"/>
  <c r="F87" i="32" s="1"/>
  <c r="M702" i="24"/>
  <c r="I151" i="32" s="1"/>
  <c r="M681" i="24"/>
  <c r="I55" i="32" s="1"/>
  <c r="M706" i="24"/>
  <c r="F183" i="32" s="1"/>
  <c r="M688" i="24"/>
  <c r="I87" i="32" s="1"/>
  <c r="L715" i="24"/>
  <c r="M716" i="25"/>
  <c r="K715" i="24"/>
  <c r="C23" i="32"/>
  <c r="M715" i="24" l="1"/>
</calcChain>
</file>

<file path=xl/sharedStrings.xml><?xml version="1.0" encoding="utf-8"?>
<sst xmlns="http://schemas.openxmlformats.org/spreadsheetml/2006/main" count="5701" uniqueCount="1385">
  <si>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</si>
  <si>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</si>
  <si>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</si>
  <si>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</si>
  <si>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</si>
  <si>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</si>
  <si>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</si>
  <si>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</si>
  <si>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</si>
  <si>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</si>
  <si>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</si>
  <si>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</si>
  <si>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</si>
  <si>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</si>
  <si>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</si>
  <si>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</si>
  <si>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</si>
  <si>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</si>
  <si>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</si>
  <si>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</si>
  <si>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</si>
  <si>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</si>
  <si>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</si>
  <si>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</si>
  <si>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</si>
  <si>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</si>
  <si>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</si>
  <si>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</si>
  <si>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</si>
  <si>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</si>
  <si>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</si>
  <si>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</si>
  <si>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</si>
  <si>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</si>
  <si>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</si>
  <si>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</si>
  <si>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</si>
  <si>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</si>
  <si>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</si>
  <si>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</si>
  <si>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</si>
  <si>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</si>
  <si>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</si>
  <si>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</si>
  <si>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</si>
  <si>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</si>
  <si>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</si>
  <si>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</si>
  <si>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</si>
  <si>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</si>
  <si>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</si>
  <si>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</si>
  <si>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</si>
  <si>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</si>
  <si>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</si>
  <si>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</si>
  <si>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</si>
  <si>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</si>
  <si>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</si>
  <si>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</si>
  <si>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</si>
  <si>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</si>
  <si>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</si>
  <si>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</si>
  <si>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</si>
  <si>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</si>
  <si>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</si>
  <si>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</si>
  <si>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</si>
  <si>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</si>
  <si>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</si>
  <si>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</si>
  <si>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</si>
  <si>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</si>
  <si>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</si>
  <si>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</si>
  <si>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</si>
  <si>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</si>
  <si>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</si>
  <si>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</si>
  <si>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</si>
  <si>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</si>
  <si>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</si>
  <si>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</si>
  <si>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</si>
  <si>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</si>
  <si>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</si>
  <si>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</si>
  <si>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</si>
  <si>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</si>
  <si>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</si>
  <si>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</si>
  <si>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</si>
  <si>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</si>
  <si>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</si>
  <si>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</si>
  <si>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</si>
  <si>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</si>
  <si>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</si>
  <si>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</si>
  <si>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</si>
  <si>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</si>
  <si>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</si>
  <si>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</si>
  <si>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</si>
  <si>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</si>
  <si>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</si>
  <si>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</si>
  <si>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</si>
  <si>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</si>
  <si>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</si>
  <si>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</si>
  <si>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</si>
  <si>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</si>
  <si>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</si>
  <si>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</si>
  <si>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</si>
  <si>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</si>
  <si>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</si>
  <si>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</si>
  <si>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</si>
  <si>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</si>
  <si>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</si>
  <si>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</si>
  <si>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</si>
  <si>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</si>
  <si>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</si>
  <si>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</si>
  <si>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</si>
  <si>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</si>
  <si>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</si>
  <si>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</si>
  <si>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</si>
  <si>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</si>
  <si>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</si>
  <si>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</si>
  <si>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</si>
  <si>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</si>
  <si>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</si>
  <si>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</si>
  <si>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</si>
  <si>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</si>
  <si>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</si>
  <si>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</si>
  <si>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</si>
  <si>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</si>
  <si>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</si>
  <si>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</si>
  <si>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</si>
  <si>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</si>
  <si>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</si>
  <si>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</si>
  <si>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</si>
  <si>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</si>
  <si>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</si>
  <si>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</si>
  <si>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</si>
  <si>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</si>
  <si>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</si>
  <si>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</si>
  <si>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</si>
  <si>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</si>
  <si>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</si>
  <si>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</si>
  <si>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</si>
  <si>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</si>
  <si>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</si>
  <si>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</si>
  <si>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</si>
  <si>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</si>
  <si>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</si>
  <si>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</si>
  <si>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</si>
  <si>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</si>
  <si>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</si>
  <si>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</si>
  <si>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</si>
  <si>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</si>
  <si>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</si>
  <si>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</si>
  <si>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</si>
  <si>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</si>
  <si>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</si>
  <si>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</si>
  <si>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</si>
  <si>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</si>
  <si>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</si>
  <si>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</si>
  <si>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</si>
  <si>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</si>
  <si>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</si>
  <si>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</si>
  <si>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</si>
  <si>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</si>
  <si>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</si>
  <si>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</si>
  <si>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</si>
  <si>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</si>
  <si>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</si>
  <si>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</si>
  <si>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</si>
  <si>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</si>
  <si>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</si>
  <si>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</si>
  <si>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</si>
  <si>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</si>
  <si>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</si>
  <si>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</si>
  <si>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</si>
  <si>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</si>
  <si>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</si>
  <si>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</si>
  <si>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</si>
  <si>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</si>
  <si>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</si>
  <si>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</si>
  <si>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</si>
  <si>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</si>
  <si>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</si>
  <si>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</si>
  <si>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</si>
  <si>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</si>
  <si>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</si>
  <si>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</si>
  <si>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</si>
  <si>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</si>
  <si>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</si>
  <si>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</si>
  <si>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</si>
  <si>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</si>
  <si>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</si>
  <si>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</si>
  <si>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</si>
  <si>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</si>
  <si>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</si>
  <si>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</si>
  <si>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</si>
  <si>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</si>
  <si>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</si>
  <si>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</si>
  <si>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</si>
  <si>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</si>
  <si>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</si>
  <si>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</si>
  <si>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</si>
  <si>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</si>
  <si>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</si>
  <si>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</si>
  <si>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</si>
  <si>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</si>
  <si>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</si>
  <si>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</si>
  <si>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</si>
  <si>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</si>
  <si>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</si>
  <si>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</si>
  <si>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</si>
  <si>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</si>
  <si>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</si>
  <si>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</si>
  <si>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</si>
  <si>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</si>
  <si>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</si>
  <si>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</si>
  <si>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</si>
  <si>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</si>
  <si>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</si>
  <si>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</si>
  <si>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</si>
  <si>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</si>
  <si>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</si>
  <si>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</si>
  <si>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</si>
  <si>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</si>
  <si>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</si>
  <si>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</si>
  <si>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</si>
  <si>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</si>
  <si>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</si>
  <si>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</si>
  <si>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</si>
  <si>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</si>
  <si>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</si>
  <si>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</si>
  <si>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</si>
  <si>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</si>
  <si>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</si>
  <si>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</si>
  <si>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</si>
  <si>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</si>
  <si>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</si>
  <si>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</si>
  <si>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</si>
  <si>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</si>
  <si>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</si>
  <si>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</si>
  <si>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</si>
  <si>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</si>
  <si>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</si>
  <si>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</si>
  <si>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</si>
  <si>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</si>
  <si>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</si>
  <si>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</si>
  <si>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</si>
  <si>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</si>
  <si>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</si>
  <si>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</si>
  <si>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</si>
  <si>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</si>
  <si>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</si>
  <si>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</si>
  <si>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</si>
  <si>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</si>
  <si>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</si>
  <si>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</si>
  <si>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</si>
  <si>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</si>
  <si>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</si>
  <si>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</si>
  <si>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</si>
  <si>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</si>
  <si>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</si>
  <si>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</si>
  <si>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</si>
  <si>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</si>
  <si>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</si>
  <si>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</si>
  <si>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</si>
  <si>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</si>
  <si>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</si>
  <si>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</si>
  <si>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</si>
  <si>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</si>
  <si>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</si>
  <si>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</si>
  <si>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</si>
  <si>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</si>
  <si>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</si>
  <si>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</si>
  <si>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</si>
  <si>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</si>
  <si>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</si>
  <si>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</si>
  <si>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</si>
  <si>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</si>
  <si>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</si>
  <si>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</si>
  <si>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</si>
  <si>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</si>
  <si>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</si>
  <si>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</si>
  <si>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</si>
  <si>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</si>
  <si>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</si>
  <si>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</si>
  <si>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</si>
  <si>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</si>
  <si>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</si>
  <si>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</si>
  <si>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</si>
  <si>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</si>
  <si>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</si>
  <si>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</si>
  <si>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</si>
  <si>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</si>
  <si>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</si>
  <si>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</si>
  <si>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</si>
  <si>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</si>
  <si>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</si>
  <si>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</si>
  <si>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</si>
  <si>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</si>
  <si>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</si>
  <si>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</si>
  <si>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</si>
  <si>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</si>
  <si>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</si>
  <si>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</si>
  <si>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</si>
  <si>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</si>
  <si>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</si>
  <si>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</si>
  <si>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</si>
  <si>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</si>
  <si>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</si>
  <si>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</si>
  <si>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</si>
  <si>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</si>
  <si>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</si>
  <si>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</si>
  <si>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</si>
  <si>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</si>
  <si>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</si>
  <si>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</si>
  <si>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</si>
  <si>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</si>
  <si>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</si>
  <si>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</si>
  <si>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</si>
  <si>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</si>
  <si>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</si>
  <si>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</si>
  <si>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</si>
  <si>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</si>
  <si>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</si>
  <si>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</si>
  <si>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</si>
  <si>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</si>
  <si>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</si>
  <si>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</si>
  <si>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</si>
  <si>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</si>
  <si>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</si>
  <si>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</si>
  <si>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</si>
  <si>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</si>
  <si>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</si>
  <si>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</si>
  <si>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</si>
  <si>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</si>
  <si>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</si>
  <si>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</si>
  <si>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</si>
  <si>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</si>
  <si>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</si>
  <si>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</si>
  <si>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</si>
  <si>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</si>
  <si>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</si>
  <si>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</si>
  <si>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</si>
  <si>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</si>
  <si>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</si>
  <si>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</si>
  <si>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</si>
  <si>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</si>
  <si>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</si>
  <si>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</si>
  <si>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</si>
  <si>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</si>
  <si>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</si>
  <si>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</si>
  <si>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</si>
  <si>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</si>
  <si>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</si>
  <si>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</si>
  <si>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</si>
  <si>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</si>
  <si>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</si>
  <si>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</si>
  <si>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</si>
  <si>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</si>
  <si>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</si>
  <si>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</si>
  <si>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</si>
  <si>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</si>
  <si>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</si>
  <si>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</si>
  <si>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</si>
  <si>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</si>
  <si>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</si>
  <si>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</si>
  <si>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</si>
  <si>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</si>
  <si>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</si>
  <si>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</si>
  <si>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</si>
  <si>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</si>
  <si>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</si>
  <si>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</si>
  <si>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</si>
  <si>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</si>
  <si>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</si>
  <si>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</si>
  <si>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</si>
  <si>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</si>
  <si>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</si>
  <si>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</si>
  <si>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</si>
  <si>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</si>
  <si>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</si>
  <si>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</si>
  <si>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</si>
  <si>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</si>
  <si>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</si>
  <si>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</si>
  <si>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</si>
  <si>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</si>
  <si>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</si>
  <si>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</si>
  <si>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</si>
  <si>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</si>
  <si>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</si>
  <si>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</si>
  <si>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</si>
  <si>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</si>
  <si>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</si>
  <si>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</si>
  <si>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</si>
  <si>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</si>
  <si>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</si>
  <si>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</si>
  <si>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</si>
  <si>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</si>
  <si>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</si>
  <si>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</si>
  <si>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</si>
  <si>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</si>
  <si>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</si>
  <si>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</si>
  <si>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</si>
  <si>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</si>
  <si>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</si>
  <si>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</si>
  <si>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</si>
  <si>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</si>
  <si>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</si>
  <si>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</si>
  <si>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</si>
  <si>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</si>
  <si>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</si>
  <si>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</si>
  <si>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</si>
  <si>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</si>
  <si>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</si>
  <si>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</si>
  <si>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</si>
  <si>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</si>
  <si>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</si>
  <si>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</si>
  <si>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</si>
  <si>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</si>
  <si>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</si>
  <si>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</si>
  <si>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</si>
  <si>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</si>
  <si>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</si>
  <si>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</si>
  <si>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</si>
  <si>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</si>
  <si>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</si>
  <si>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</si>
  <si>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</si>
  <si>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</si>
  <si>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</si>
  <si>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</si>
  <si>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</si>
  <si>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</si>
  <si>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</si>
  <si>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</si>
  <si>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</si>
  <si>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</si>
  <si>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</si>
  <si>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</si>
  <si>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</si>
  <si>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</si>
  <si>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</si>
  <si>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</si>
  <si>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</si>
  <si>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</si>
  <si>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</si>
  <si>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</si>
  <si>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</si>
  <si>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</si>
  <si>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</si>
  <si>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</si>
  <si>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</si>
  <si>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</si>
  <si>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</si>
  <si>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</si>
  <si>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</si>
  <si>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</si>
  <si>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</si>
  <si>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</si>
  <si>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</si>
  <si>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</si>
  <si>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</si>
  <si>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</si>
  <si>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</si>
  <si>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</si>
  <si>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</si>
  <si>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</si>
  <si>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</si>
  <si>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</si>
  <si>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</si>
  <si>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</si>
  <si>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</si>
  <si>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</si>
  <si>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</si>
  <si>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</si>
  <si>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</si>
  <si>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</si>
  <si>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</si>
  <si>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</si>
  <si>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</si>
  <si>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</si>
  <si>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</si>
  <si>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</si>
  <si>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</si>
  <si>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</si>
  <si>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</si>
  <si>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</si>
  <si>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</si>
  <si>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</si>
  <si>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</si>
  <si>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</si>
  <si>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</si>
  <si>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</si>
  <si>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</si>
  <si>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</si>
  <si>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</si>
  <si>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</si>
  <si>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</si>
  <si>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</si>
  <si>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</si>
  <si>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</si>
  <si>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</si>
  <si>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</si>
  <si>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</si>
  <si>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</si>
  <si>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</si>
  <si>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</si>
  <si>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</si>
  <si>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</si>
  <si>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</si>
  <si>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</si>
  <si>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</si>
  <si>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</si>
  <si>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</si>
  <si>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</si>
  <si>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</si>
  <si>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</si>
  <si>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</si>
  <si>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</si>
  <si>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</si>
  <si>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</si>
  <si>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</si>
  <si>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</si>
  <si>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</si>
  <si>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</si>
  <si>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</si>
  <si>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</si>
  <si>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</si>
  <si>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</si>
  <si>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</si>
  <si>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</si>
  <si>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</si>
  <si>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</si>
  <si>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</si>
  <si>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</si>
  <si>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</si>
  <si>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</si>
  <si>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</si>
  <si>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</si>
  <si>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</si>
  <si>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</si>
  <si>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</si>
  <si>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</si>
  <si>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</si>
  <si>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</si>
  <si>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</si>
  <si>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</si>
  <si>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</si>
  <si>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</si>
  <si>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</si>
  <si>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</si>
  <si>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</si>
  <si>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</si>
  <si>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</si>
  <si>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</si>
  <si>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</si>
  <si>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</si>
  <si>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</si>
  <si>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</si>
  <si>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</si>
  <si>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</si>
  <si>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</si>
  <si>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</si>
  <si>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</si>
  <si>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</si>
  <si>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</si>
  <si>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</si>
  <si>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</si>
  <si>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</si>
  <si>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</si>
  <si>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</si>
  <si>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</si>
  <si>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</si>
  <si>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</si>
  <si>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</si>
  <si>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</si>
  <si>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</si>
  <si>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</si>
  <si>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</si>
  <si>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</si>
  <si>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</si>
  <si>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</si>
  <si>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</si>
  <si>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</si>
  <si>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</si>
  <si>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</si>
  <si>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</si>
  <si>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</si>
  <si>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</si>
  <si>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</si>
  <si>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</si>
  <si>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</si>
  <si>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</si>
  <si>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</si>
  <si>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</si>
  <si>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</si>
  <si>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</si>
  <si>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</si>
  <si>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</si>
  <si>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</si>
  <si>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</si>
  <si>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</si>
  <si>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</si>
  <si>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</si>
  <si>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</si>
  <si>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</si>
  <si>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</si>
  <si>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</si>
  <si>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</si>
  <si>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</si>
  <si>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</si>
  <si>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</si>
  <si>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</si>
  <si>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</si>
  <si>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</si>
  <si>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</si>
  <si>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</si>
  <si>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</si>
  <si>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</si>
  <si>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</si>
  <si>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</si>
  <si>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</si>
  <si>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</si>
  <si>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</si>
  <si>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</si>
  <si>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</si>
  <si>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</si>
  <si>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</si>
  <si>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</si>
  <si>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</si>
  <si>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</si>
  <si>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</si>
  <si>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</si>
  <si>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</si>
  <si>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</si>
  <si>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</si>
  <si>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</si>
  <si>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</si>
  <si>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</si>
  <si>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</si>
  <si>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</si>
  <si>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</si>
  <si>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</si>
  <si>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</si>
  <si>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</si>
  <si>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</si>
  <si>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</si>
  <si>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</si>
  <si>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</si>
  <si>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</si>
  <si>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</si>
  <si>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</si>
  <si>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</si>
  <si>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</si>
  <si>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</si>
  <si>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</si>
  <si>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</si>
  <si>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</si>
  <si>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</si>
  <si>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</si>
  <si>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</si>
  <si>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</si>
  <si>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</si>
  <si>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</si>
  <si>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</si>
  <si>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</si>
  <si>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</si>
  <si>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</si>
  <si>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</si>
  <si>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</si>
  <si>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</si>
  <si>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</si>
  <si>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</si>
  <si>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</si>
  <si>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</si>
  <si>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</si>
  <si>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</si>
  <si>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</si>
  <si>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</si>
  <si>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</si>
  <si>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</si>
  <si>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</si>
  <si>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</si>
  <si>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</si>
  <si>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</si>
  <si>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</si>
  <si>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</si>
  <si>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</si>
  <si>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</si>
  <si>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</si>
  <si>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</si>
  <si>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</si>
  <si>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</si>
  <si>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</si>
  <si>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</si>
  <si>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</si>
  <si>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</si>
  <si>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</si>
  <si>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</si>
  <si>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</si>
  <si>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</si>
  <si>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</si>
  <si>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</si>
  <si>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</si>
  <si>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</si>
  <si>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</si>
  <si>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</si>
  <si>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</si>
  <si>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</si>
  <si>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</si>
  <si>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</si>
  <si>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</si>
  <si>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</si>
  <si>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</si>
  <si>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</si>
  <si>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</si>
  <si>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</si>
  <si>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</si>
  <si>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</si>
  <si>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</si>
  <si>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</si>
  <si>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</si>
  <si>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</si>
  <si>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</si>
  <si>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</si>
  <si>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</si>
  <si>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</si>
  <si>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</si>
  <si>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</si>
  <si>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</si>
  <si>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</si>
  <si>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</si>
  <si>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</si>
  <si>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</si>
  <si>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</si>
  <si>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</si>
  <si>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</si>
  <si>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</si>
  <si>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</si>
  <si>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</si>
  <si>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</si>
  <si>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</si>
  <si>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</si>
  <si>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</si>
  <si>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</si>
  <si>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</si>
  <si>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</si>
  <si>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</si>
  <si>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</si>
  <si>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</si>
  <si>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</si>
  <si>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</si>
  <si>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</si>
  <si>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</si>
  <si>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</si>
  <si>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</si>
  <si>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</si>
  <si>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</si>
  <si>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</si>
  <si>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</si>
  <si>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</si>
  <si>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</si>
  <si>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</si>
  <si>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</si>
  <si>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</si>
  <si>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</si>
  <si>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</si>
  <si>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</si>
  <si>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</si>
  <si>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</si>
  <si>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</si>
  <si>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</si>
  <si>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</si>
  <si>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</si>
  <si>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</si>
  <si>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</si>
  <si>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</si>
  <si>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</si>
  <si>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</si>
  <si>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</si>
  <si>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</si>
  <si>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</si>
  <si>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</si>
  <si>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</si>
  <si>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</si>
  <si>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</si>
  <si>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</si>
  <si>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</si>
  <si>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</si>
  <si>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</si>
  <si>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</si>
  <si>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</si>
  <si>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</si>
  <si>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</si>
  <si>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</si>
  <si>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</si>
  <si>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</si>
  <si>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</si>
  <si>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</si>
  <si>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</si>
  <si>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</si>
  <si>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</si>
  <si>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</si>
  <si>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</si>
  <si>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</si>
  <si>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</si>
  <si>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</si>
  <si>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</si>
  <si>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</si>
  <si>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</si>
  <si>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</si>
  <si>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</si>
  <si>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</si>
  <si>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</si>
  <si>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</si>
  <si>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</si>
  <si>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</si>
  <si>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</si>
  <si>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</si>
  <si>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</si>
  <si>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</si>
  <si>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</si>
  <si>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</si>
  <si>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</si>
  <si>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</si>
  <si>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</si>
  <si>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</si>
  <si>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</si>
  <si>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</si>
  <si>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</si>
  <si>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</si>
  <si>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</si>
  <si>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</si>
  <si>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</si>
  <si>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</si>
  <si>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</si>
  <si>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</si>
  <si>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</si>
  <si>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</si>
  <si>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</si>
  <si>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</si>
  <si>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</si>
  <si>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</si>
  <si>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</si>
  <si>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</si>
  <si>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</si>
  <si>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</si>
  <si>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</si>
  <si>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</si>
  <si>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</si>
  <si>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</si>
  <si>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</si>
  <si>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</si>
  <si>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</si>
  <si>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</si>
  <si>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</si>
  <si>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</si>
  <si>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</si>
  <si>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</si>
  <si>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</si>
  <si>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</si>
  <si>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</si>
  <si>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</si>
  <si>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</si>
  <si>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</si>
  <si>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</si>
  <si>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</si>
  <si>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</si>
  <si>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</si>
  <si>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</si>
  <si>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</si>
  <si>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</si>
  <si>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</si>
  <si>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</si>
  <si>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</si>
  <si>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</si>
  <si>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</si>
  <si>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</si>
  <si>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</si>
  <si>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</si>
  <si>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</si>
  <si>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</si>
  <si>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</si>
  <si>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</si>
  <si>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</si>
  <si>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</si>
  <si>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</si>
  <si>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</si>
  <si>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</si>
  <si>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</si>
  <si>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</si>
  <si>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</si>
  <si>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</si>
  <si>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</si>
  <si>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</si>
  <si>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</si>
  <si>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</si>
  <si>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</si>
  <si>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</si>
  <si>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</si>
  <si>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</si>
  <si>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</si>
  <si>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</si>
  <si>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</si>
  <si>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</si>
  <si>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</si>
  <si>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</si>
  <si>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</si>
  <si>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</si>
  <si>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</si>
  <si>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</si>
  <si>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</si>
  <si>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</si>
  <si>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</si>
  <si>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</si>
  <si>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</si>
  <si>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</si>
  <si>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</si>
  <si>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</si>
  <si>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</si>
  <si>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</si>
  <si>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</si>
  <si>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</si>
  <si>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</si>
  <si>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</si>
  <si>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</si>
  <si>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</si>
  <si>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</si>
  <si>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</si>
  <si>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</si>
  <si>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</si>
  <si>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</si>
  <si>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</si>
  <si>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</si>
  <si>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</si>
  <si>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</si>
  <si>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</si>
  <si>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</si>
  <si>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</si>
  <si>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</si>
  <si>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</si>
  <si>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</si>
  <si>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</si>
  <si>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</si>
  <si>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</si>
  <si>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</si>
  <si>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</si>
  <si>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</si>
  <si>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</si>
  <si>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</si>
  <si>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</si>
  <si>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</si>
  <si>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</si>
  <si>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</si>
  <si>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</si>
  <si>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</si>
  <si>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</si>
  <si>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</si>
  <si>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</si>
  <si>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</si>
  <si>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</si>
  <si>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</si>
  <si>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</si>
  <si>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</si>
  <si>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</si>
  <si>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</si>
  <si>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</si>
  <si>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</si>
  <si>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</si>
  <si>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</si>
  <si>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</si>
  <si>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</si>
  <si>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</si>
  <si>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</si>
  <si>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</si>
  <si>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</si>
  <si>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</si>
  <si>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</si>
  <si>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</si>
  <si>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</si>
  <si>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</si>
  <si>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</si>
  <si>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</si>
  <si>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</si>
  <si>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</si>
  <si>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</si>
  <si>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</si>
  <si>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</si>
  <si>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</si>
  <si>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</si>
  <si>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</si>
  <si>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</si>
  <si>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</si>
  <si>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</si>
  <si>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</si>
  <si>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</si>
  <si>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</si>
  <si>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</si>
  <si>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</si>
  <si>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</si>
  <si>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</si>
  <si>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</si>
  <si>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</si>
  <si>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</si>
  <si>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</si>
  <si>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</si>
  <si>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</si>
  <si>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</si>
  <si>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</si>
  <si>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</si>
  <si>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</si>
  <si>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</si>
  <si>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</si>
  <si>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</si>
  <si>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</si>
  <si>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</si>
  <si>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</si>
  <si>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</si>
  <si>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</si>
  <si>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</si>
  <si>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</si>
  <si>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</si>
  <si>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</si>
  <si>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</si>
  <si>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</si>
  <si>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</si>
  <si>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</si>
  <si>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</si>
  <si>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</si>
  <si>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</si>
  <si>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</si>
  <si>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</si>
  <si>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</si>
  <si>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</si>
  <si>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</si>
  <si>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</si>
  <si>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</si>
  <si>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</si>
  <si>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</si>
  <si>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</si>
  <si>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</si>
  <si>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</si>
  <si>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</si>
  <si>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</si>
  <si>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</si>
  <si>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</si>
  <si>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</si>
  <si>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</si>
  <si>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</si>
  <si>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</si>
  <si>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</si>
  <si>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</si>
  <si>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</si>
  <si>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</si>
  <si>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</si>
  <si>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</si>
  <si>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</si>
  <si>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</si>
  <si>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</si>
  <si>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</si>
  <si>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</si>
  <si>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</si>
  <si>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</si>
  <si>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</si>
  <si>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</si>
  <si>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</si>
  <si>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</si>
  <si>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</si>
  <si>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</si>
  <si>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</si>
  <si>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</si>
  <si>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</si>
  <si>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</si>
  <si>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</si>
  <si>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</si>
  <si>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</si>
  <si>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</si>
  <si>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</si>
  <si>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</si>
  <si>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</si>
  <si>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</si>
  <si>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</si>
  <si>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</si>
  <si>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</si>
  <si>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</si>
  <si>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</si>
  <si>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</si>
  <si>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</si>
  <si>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</si>
  <si>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</si>
  <si>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</si>
  <si>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</si>
  <si>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</si>
  <si>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</si>
  <si>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</si>
  <si>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</si>
  <si>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</si>
  <si>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</si>
  <si>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</si>
  <si>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</si>
  <si>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</si>
  <si>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</si>
  <si>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</si>
  <si>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</si>
  <si>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</si>
  <si>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</si>
  <si>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</si>
  <si>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</si>
  <si>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</si>
  <si>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</si>
  <si>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</si>
  <si>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</si>
  <si>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</si>
  <si>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</si>
  <si>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</si>
  <si>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</si>
  <si>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</si>
  <si>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</si>
  <si>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</si>
  <si>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</si>
  <si>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</si>
  <si>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</si>
  <si>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</si>
  <si>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</si>
  <si>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</si>
  <si>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</si>
  <si>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</si>
  <si>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</si>
  <si>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</si>
  <si>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</si>
  <si>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</si>
  <si>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</si>
  <si>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</si>
  <si>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</si>
  <si>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</si>
  <si>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</si>
  <si>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</si>
  <si>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</si>
  <si>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</si>
  <si>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</si>
  <si>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</si>
  <si>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</si>
  <si>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</si>
  <si>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</si>
  <si>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</si>
  <si>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</si>
  <si>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</si>
  <si>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</si>
  <si>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</si>
  <si>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</si>
  <si>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</si>
  <si>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</si>
  <si>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</si>
  <si>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</si>
  <si>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</si>
  <si>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</si>
  <si>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</si>
  <si>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</si>
  <si>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</si>
  <si>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</si>
  <si>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</si>
  <si>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</si>
  <si>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</si>
  <si>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</si>
  <si>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</si>
  <si>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</si>
  <si>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</si>
  <si>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</si>
  <si>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</si>
  <si>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</si>
  <si>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</si>
  <si>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</si>
  <si>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</si>
  <si>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</si>
  <si>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</si>
  <si>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</si>
  <si>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</si>
  <si>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</si>
  <si>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</si>
  <si>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</si>
  <si>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</si>
  <si>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</si>
  <si>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</si>
  <si>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</si>
  <si>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</si>
  <si>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</si>
  <si>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</si>
  <si>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</si>
  <si>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</si>
  <si>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</si>
  <si>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</si>
  <si>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</si>
  <si>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</si>
  <si>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</si>
  <si>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</si>
  <si>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</si>
  <si>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</si>
  <si>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</si>
  <si>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</si>
  <si>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</si>
  <si>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</si>
  <si>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</si>
  <si>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</si>
  <si>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</si>
  <si>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</si>
  <si>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</si>
  <si>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</si>
  <si>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</si>
  <si>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</si>
  <si>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</si>
  <si>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</si>
  <si>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</si>
  <si>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</si>
  <si>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</si>
  <si>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</si>
  <si>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</si>
  <si>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</si>
  <si>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</si>
  <si>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</si>
  <si>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</si>
  <si>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</si>
  <si>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</si>
  <si>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</si>
  <si>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</si>
  <si>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</si>
  <si>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</si>
  <si>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</si>
  <si>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</si>
  <si>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</si>
  <si>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</si>
  <si>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</si>
  <si>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</si>
  <si>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</si>
  <si>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</si>
  <si>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</si>
  <si>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</si>
  <si>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</si>
  <si>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</si>
  <si>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</si>
  <si>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</si>
  <si>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</si>
  <si>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</si>
  <si>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</si>
  <si>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</si>
  <si>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</si>
  <si>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</si>
  <si>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</si>
  <si>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198</t>
  </si>
  <si>
    <t>Astria Sunnyside Hospital</t>
  </si>
  <si>
    <t>PO Box 719</t>
  </si>
  <si>
    <t>Sunnyside</t>
  </si>
  <si>
    <t>WA</t>
  </si>
  <si>
    <t>Yakima</t>
  </si>
  <si>
    <t>Brian Gibbons</t>
  </si>
  <si>
    <t>Maxwell Owens</t>
  </si>
  <si>
    <t>Peggy Brewer</t>
  </si>
  <si>
    <t>(509) 837-1500</t>
  </si>
  <si>
    <t>(509)837-1512</t>
  </si>
  <si>
    <t>12/31/2022</t>
  </si>
  <si>
    <t>Rite of Use Assets</t>
  </si>
  <si>
    <t xml:space="preserve">Sunnyside </t>
  </si>
  <si>
    <t xml:space="preserve">WA </t>
  </si>
  <si>
    <t>Brian P. Gibbons, Jr</t>
  </si>
  <si>
    <t>(509) 837-1641</t>
  </si>
  <si>
    <t>(509) 837-1512</t>
  </si>
  <si>
    <t>Sandra Cortez</t>
  </si>
  <si>
    <t>sandra.cortez@astria.health</t>
  </si>
  <si>
    <t>Jonathon G. Mercer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</si>
</sst>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andra.cortez@astria.health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B78" transitionEvaluation="1" transitionEntry="1" codeName="Sheet1">
    <tabColor rgb="FF92D050"/>
    <pageSetUpPr autoPageBreaks="0" fitToPage="1"/>
  </sheetPr>
  <dimension ref="A1:CF716"/>
  <sheetViews>
    <sheetView topLeftCell="A78" zoomScale="80" zoomScaleNormal="80" workbookViewId="0">
      <pane xSplit="1" topLeftCell="B1" activePane="topRight" state="frozen"/>
      <selection activeCell="A43" sqref="A43"/>
      <selection pane="topRight" activeCell="I105" sqref="I105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69" t="s">
        <v>1351</v>
      </c>
      <c r="C1" s="17"/>
    </row>
    <row r="2" spans="1:3" x14ac:dyDescent="0.25">
      <c r="A2" s="69" t="s">
        <v>2</v>
      </c>
      <c r="C2" s="17"/>
    </row>
    <row r="3" spans="1:3" x14ac:dyDescent="0.25">
      <c r="A3" s="12" t="s">
        <v>3</v>
      </c>
      <c r="C3" s="17"/>
    </row>
    <row r="4" spans="1:3" x14ac:dyDescent="0.25">
      <c r="C4" s="17"/>
    </row>
    <row r="5" spans="1:3" x14ac:dyDescent="0.25">
      <c r="A5" s="12" t="s">
        <v>1330</v>
      </c>
    </row>
    <row r="6" spans="1:3" x14ac:dyDescent="0.25">
      <c r="A6" s="12" t="s">
        <v>4</v>
      </c>
    </row>
    <row r="7" spans="1:3" x14ac:dyDescent="0.25">
      <c r="A7" s="12" t="s">
        <v>1352</v>
      </c>
    </row>
    <row r="8" spans="1:3" x14ac:dyDescent="0.25">
      <c r="C8" s="17"/>
    </row>
    <row r="9" spans="1:3" x14ac:dyDescent="0.25">
      <c r="A9" s="69" t="s">
        <v>5</v>
      </c>
      <c r="C9" s="17"/>
    </row>
    <row r="10" spans="1:3" x14ac:dyDescent="0.25">
      <c r="A10" s="12" t="s">
        <v>1353</v>
      </c>
      <c r="C10" s="17"/>
    </row>
    <row r="11" spans="1:3" x14ac:dyDescent="0.25">
      <c r="A11" s="18" t="s">
        <v>6</v>
      </c>
      <c r="C11" s="17"/>
    </row>
    <row r="12" spans="1:3" x14ac:dyDescent="0.25">
      <c r="A12" s="16" t="s">
        <v>7</v>
      </c>
      <c r="C12" s="17"/>
    </row>
    <row r="13" spans="1:3" x14ac:dyDescent="0.25">
      <c r="A13" s="12" t="s">
        <v>8</v>
      </c>
      <c r="C13" s="17"/>
    </row>
    <row r="14" spans="1:3" x14ac:dyDescent="0.25">
      <c r="C14" s="17"/>
    </row>
    <row r="15" spans="1:3" x14ac:dyDescent="0.25">
      <c r="A15" s="73" t="s">
        <v>9</v>
      </c>
    </row>
    <row r="16" spans="1:3" x14ac:dyDescent="0.25">
      <c r="A16" s="16" t="s">
        <v>10</v>
      </c>
    </row>
    <row r="17" spans="1:10" x14ac:dyDescent="0.25">
      <c r="A17" s="18" t="s">
        <v>1354</v>
      </c>
    </row>
    <row r="18" spans="1:10" ht="14.45" customHeight="1" x14ac:dyDescent="0.25">
      <c r="A18" s="18" t="s">
        <v>1355</v>
      </c>
    </row>
    <row r="19" spans="1:10" ht="14.45" customHeight="1" x14ac:dyDescent="0.25">
      <c r="A19" s="18" t="s">
        <v>1356</v>
      </c>
    </row>
    <row r="20" spans="1:10" ht="14.45" customHeight="1" x14ac:dyDescent="0.25">
      <c r="A20" s="16"/>
      <c r="E20" s="72"/>
      <c r="F20" s="72"/>
      <c r="G20" s="72"/>
    </row>
    <row r="21" spans="1:10" ht="14.45" customHeight="1" x14ac:dyDescent="0.25">
      <c r="A21" s="74" t="s">
        <v>11</v>
      </c>
      <c r="E21" s="72"/>
      <c r="F21" s="72"/>
      <c r="G21" s="72"/>
      <c r="I21" s="72"/>
      <c r="J21" s="72"/>
    </row>
    <row r="22" spans="1:10" ht="16.5" x14ac:dyDescent="0.25">
      <c r="A22" s="18" t="s">
        <v>12</v>
      </c>
      <c r="E22" s="71"/>
      <c r="F22" s="71"/>
      <c r="G22" s="71"/>
      <c r="I22" s="71"/>
      <c r="J22" s="71"/>
    </row>
    <row r="23" spans="1:10" ht="16.5" x14ac:dyDescent="0.25">
      <c r="A23" s="18" t="s">
        <v>1357</v>
      </c>
      <c r="E23" s="71"/>
      <c r="F23" s="71"/>
      <c r="G23" s="71"/>
      <c r="I23" s="71"/>
      <c r="J23" s="71"/>
    </row>
    <row r="24" spans="1:10" x14ac:dyDescent="0.25">
      <c r="A24" s="18" t="s">
        <v>1358</v>
      </c>
    </row>
    <row r="25" spans="1:10" x14ac:dyDescent="0.25">
      <c r="A25" s="18" t="s">
        <v>1359</v>
      </c>
    </row>
    <row r="26" spans="1:10" x14ac:dyDescent="0.25">
      <c r="A26" s="18"/>
    </row>
    <row r="27" spans="1:10" x14ac:dyDescent="0.25">
      <c r="A27" s="16" t="s">
        <v>13</v>
      </c>
      <c r="C27" s="17"/>
    </row>
    <row r="28" spans="1:10" x14ac:dyDescent="0.25">
      <c r="A28" s="18" t="s">
        <v>1360</v>
      </c>
      <c r="C28" s="17"/>
    </row>
    <row r="29" spans="1:10" x14ac:dyDescent="0.25">
      <c r="C29" s="17"/>
    </row>
    <row r="30" spans="1:10" x14ac:dyDescent="0.25">
      <c r="A30" s="12" t="s">
        <v>1349</v>
      </c>
      <c r="C30" s="333" t="s">
        <v>1350</v>
      </c>
      <c r="F30" s="19"/>
    </row>
    <row r="31" spans="1:10" x14ac:dyDescent="0.25">
      <c r="C31" s="17"/>
    </row>
    <row r="32" spans="1:10" x14ac:dyDescent="0.25">
      <c r="A32" s="69" t="s">
        <v>15</v>
      </c>
      <c r="B32" s="72"/>
      <c r="C32" s="72"/>
      <c r="D32" s="72"/>
    </row>
    <row r="33" spans="1:83" x14ac:dyDescent="0.25">
      <c r="A33" s="18" t="s">
        <v>16</v>
      </c>
      <c r="B33" s="72"/>
      <c r="C33" s="72"/>
      <c r="D33" s="72"/>
    </row>
    <row r="34" spans="1:83" ht="16.5" x14ac:dyDescent="0.25">
      <c r="A34" s="18" t="s">
        <v>17</v>
      </c>
      <c r="B34" s="71"/>
      <c r="C34" s="71"/>
      <c r="D34" s="71"/>
    </row>
    <row r="35" spans="1:83" ht="16.5" x14ac:dyDescent="0.25">
      <c r="B35" s="71"/>
      <c r="C35" s="71"/>
      <c r="D35" s="71"/>
    </row>
    <row r="36" spans="1:83" x14ac:dyDescent="0.2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2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2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2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2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25">
      <c r="C41" s="17"/>
    </row>
    <row r="42" spans="1:83" x14ac:dyDescent="0.25">
      <c r="A42" s="12" t="s">
        <v>19</v>
      </c>
      <c r="C42" s="17"/>
      <c r="F42" s="19" t="s">
        <v>14</v>
      </c>
    </row>
    <row r="43" spans="1:83" x14ac:dyDescent="0.25">
      <c r="A43" s="19" t="s">
        <v>20</v>
      </c>
      <c r="C43" s="17"/>
    </row>
    <row r="44" spans="1:83" x14ac:dyDescent="0.2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2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2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25">
      <c r="A47" s="20" t="s">
        <v>216</v>
      </c>
      <c r="B47" s="312">
        <f>7911474-B48</f>
        <v>2894707</v>
      </c>
      <c r="C47" s="24">
        <v>115502</v>
      </c>
      <c r="D47" s="24"/>
      <c r="E47" s="24">
        <f>136523+144596+913</f>
        <v>282032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v>94461</v>
      </c>
      <c r="Q47" s="24">
        <v>53821</v>
      </c>
      <c r="R47" s="24"/>
      <c r="S47" s="24">
        <v>4252</v>
      </c>
      <c r="T47" s="24"/>
      <c r="U47" s="24">
        <v>160387</v>
      </c>
      <c r="V47" s="24">
        <v>15408</v>
      </c>
      <c r="W47" s="24">
        <v>16211</v>
      </c>
      <c r="X47" s="24">
        <v>20414</v>
      </c>
      <c r="Y47" s="24">
        <f>88712+15657+42822-698+110768</f>
        <v>257261</v>
      </c>
      <c r="Z47" s="24"/>
      <c r="AA47" s="24">
        <v>-1517</v>
      </c>
      <c r="AB47" s="24">
        <v>83633</v>
      </c>
      <c r="AC47" s="24"/>
      <c r="AD47" s="24"/>
      <c r="AE47" s="24">
        <v>44665</v>
      </c>
      <c r="AF47" s="24"/>
      <c r="AG47" s="24">
        <v>265954</v>
      </c>
      <c r="AH47" s="24"/>
      <c r="AI47" s="24">
        <v>58597</v>
      </c>
      <c r="AJ47" s="24">
        <f>29861+132891+50347+39998+66034+300+30170+55428+46548+27113+22464+218037</f>
        <v>719191</v>
      </c>
      <c r="AK47" s="24"/>
      <c r="AL47" s="24">
        <f>9747+12629</f>
        <v>22376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>
        <f>34891+57646-154+7106+5758</f>
        <v>105247</v>
      </c>
      <c r="AW47" s="24"/>
      <c r="AX47" s="24"/>
      <c r="AY47" s="24">
        <v>72411</v>
      </c>
      <c r="AZ47" s="24"/>
      <c r="BA47" s="24"/>
      <c r="BB47" s="24">
        <v>12038</v>
      </c>
      <c r="BC47" s="24"/>
      <c r="BD47" s="24">
        <v>20383</v>
      </c>
      <c r="BE47" s="24">
        <v>21855</v>
      </c>
      <c r="BF47" s="24">
        <v>75467</v>
      </c>
      <c r="BG47" s="24"/>
      <c r="BH47" s="24">
        <f>118071</f>
        <v>118071</v>
      </c>
      <c r="BI47" s="24">
        <v>8830</v>
      </c>
      <c r="BJ47" s="24">
        <v>30415</v>
      </c>
      <c r="BK47" s="24"/>
      <c r="BL47" s="24">
        <f>73096+15018</f>
        <v>88114</v>
      </c>
      <c r="BM47" s="24"/>
      <c r="BN47" s="24">
        <f>6774+29</f>
        <v>6803</v>
      </c>
      <c r="BO47" s="24"/>
      <c r="BP47" s="24"/>
      <c r="BQ47" s="24">
        <v>26663</v>
      </c>
      <c r="BR47" s="24">
        <v>17882</v>
      </c>
      <c r="BS47" s="24"/>
      <c r="BT47" s="24"/>
      <c r="BU47" s="24"/>
      <c r="BV47" s="24">
        <v>27840</v>
      </c>
      <c r="BW47" s="24"/>
      <c r="BX47" s="24"/>
      <c r="BY47" s="24">
        <v>40705</v>
      </c>
      <c r="BZ47" s="24"/>
      <c r="CA47" s="24"/>
      <c r="CB47" s="24"/>
      <c r="CC47" s="24">
        <f>-1343-27+9637+1067</f>
        <v>9334</v>
      </c>
      <c r="CD47" s="20"/>
      <c r="CE47" s="32">
        <f>SUM(C47:CC47)</f>
        <v>2894706</v>
      </c>
    </row>
    <row r="48" spans="1:83" x14ac:dyDescent="0.25">
      <c r="A48" s="32" t="s">
        <v>217</v>
      </c>
      <c r="B48" s="312">
        <f>5016768-1</f>
        <v>5016767</v>
      </c>
      <c r="C48" s="32">
        <f>IF($B$48,(ROUND((($B$48/$CE$61)*C61),0)))</f>
        <v>189885</v>
      </c>
      <c r="D48" s="32">
        <f t="shared" ref="D48:BO48" si="0">IF($B$48,(ROUND((($B$48/$CE$61)*D61),0)))</f>
        <v>0</v>
      </c>
      <c r="E48" s="32">
        <f t="shared" si="0"/>
        <v>432366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158565</v>
      </c>
      <c r="Q48" s="32">
        <f t="shared" si="0"/>
        <v>77076</v>
      </c>
      <c r="R48" s="32">
        <f t="shared" si="0"/>
        <v>0</v>
      </c>
      <c r="S48" s="32">
        <f t="shared" si="0"/>
        <v>12638</v>
      </c>
      <c r="T48" s="32">
        <f t="shared" si="0"/>
        <v>0</v>
      </c>
      <c r="U48" s="32">
        <f t="shared" si="0"/>
        <v>254032</v>
      </c>
      <c r="V48" s="32">
        <f t="shared" si="0"/>
        <v>23915</v>
      </c>
      <c r="W48" s="32">
        <f t="shared" si="0"/>
        <v>28275</v>
      </c>
      <c r="X48" s="32">
        <f t="shared" si="0"/>
        <v>31516</v>
      </c>
      <c r="Y48" s="32">
        <f t="shared" si="0"/>
        <v>461208</v>
      </c>
      <c r="Z48" s="32">
        <f t="shared" si="0"/>
        <v>0</v>
      </c>
      <c r="AA48" s="32">
        <f t="shared" si="0"/>
        <v>4200</v>
      </c>
      <c r="AB48" s="32">
        <f t="shared" si="0"/>
        <v>136051</v>
      </c>
      <c r="AC48" s="32">
        <f t="shared" si="0"/>
        <v>0</v>
      </c>
      <c r="AD48" s="32">
        <f t="shared" si="0"/>
        <v>0</v>
      </c>
      <c r="AE48" s="32">
        <f t="shared" si="0"/>
        <v>74484</v>
      </c>
      <c r="AF48" s="32">
        <f t="shared" si="0"/>
        <v>0</v>
      </c>
      <c r="AG48" s="32">
        <f t="shared" si="0"/>
        <v>452765</v>
      </c>
      <c r="AH48" s="32">
        <f t="shared" si="0"/>
        <v>0</v>
      </c>
      <c r="AI48" s="32">
        <f t="shared" si="0"/>
        <v>93522</v>
      </c>
      <c r="AJ48" s="32">
        <f t="shared" si="0"/>
        <v>1550904</v>
      </c>
      <c r="AK48" s="32">
        <f t="shared" si="0"/>
        <v>0</v>
      </c>
      <c r="AL48" s="32">
        <f t="shared" si="0"/>
        <v>28915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171453</v>
      </c>
      <c r="AW48" s="32">
        <f t="shared" si="0"/>
        <v>0</v>
      </c>
      <c r="AX48" s="32">
        <f t="shared" si="0"/>
        <v>0</v>
      </c>
      <c r="AY48" s="32">
        <f t="shared" si="0"/>
        <v>47491</v>
      </c>
      <c r="AZ48" s="32">
        <f t="shared" si="0"/>
        <v>0</v>
      </c>
      <c r="BA48" s="32">
        <f t="shared" si="0"/>
        <v>0</v>
      </c>
      <c r="BB48" s="32">
        <f t="shared" si="0"/>
        <v>15447</v>
      </c>
      <c r="BC48" s="32">
        <f t="shared" si="0"/>
        <v>0</v>
      </c>
      <c r="BD48" s="32">
        <f t="shared" si="0"/>
        <v>37897</v>
      </c>
      <c r="BE48" s="32">
        <f t="shared" si="0"/>
        <v>42308</v>
      </c>
      <c r="BF48" s="32">
        <f t="shared" si="0"/>
        <v>119446</v>
      </c>
      <c r="BG48" s="32">
        <f t="shared" si="0"/>
        <v>0</v>
      </c>
      <c r="BH48" s="32">
        <f t="shared" si="0"/>
        <v>173406</v>
      </c>
      <c r="BI48" s="32">
        <f t="shared" si="0"/>
        <v>18078</v>
      </c>
      <c r="BJ48" s="32">
        <f t="shared" si="0"/>
        <v>49407</v>
      </c>
      <c r="BK48" s="32">
        <f t="shared" si="0"/>
        <v>0</v>
      </c>
      <c r="BL48" s="32">
        <f t="shared" si="0"/>
        <v>144319</v>
      </c>
      <c r="BM48" s="32">
        <f t="shared" si="0"/>
        <v>0</v>
      </c>
      <c r="BN48" s="32">
        <f t="shared" si="0"/>
        <v>9017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36688</v>
      </c>
      <c r="BR48" s="32">
        <f t="shared" si="1"/>
        <v>925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46291</v>
      </c>
      <c r="BW48" s="32">
        <f t="shared" si="1"/>
        <v>0</v>
      </c>
      <c r="BX48" s="32">
        <f t="shared" si="1"/>
        <v>0</v>
      </c>
      <c r="BY48" s="32">
        <f t="shared" si="1"/>
        <v>73512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20766</v>
      </c>
      <c r="CD48" s="32">
        <f t="shared" si="1"/>
        <v>0</v>
      </c>
      <c r="CE48" s="32">
        <f>SUM(C48:CD48)</f>
        <v>5016768</v>
      </c>
    </row>
    <row r="49" spans="1:83" x14ac:dyDescent="0.25">
      <c r="A49" s="20" t="s">
        <v>218</v>
      </c>
      <c r="B49" s="32">
        <f>B47+B48</f>
        <v>7911474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2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25">
      <c r="A52" s="39" t="s">
        <v>220</v>
      </c>
      <c r="B52" s="313">
        <v>2265106</v>
      </c>
      <c r="C52" s="32">
        <f>IF($B$52,ROUND(($B$52/($CE$90+$CF$90)*C90),0))</f>
        <v>45102</v>
      </c>
      <c r="D52" s="32">
        <f t="shared" ref="D52:BO52" si="2">IF($B$52,ROUND(($B$52/($CE$90+$CF$90)*D90),0))</f>
        <v>0</v>
      </c>
      <c r="E52" s="32">
        <f t="shared" si="2"/>
        <v>395303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75674</v>
      </c>
      <c r="P52" s="32">
        <f t="shared" si="2"/>
        <v>77491</v>
      </c>
      <c r="Q52" s="32">
        <f t="shared" si="2"/>
        <v>23308</v>
      </c>
      <c r="R52" s="32">
        <f t="shared" si="2"/>
        <v>0</v>
      </c>
      <c r="S52" s="32">
        <f t="shared" si="2"/>
        <v>31259</v>
      </c>
      <c r="T52" s="32">
        <f t="shared" si="2"/>
        <v>0</v>
      </c>
      <c r="U52" s="32">
        <f t="shared" si="2"/>
        <v>0</v>
      </c>
      <c r="V52" s="32">
        <f t="shared" si="2"/>
        <v>51842</v>
      </c>
      <c r="W52" s="32">
        <f t="shared" si="2"/>
        <v>0</v>
      </c>
      <c r="X52" s="32">
        <f t="shared" si="2"/>
        <v>0</v>
      </c>
      <c r="Y52" s="32">
        <f t="shared" si="2"/>
        <v>88267</v>
      </c>
      <c r="Z52" s="32">
        <f t="shared" si="2"/>
        <v>0</v>
      </c>
      <c r="AA52" s="32">
        <f t="shared" si="2"/>
        <v>4722</v>
      </c>
      <c r="AB52" s="32">
        <f t="shared" si="2"/>
        <v>0</v>
      </c>
      <c r="AC52" s="32">
        <f t="shared" si="2"/>
        <v>4964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162892</v>
      </c>
      <c r="AH52" s="32">
        <f t="shared" si="2"/>
        <v>0</v>
      </c>
      <c r="AI52" s="32">
        <f t="shared" si="2"/>
        <v>0</v>
      </c>
      <c r="AJ52" s="32">
        <f t="shared" si="2"/>
        <v>592964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12653</v>
      </c>
      <c r="AW52" s="32">
        <f t="shared" si="2"/>
        <v>0</v>
      </c>
      <c r="AX52" s="32">
        <f t="shared" si="2"/>
        <v>0</v>
      </c>
      <c r="AY52" s="32">
        <f t="shared" si="2"/>
        <v>63284</v>
      </c>
      <c r="AZ52" s="32">
        <f t="shared" si="2"/>
        <v>0</v>
      </c>
      <c r="BA52" s="32">
        <f t="shared" si="2"/>
        <v>13460</v>
      </c>
      <c r="BB52" s="32">
        <f t="shared" si="2"/>
        <v>1957</v>
      </c>
      <c r="BC52" s="32">
        <f t="shared" si="2"/>
        <v>0</v>
      </c>
      <c r="BD52" s="32">
        <f t="shared" si="2"/>
        <v>0</v>
      </c>
      <c r="BE52" s="32">
        <f t="shared" si="2"/>
        <v>157181</v>
      </c>
      <c r="BF52" s="32">
        <f t="shared" si="2"/>
        <v>2240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42458</v>
      </c>
      <c r="BL52" s="32">
        <f t="shared" si="2"/>
        <v>0</v>
      </c>
      <c r="BM52" s="32">
        <f t="shared" si="2"/>
        <v>0</v>
      </c>
      <c r="BN52" s="32">
        <f t="shared" si="2"/>
        <v>334178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53618</v>
      </c>
      <c r="BW52" s="32">
        <f t="shared" si="3"/>
        <v>0</v>
      </c>
      <c r="BX52" s="32">
        <f t="shared" si="3"/>
        <v>0</v>
      </c>
      <c r="BY52" s="32">
        <f t="shared" si="3"/>
        <v>3774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26516</v>
      </c>
      <c r="CD52" s="32">
        <f t="shared" si="3"/>
        <v>0</v>
      </c>
      <c r="CE52" s="32">
        <f>SUM(C52:CD52)</f>
        <v>2265107</v>
      </c>
    </row>
    <row r="53" spans="1:83" x14ac:dyDescent="0.25">
      <c r="A53" s="20" t="s">
        <v>218</v>
      </c>
      <c r="B53" s="32">
        <f>B51+B52</f>
        <v>2265106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2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2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2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2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2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25">
      <c r="A59" s="39" t="s">
        <v>246</v>
      </c>
      <c r="B59" s="32"/>
      <c r="C59" s="24">
        <v>1806</v>
      </c>
      <c r="D59" s="24"/>
      <c r="E59" s="24">
        <v>4444</v>
      </c>
      <c r="F59" s="24"/>
      <c r="G59" s="24"/>
      <c r="H59" s="24"/>
      <c r="I59" s="24"/>
      <c r="J59" s="24">
        <v>322</v>
      </c>
      <c r="K59" s="24"/>
      <c r="L59" s="24"/>
      <c r="M59" s="24"/>
      <c r="N59" s="24"/>
      <c r="O59" s="24">
        <v>235</v>
      </c>
      <c r="P59" s="30">
        <v>155238</v>
      </c>
      <c r="Q59" s="30"/>
      <c r="R59" s="30"/>
      <c r="S59" s="314"/>
      <c r="T59" s="314"/>
      <c r="U59" s="31">
        <v>171757</v>
      </c>
      <c r="V59" s="30">
        <v>1033</v>
      </c>
      <c r="W59" s="30">
        <v>1341</v>
      </c>
      <c r="X59" s="30">
        <v>8769</v>
      </c>
      <c r="Y59" s="30">
        <v>20835</v>
      </c>
      <c r="Z59" s="30"/>
      <c r="AA59" s="30">
        <v>539</v>
      </c>
      <c r="AB59" s="314"/>
      <c r="AC59" s="30">
        <v>16502</v>
      </c>
      <c r="AD59" s="30"/>
      <c r="AE59" s="30">
        <v>14005</v>
      </c>
      <c r="AF59" s="30"/>
      <c r="AG59" s="30">
        <v>15437</v>
      </c>
      <c r="AH59" s="30"/>
      <c r="AI59" s="30">
        <v>3121</v>
      </c>
      <c r="AJ59" s="30">
        <v>48164</v>
      </c>
      <c r="AK59" s="30"/>
      <c r="AL59" s="30">
        <v>7165</v>
      </c>
      <c r="AM59" s="30"/>
      <c r="AN59" s="30"/>
      <c r="AO59" s="30">
        <v>10224</v>
      </c>
      <c r="AP59" s="30"/>
      <c r="AQ59" s="30"/>
      <c r="AR59" s="30"/>
      <c r="AS59" s="30"/>
      <c r="AT59" s="30"/>
      <c r="AU59" s="30"/>
      <c r="AV59" s="314"/>
      <c r="AW59" s="314"/>
      <c r="AX59" s="314"/>
      <c r="AY59" s="30">
        <v>25513</v>
      </c>
      <c r="AZ59" s="30"/>
      <c r="BA59" s="314"/>
      <c r="BB59" s="314"/>
      <c r="BC59" s="314"/>
      <c r="BD59" s="314"/>
      <c r="BE59" s="30">
        <v>112246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25">
      <c r="A60" s="241" t="s">
        <v>247</v>
      </c>
      <c r="B60" s="242"/>
      <c r="C60" s="315">
        <v>12.21</v>
      </c>
      <c r="D60" s="315"/>
      <c r="E60" s="315">
        <f>15.16+13.81</f>
        <v>28.97</v>
      </c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6">
        <v>12.63</v>
      </c>
      <c r="Q60" s="316">
        <v>3.26</v>
      </c>
      <c r="R60" s="316"/>
      <c r="S60" s="317">
        <v>1.31</v>
      </c>
      <c r="T60" s="317"/>
      <c r="U60" s="318">
        <v>24.35</v>
      </c>
      <c r="V60" s="316">
        <v>1.32</v>
      </c>
      <c r="W60" s="316">
        <v>1.85</v>
      </c>
      <c r="X60" s="316">
        <v>1.98</v>
      </c>
      <c r="Y60" s="316">
        <f>11.08+0.25+3.92+7.04</f>
        <v>22.29</v>
      </c>
      <c r="Z60" s="316"/>
      <c r="AA60" s="316"/>
      <c r="AB60" s="317">
        <v>9</v>
      </c>
      <c r="AC60" s="316">
        <v>0.81</v>
      </c>
      <c r="AD60" s="316"/>
      <c r="AE60" s="316">
        <v>5.99</v>
      </c>
      <c r="AF60" s="316"/>
      <c r="AG60" s="316">
        <v>19.899999999999999</v>
      </c>
      <c r="AH60" s="316"/>
      <c r="AI60" s="316">
        <v>5.23</v>
      </c>
      <c r="AJ60" s="316">
        <f>4.45+14.86+6.47+4.98+7.46+3.69+8.36+6.21+2.46+2.01+18.46</f>
        <v>79.41</v>
      </c>
      <c r="AK60" s="316"/>
      <c r="AL60" s="316">
        <f>1.74+1.11</f>
        <v>2.85</v>
      </c>
      <c r="AM60" s="316"/>
      <c r="AN60" s="316"/>
      <c r="AO60" s="316"/>
      <c r="AP60" s="316"/>
      <c r="AQ60" s="316"/>
      <c r="AR60" s="316"/>
      <c r="AS60" s="316"/>
      <c r="AT60" s="316"/>
      <c r="AU60" s="316"/>
      <c r="AV60" s="317">
        <f>4.89+4.76+3.09+1</f>
        <v>13.739999999999998</v>
      </c>
      <c r="AW60" s="317"/>
      <c r="AX60" s="317"/>
      <c r="AY60" s="316">
        <v>7.81</v>
      </c>
      <c r="AZ60" s="316"/>
      <c r="BA60" s="317"/>
      <c r="BB60" s="317"/>
      <c r="BC60" s="317"/>
      <c r="BD60" s="317">
        <v>3.03</v>
      </c>
      <c r="BE60" s="316">
        <v>3.66</v>
      </c>
      <c r="BF60" s="317">
        <v>19.48</v>
      </c>
      <c r="BG60" s="317"/>
      <c r="BH60" s="317">
        <v>16.82</v>
      </c>
      <c r="BI60" s="317">
        <v>0.84</v>
      </c>
      <c r="BJ60" s="317">
        <v>4.51</v>
      </c>
      <c r="BK60" s="317">
        <v>12.84</v>
      </c>
      <c r="BL60" s="317">
        <f>15.15+3.86</f>
        <v>19.010000000000002</v>
      </c>
      <c r="BM60" s="317"/>
      <c r="BN60" s="317">
        <v>0.86</v>
      </c>
      <c r="BO60" s="317"/>
      <c r="BP60" s="317"/>
      <c r="BQ60" s="317">
        <v>2.84</v>
      </c>
      <c r="BR60" s="317">
        <v>0.21</v>
      </c>
      <c r="BS60" s="317"/>
      <c r="BT60" s="317"/>
      <c r="BU60" s="317"/>
      <c r="BV60" s="317">
        <v>6.07</v>
      </c>
      <c r="BW60" s="317"/>
      <c r="BX60" s="317"/>
      <c r="BY60" s="317">
        <v>3.25</v>
      </c>
      <c r="BZ60" s="317"/>
      <c r="CA60" s="317"/>
      <c r="CB60" s="317"/>
      <c r="CC60" s="317">
        <f>0.16+1.09+1-0.03</f>
        <v>2.2200000000000002</v>
      </c>
      <c r="CD60" s="247" t="s">
        <v>233</v>
      </c>
      <c r="CE60" s="268">
        <f t="shared" ref="CE60:CE68" si="4">SUM(C60:CD60)</f>
        <v>350.5499999999999</v>
      </c>
    </row>
    <row r="61" spans="1:83" x14ac:dyDescent="0.25">
      <c r="A61" s="39" t="s">
        <v>248</v>
      </c>
      <c r="B61" s="20"/>
      <c r="C61" s="24">
        <v>1163489</v>
      </c>
      <c r="D61" s="24"/>
      <c r="E61" s="24">
        <f>1282334+1359183+7733</f>
        <v>2649250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30">
        <v>971581</v>
      </c>
      <c r="Q61" s="30">
        <v>472268</v>
      </c>
      <c r="R61" s="30"/>
      <c r="S61" s="319">
        <v>77438</v>
      </c>
      <c r="T61" s="319"/>
      <c r="U61" s="31">
        <v>1556537</v>
      </c>
      <c r="V61" s="30">
        <v>146534</v>
      </c>
      <c r="W61" s="30">
        <v>173249</v>
      </c>
      <c r="X61" s="30">
        <v>193111</v>
      </c>
      <c r="Y61" s="30">
        <f>828690+152556+395555+26903+1422272</f>
        <v>2825976</v>
      </c>
      <c r="Z61" s="30"/>
      <c r="AA61" s="30">
        <v>25737</v>
      </c>
      <c r="AB61" s="30">
        <v>833630</v>
      </c>
      <c r="AC61" s="30"/>
      <c r="AD61" s="30"/>
      <c r="AE61" s="30">
        <v>456390</v>
      </c>
      <c r="AF61" s="30"/>
      <c r="AG61" s="30">
        <v>2774242</v>
      </c>
      <c r="AH61" s="30"/>
      <c r="AI61" s="30">
        <v>573040</v>
      </c>
      <c r="AJ61" s="30">
        <f>432396+1565863+517651+517804+810607+4739+336727+626500+453150+331340+458166+3447969</f>
        <v>9502912</v>
      </c>
      <c r="AK61" s="30"/>
      <c r="AL61" s="30">
        <f>68260+108914</f>
        <v>177174</v>
      </c>
      <c r="AM61" s="30"/>
      <c r="AN61" s="30"/>
      <c r="AO61" s="30"/>
      <c r="AP61" s="30"/>
      <c r="AQ61" s="30"/>
      <c r="AR61" s="30"/>
      <c r="AS61" s="30"/>
      <c r="AT61" s="30"/>
      <c r="AU61" s="30"/>
      <c r="AV61" s="319">
        <f>534627+81308-1422+382915+53120</f>
        <v>1050548</v>
      </c>
      <c r="AW61" s="319"/>
      <c r="AX61" s="319"/>
      <c r="AY61" s="30">
        <v>290995</v>
      </c>
      <c r="AZ61" s="30"/>
      <c r="BA61" s="319"/>
      <c r="BB61" s="319">
        <v>94651</v>
      </c>
      <c r="BC61" s="319"/>
      <c r="BD61" s="319">
        <v>232209</v>
      </c>
      <c r="BE61" s="30">
        <v>259236</v>
      </c>
      <c r="BF61" s="319">
        <v>731884</v>
      </c>
      <c r="BG61" s="319"/>
      <c r="BH61" s="319">
        <v>1062520</v>
      </c>
      <c r="BI61" s="319">
        <v>110768</v>
      </c>
      <c r="BJ61" s="319">
        <v>302735</v>
      </c>
      <c r="BK61" s="319"/>
      <c r="BL61" s="319">
        <f>740598+143692</f>
        <v>884290</v>
      </c>
      <c r="BM61" s="319"/>
      <c r="BN61" s="319">
        <f>54880+369</f>
        <v>55249</v>
      </c>
      <c r="BO61" s="319"/>
      <c r="BP61" s="319"/>
      <c r="BQ61" s="319">
        <v>224800</v>
      </c>
      <c r="BR61" s="319">
        <v>5667</v>
      </c>
      <c r="BS61" s="319"/>
      <c r="BT61" s="319"/>
      <c r="BU61" s="319"/>
      <c r="BV61" s="319">
        <v>283641</v>
      </c>
      <c r="BW61" s="319"/>
      <c r="BX61" s="319"/>
      <c r="BY61" s="319">
        <v>450430</v>
      </c>
      <c r="BZ61" s="319"/>
      <c r="CA61" s="319"/>
      <c r="CB61" s="319"/>
      <c r="CC61" s="319">
        <f>-4089-201+104387+27145-1</f>
        <v>127241</v>
      </c>
      <c r="CD61" s="29" t="s">
        <v>233</v>
      </c>
      <c r="CE61" s="32">
        <f t="shared" si="4"/>
        <v>30739422</v>
      </c>
    </row>
    <row r="62" spans="1:83" x14ac:dyDescent="0.25">
      <c r="A62" s="39" t="s">
        <v>9</v>
      </c>
      <c r="B62" s="20"/>
      <c r="C62" s="32">
        <f>ROUND(C47+C48,0)</f>
        <v>305387</v>
      </c>
      <c r="D62" s="32">
        <f t="shared" ref="D62:BO62" si="5">ROUND(D47+D48,0)</f>
        <v>0</v>
      </c>
      <c r="E62" s="32">
        <f t="shared" si="5"/>
        <v>714398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253026</v>
      </c>
      <c r="Q62" s="32">
        <f t="shared" si="5"/>
        <v>130897</v>
      </c>
      <c r="R62" s="32">
        <f t="shared" si="5"/>
        <v>0</v>
      </c>
      <c r="S62" s="32">
        <f t="shared" si="5"/>
        <v>16890</v>
      </c>
      <c r="T62" s="32">
        <f t="shared" si="5"/>
        <v>0</v>
      </c>
      <c r="U62" s="32">
        <f t="shared" si="5"/>
        <v>414419</v>
      </c>
      <c r="V62" s="32">
        <f t="shared" si="5"/>
        <v>39323</v>
      </c>
      <c r="W62" s="32">
        <f t="shared" si="5"/>
        <v>44486</v>
      </c>
      <c r="X62" s="32">
        <f t="shared" si="5"/>
        <v>51930</v>
      </c>
      <c r="Y62" s="32">
        <f t="shared" si="5"/>
        <v>718469</v>
      </c>
      <c r="Z62" s="32">
        <f t="shared" si="5"/>
        <v>0</v>
      </c>
      <c r="AA62" s="32">
        <f t="shared" si="5"/>
        <v>2683</v>
      </c>
      <c r="AB62" s="32">
        <f t="shared" si="5"/>
        <v>219684</v>
      </c>
      <c r="AC62" s="32">
        <f t="shared" si="5"/>
        <v>0</v>
      </c>
      <c r="AD62" s="32">
        <f t="shared" si="5"/>
        <v>0</v>
      </c>
      <c r="AE62" s="32">
        <f t="shared" si="5"/>
        <v>119149</v>
      </c>
      <c r="AF62" s="32">
        <f t="shared" si="5"/>
        <v>0</v>
      </c>
      <c r="AG62" s="32">
        <f t="shared" si="5"/>
        <v>718719</v>
      </c>
      <c r="AH62" s="32">
        <f t="shared" si="5"/>
        <v>0</v>
      </c>
      <c r="AI62" s="32">
        <f t="shared" si="5"/>
        <v>152119</v>
      </c>
      <c r="AJ62" s="32">
        <f t="shared" si="5"/>
        <v>2270095</v>
      </c>
      <c r="AK62" s="32">
        <f t="shared" si="5"/>
        <v>0</v>
      </c>
      <c r="AL62" s="32">
        <f t="shared" si="5"/>
        <v>51291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276700</v>
      </c>
      <c r="AW62" s="32">
        <f t="shared" si="5"/>
        <v>0</v>
      </c>
      <c r="AX62" s="32">
        <f t="shared" si="5"/>
        <v>0</v>
      </c>
      <c r="AY62" s="32">
        <f t="shared" si="5"/>
        <v>119902</v>
      </c>
      <c r="AZ62" s="32">
        <f t="shared" si="5"/>
        <v>0</v>
      </c>
      <c r="BA62" s="32">
        <f t="shared" si="5"/>
        <v>0</v>
      </c>
      <c r="BB62" s="32">
        <f t="shared" si="5"/>
        <v>27485</v>
      </c>
      <c r="BC62" s="32">
        <f t="shared" si="5"/>
        <v>0</v>
      </c>
      <c r="BD62" s="32">
        <f t="shared" si="5"/>
        <v>58280</v>
      </c>
      <c r="BE62" s="32">
        <f t="shared" si="5"/>
        <v>64163</v>
      </c>
      <c r="BF62" s="32">
        <f t="shared" si="5"/>
        <v>194913</v>
      </c>
      <c r="BG62" s="32">
        <f t="shared" si="5"/>
        <v>0</v>
      </c>
      <c r="BH62" s="32">
        <f t="shared" si="5"/>
        <v>291477</v>
      </c>
      <c r="BI62" s="32">
        <f t="shared" si="5"/>
        <v>26908</v>
      </c>
      <c r="BJ62" s="32">
        <f t="shared" si="5"/>
        <v>79822</v>
      </c>
      <c r="BK62" s="32">
        <f t="shared" si="5"/>
        <v>0</v>
      </c>
      <c r="BL62" s="32">
        <f t="shared" si="5"/>
        <v>232433</v>
      </c>
      <c r="BM62" s="32">
        <f t="shared" si="5"/>
        <v>0</v>
      </c>
      <c r="BN62" s="32">
        <f t="shared" si="5"/>
        <v>15820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63351</v>
      </c>
      <c r="BR62" s="32">
        <f t="shared" si="6"/>
        <v>18807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74131</v>
      </c>
      <c r="BW62" s="32">
        <f t="shared" si="6"/>
        <v>0</v>
      </c>
      <c r="BX62" s="32">
        <f t="shared" si="6"/>
        <v>0</v>
      </c>
      <c r="BY62" s="32">
        <f t="shared" si="6"/>
        <v>114217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30100</v>
      </c>
      <c r="CD62" s="29" t="s">
        <v>233</v>
      </c>
      <c r="CE62" s="32">
        <f t="shared" si="4"/>
        <v>7911474</v>
      </c>
    </row>
    <row r="63" spans="1:83" x14ac:dyDescent="0.25">
      <c r="A63" s="39" t="s">
        <v>249</v>
      </c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>
        <v>1987</v>
      </c>
      <c r="Q63" s="30"/>
      <c r="R63" s="30"/>
      <c r="S63" s="319"/>
      <c r="T63" s="319"/>
      <c r="U63" s="31">
        <v>60118</v>
      </c>
      <c r="V63" s="30"/>
      <c r="W63" s="30"/>
      <c r="X63" s="30"/>
      <c r="Y63" s="30"/>
      <c r="Z63" s="30"/>
      <c r="AA63" s="30"/>
      <c r="AB63" s="320"/>
      <c r="AC63" s="30"/>
      <c r="AD63" s="30"/>
      <c r="AE63" s="30"/>
      <c r="AF63" s="30"/>
      <c r="AG63" s="30">
        <v>861582</v>
      </c>
      <c r="AH63" s="30"/>
      <c r="AI63" s="30"/>
      <c r="AJ63" s="30">
        <f>30920+112389+621+73366+48859+163107</f>
        <v>429262</v>
      </c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9">
        <f>445104+2695</f>
        <v>447799</v>
      </c>
      <c r="AW63" s="319"/>
      <c r="AX63" s="319"/>
      <c r="AY63" s="30"/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/>
      <c r="BK63" s="319"/>
      <c r="BL63" s="319"/>
      <c r="BM63" s="319"/>
      <c r="BN63" s="319">
        <v>6069</v>
      </c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>
        <f>5280+124420+2</f>
        <v>129702</v>
      </c>
      <c r="CD63" s="29" t="s">
        <v>233</v>
      </c>
      <c r="CE63" s="32">
        <f t="shared" si="4"/>
        <v>1936519</v>
      </c>
    </row>
    <row r="64" spans="1:83" x14ac:dyDescent="0.25">
      <c r="A64" s="39" t="s">
        <v>250</v>
      </c>
      <c r="B64" s="20"/>
      <c r="C64" s="24">
        <v>120779</v>
      </c>
      <c r="D64" s="24"/>
      <c r="E64" s="24">
        <f>161909+114241+622+51</f>
        <v>276823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30">
        <v>3532499</v>
      </c>
      <c r="Q64" s="30">
        <v>26894</v>
      </c>
      <c r="R64" s="30">
        <v>103806</v>
      </c>
      <c r="S64" s="319">
        <f>80272-134291+4385</f>
        <v>-49634</v>
      </c>
      <c r="T64" s="319">
        <v>138282</v>
      </c>
      <c r="U64" s="31">
        <v>815839</v>
      </c>
      <c r="V64" s="30">
        <v>1224</v>
      </c>
      <c r="W64" s="30">
        <v>7999</v>
      </c>
      <c r="X64" s="30">
        <v>8260</v>
      </c>
      <c r="Y64" s="30">
        <f>230369+71+3-416+905060</f>
        <v>1135087</v>
      </c>
      <c r="Z64" s="30"/>
      <c r="AA64" s="30">
        <v>94421</v>
      </c>
      <c r="AB64" s="30">
        <f>5028297</f>
        <v>5028297</v>
      </c>
      <c r="AC64" s="30">
        <v>99323</v>
      </c>
      <c r="AD64" s="30">
        <v>36</v>
      </c>
      <c r="AE64" s="30">
        <f>22713</f>
        <v>22713</v>
      </c>
      <c r="AF64" s="30"/>
      <c r="AG64" s="30">
        <f>481102+444</f>
        <v>481546</v>
      </c>
      <c r="AH64" s="30"/>
      <c r="AI64" s="30">
        <v>104823</v>
      </c>
      <c r="AJ64" s="30">
        <f>39569+10010+81672+36276+36688+30828+14484+104597+61224+37811+25052+61807+113</f>
        <v>540131</v>
      </c>
      <c r="AK64" s="30"/>
      <c r="AL64" s="30">
        <f>481+57470</f>
        <v>57951</v>
      </c>
      <c r="AM64" s="30"/>
      <c r="AN64" s="30"/>
      <c r="AO64" s="30"/>
      <c r="AP64" s="30"/>
      <c r="AQ64" s="30"/>
      <c r="AR64" s="30"/>
      <c r="AS64" s="30"/>
      <c r="AT64" s="30"/>
      <c r="AU64" s="30"/>
      <c r="AV64" s="319">
        <f>29315+106807+5425+47256-5504-388906-4900+255+29788</f>
        <v>-180464</v>
      </c>
      <c r="AW64" s="319"/>
      <c r="AX64" s="319"/>
      <c r="AY64" s="30">
        <v>450205</v>
      </c>
      <c r="AZ64" s="30"/>
      <c r="BA64" s="319">
        <v>-66</v>
      </c>
      <c r="BB64" s="319">
        <v>981</v>
      </c>
      <c r="BC64" s="319"/>
      <c r="BD64" s="319">
        <v>-45581</v>
      </c>
      <c r="BE64" s="30">
        <v>20275</v>
      </c>
      <c r="BF64" s="319">
        <v>128297</v>
      </c>
      <c r="BG64" s="319"/>
      <c r="BH64" s="319">
        <v>167612</v>
      </c>
      <c r="BI64" s="319">
        <f>19675+19904</f>
        <v>39579</v>
      </c>
      <c r="BJ64" s="319">
        <v>5672</v>
      </c>
      <c r="BK64" s="319"/>
      <c r="BL64" s="319">
        <v>20312</v>
      </c>
      <c r="BM64" s="319"/>
      <c r="BN64" s="319">
        <v>5716</v>
      </c>
      <c r="BO64" s="319"/>
      <c r="BP64" s="319"/>
      <c r="BQ64" s="319">
        <v>12392</v>
      </c>
      <c r="BR64" s="319">
        <v>6466</v>
      </c>
      <c r="BS64" s="319"/>
      <c r="BT64" s="319"/>
      <c r="BU64" s="319"/>
      <c r="BV64" s="319">
        <v>48556</v>
      </c>
      <c r="BW64" s="319"/>
      <c r="BX64" s="319"/>
      <c r="BY64" s="319">
        <f>8085+364</f>
        <v>8449</v>
      </c>
      <c r="BZ64" s="319"/>
      <c r="CA64" s="319"/>
      <c r="CB64" s="319"/>
      <c r="CC64" s="319">
        <f>2474+10311-27+1654-8-1</f>
        <v>14403</v>
      </c>
      <c r="CD64" s="29" t="s">
        <v>233</v>
      </c>
      <c r="CE64" s="32">
        <f t="shared" si="4"/>
        <v>13249903</v>
      </c>
    </row>
    <row r="65" spans="1:83" x14ac:dyDescent="0.2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>
        <v>120</v>
      </c>
      <c r="V65" s="30"/>
      <c r="W65" s="30"/>
      <c r="X65" s="30"/>
      <c r="Y65" s="30">
        <f>210+5112</f>
        <v>5322</v>
      </c>
      <c r="Z65" s="30"/>
      <c r="AA65" s="30"/>
      <c r="AB65" s="320"/>
      <c r="AC65" s="30"/>
      <c r="AD65" s="30"/>
      <c r="AE65" s="30"/>
      <c r="AF65" s="30"/>
      <c r="AG65" s="30"/>
      <c r="AH65" s="30"/>
      <c r="AI65" s="30"/>
      <c r="AJ65" s="30">
        <f>16034+21119+11714+11162-319+14118+7798+3772+17889+39661+13108+4254+17529</f>
        <v>177839</v>
      </c>
      <c r="AK65" s="30"/>
      <c r="AL65" s="30">
        <v>5863</v>
      </c>
      <c r="AM65" s="30"/>
      <c r="AN65" s="30"/>
      <c r="AO65" s="30"/>
      <c r="AP65" s="30"/>
      <c r="AQ65" s="30"/>
      <c r="AR65" s="30"/>
      <c r="AS65" s="30"/>
      <c r="AT65" s="30"/>
      <c r="AU65" s="30"/>
      <c r="AV65" s="319">
        <f>3741</f>
        <v>3741</v>
      </c>
      <c r="AW65" s="319"/>
      <c r="AX65" s="319"/>
      <c r="AY65" s="30"/>
      <c r="AZ65" s="30"/>
      <c r="BA65" s="319"/>
      <c r="BB65" s="319"/>
      <c r="BC65" s="319"/>
      <c r="BD65" s="319"/>
      <c r="BE65" s="30">
        <v>479968</v>
      </c>
      <c r="BF65" s="319"/>
      <c r="BG65" s="319"/>
      <c r="BH65" s="319">
        <f>148476+19120</f>
        <v>167596</v>
      </c>
      <c r="BI65" s="319">
        <v>2754</v>
      </c>
      <c r="BJ65" s="319"/>
      <c r="BK65" s="319"/>
      <c r="BL65" s="319">
        <v>90</v>
      </c>
      <c r="BM65" s="319"/>
      <c r="BN65" s="319"/>
      <c r="BO65" s="319"/>
      <c r="BP65" s="319"/>
      <c r="BQ65" s="319">
        <v>210</v>
      </c>
      <c r="BR65" s="319"/>
      <c r="BS65" s="319"/>
      <c r="BT65" s="319"/>
      <c r="BU65" s="319"/>
      <c r="BV65" s="319">
        <f>31+1</f>
        <v>32</v>
      </c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843535</v>
      </c>
    </row>
    <row r="66" spans="1:83" x14ac:dyDescent="0.25">
      <c r="A66" s="39" t="s">
        <v>252</v>
      </c>
      <c r="B66" s="20"/>
      <c r="C66" s="24">
        <v>14326</v>
      </c>
      <c r="D66" s="24"/>
      <c r="E66" s="24">
        <f>58385+7508+285+1002966</f>
        <v>1069144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30">
        <v>394516</v>
      </c>
      <c r="Q66" s="30">
        <v>808</v>
      </c>
      <c r="R66" s="30">
        <v>1191621</v>
      </c>
      <c r="S66" s="319">
        <v>22180</v>
      </c>
      <c r="T66" s="319"/>
      <c r="U66" s="31">
        <f>88055-8122</f>
        <v>79933</v>
      </c>
      <c r="V66" s="30">
        <v>9649</v>
      </c>
      <c r="W66" s="30">
        <v>115657</v>
      </c>
      <c r="X66" s="30">
        <v>85756</v>
      </c>
      <c r="Y66" s="30">
        <f>349619+450971+15916+176983+11673</f>
        <v>1005162</v>
      </c>
      <c r="Z66" s="30"/>
      <c r="AA66" s="30">
        <v>59111</v>
      </c>
      <c r="AB66" s="30">
        <f>168686+39631</f>
        <v>208317</v>
      </c>
      <c r="AC66" s="30">
        <v>851154</v>
      </c>
      <c r="AD66" s="30">
        <v>405721</v>
      </c>
      <c r="AE66" s="30">
        <f>14623</f>
        <v>14623</v>
      </c>
      <c r="AF66" s="30"/>
      <c r="AG66" s="30">
        <v>1188384</v>
      </c>
      <c r="AH66" s="30"/>
      <c r="AI66" s="30"/>
      <c r="AJ66" s="30">
        <f>58825+4796+22062+7214+5890+1510+1504826+344720+19006+18457+40567+36523+26980+749134</f>
        <v>2840510</v>
      </c>
      <c r="AK66" s="30"/>
      <c r="AL66" s="30">
        <v>3014</v>
      </c>
      <c r="AM66" s="30"/>
      <c r="AN66" s="30"/>
      <c r="AO66" s="30"/>
      <c r="AP66" s="30"/>
      <c r="AQ66" s="30"/>
      <c r="AR66" s="30"/>
      <c r="AS66" s="30"/>
      <c r="AT66" s="30"/>
      <c r="AU66" s="30"/>
      <c r="AV66" s="319">
        <f>2170-854-787+36369+173701+101164+130</f>
        <v>311893</v>
      </c>
      <c r="AW66" s="319"/>
      <c r="AX66" s="319"/>
      <c r="AY66" s="30">
        <v>26277</v>
      </c>
      <c r="AZ66" s="30"/>
      <c r="BA66" s="319"/>
      <c r="BB66" s="319"/>
      <c r="BC66" s="319"/>
      <c r="BD66" s="319">
        <v>-1827</v>
      </c>
      <c r="BE66" s="30">
        <f>116909+177240</f>
        <v>294149</v>
      </c>
      <c r="BF66" s="319">
        <v>170627</v>
      </c>
      <c r="BG66" s="319"/>
      <c r="BH66" s="319">
        <f>-252084+18742</f>
        <v>-233342</v>
      </c>
      <c r="BI66" s="319">
        <f>2207+8412</f>
        <v>10619</v>
      </c>
      <c r="BJ66" s="319">
        <v>117</v>
      </c>
      <c r="BK66" s="319"/>
      <c r="BL66" s="319"/>
      <c r="BM66" s="319"/>
      <c r="BN66" s="319">
        <v>223126</v>
      </c>
      <c r="BO66" s="319"/>
      <c r="BP66" s="319"/>
      <c r="BQ66" s="319">
        <v>425</v>
      </c>
      <c r="BR66" s="319">
        <v>26558</v>
      </c>
      <c r="BS66" s="319"/>
      <c r="BT66" s="319"/>
      <c r="BU66" s="319"/>
      <c r="BV66" s="319">
        <v>196043</v>
      </c>
      <c r="BW66" s="319"/>
      <c r="BX66" s="319"/>
      <c r="BY66" s="319">
        <f>81808+45800</f>
        <v>127608</v>
      </c>
      <c r="BZ66" s="319"/>
      <c r="CA66" s="319"/>
      <c r="CB66" s="319"/>
      <c r="CC66" s="319">
        <f>2520+138953+49468</f>
        <v>190941</v>
      </c>
      <c r="CD66" s="29" t="s">
        <v>233</v>
      </c>
      <c r="CE66" s="32">
        <f t="shared" si="4"/>
        <v>10902800</v>
      </c>
    </row>
    <row r="67" spans="1:83" x14ac:dyDescent="0.25">
      <c r="A67" s="39" t="s">
        <v>11</v>
      </c>
      <c r="B67" s="20"/>
      <c r="C67" s="32">
        <f t="shared" ref="C67:BN67" si="7">ROUND(C51+C52,0)</f>
        <v>45102</v>
      </c>
      <c r="D67" s="32">
        <f t="shared" si="7"/>
        <v>0</v>
      </c>
      <c r="E67" s="32">
        <f t="shared" si="7"/>
        <v>395303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75674</v>
      </c>
      <c r="P67" s="32">
        <f t="shared" si="7"/>
        <v>77491</v>
      </c>
      <c r="Q67" s="32">
        <f t="shared" si="7"/>
        <v>23308</v>
      </c>
      <c r="R67" s="32">
        <f t="shared" si="7"/>
        <v>0</v>
      </c>
      <c r="S67" s="32">
        <f t="shared" si="7"/>
        <v>31259</v>
      </c>
      <c r="T67" s="32">
        <f t="shared" si="7"/>
        <v>0</v>
      </c>
      <c r="U67" s="32">
        <f t="shared" si="7"/>
        <v>0</v>
      </c>
      <c r="V67" s="32">
        <f t="shared" si="7"/>
        <v>51842</v>
      </c>
      <c r="W67" s="32">
        <f t="shared" si="7"/>
        <v>0</v>
      </c>
      <c r="X67" s="32">
        <f t="shared" si="7"/>
        <v>0</v>
      </c>
      <c r="Y67" s="32">
        <f t="shared" si="7"/>
        <v>88267</v>
      </c>
      <c r="Z67" s="32">
        <f t="shared" si="7"/>
        <v>0</v>
      </c>
      <c r="AA67" s="32">
        <f t="shared" si="7"/>
        <v>4722</v>
      </c>
      <c r="AB67" s="32">
        <f t="shared" si="7"/>
        <v>0</v>
      </c>
      <c r="AC67" s="32">
        <f t="shared" si="7"/>
        <v>4964</v>
      </c>
      <c r="AD67" s="32">
        <f>ROUND(AD51+AD52,0)</f>
        <v>0</v>
      </c>
      <c r="AE67" s="32">
        <f t="shared" si="7"/>
        <v>0</v>
      </c>
      <c r="AF67" s="32">
        <f t="shared" si="7"/>
        <v>0</v>
      </c>
      <c r="AG67" s="32">
        <f t="shared" si="7"/>
        <v>162892</v>
      </c>
      <c r="AH67" s="32">
        <f t="shared" si="7"/>
        <v>0</v>
      </c>
      <c r="AI67" s="32">
        <f t="shared" si="7"/>
        <v>0</v>
      </c>
      <c r="AJ67" s="32">
        <f t="shared" si="7"/>
        <v>592964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12653</v>
      </c>
      <c r="AW67" s="32">
        <f t="shared" si="7"/>
        <v>0</v>
      </c>
      <c r="AX67" s="32">
        <f t="shared" si="7"/>
        <v>0</v>
      </c>
      <c r="AY67" s="32">
        <f t="shared" si="7"/>
        <v>63284</v>
      </c>
      <c r="AZ67" s="32">
        <f t="shared" si="7"/>
        <v>0</v>
      </c>
      <c r="BA67" s="32">
        <f t="shared" si="7"/>
        <v>13460</v>
      </c>
      <c r="BB67" s="32">
        <f t="shared" si="7"/>
        <v>1957</v>
      </c>
      <c r="BC67" s="32">
        <f t="shared" si="7"/>
        <v>0</v>
      </c>
      <c r="BD67" s="32">
        <f t="shared" si="7"/>
        <v>0</v>
      </c>
      <c r="BE67" s="32">
        <f t="shared" si="7"/>
        <v>157181</v>
      </c>
      <c r="BF67" s="32">
        <f t="shared" si="7"/>
        <v>2240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42458</v>
      </c>
      <c r="BL67" s="32">
        <f t="shared" si="7"/>
        <v>0</v>
      </c>
      <c r="BM67" s="32">
        <f t="shared" si="7"/>
        <v>0</v>
      </c>
      <c r="BN67" s="32">
        <f t="shared" si="7"/>
        <v>334178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53618</v>
      </c>
      <c r="BW67" s="32">
        <f t="shared" si="8"/>
        <v>0</v>
      </c>
      <c r="BX67" s="32">
        <f t="shared" si="8"/>
        <v>0</v>
      </c>
      <c r="BY67" s="32">
        <f t="shared" si="8"/>
        <v>3774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26516</v>
      </c>
      <c r="CD67" s="29" t="s">
        <v>233</v>
      </c>
      <c r="CE67" s="32">
        <f t="shared" si="4"/>
        <v>2265107</v>
      </c>
    </row>
    <row r="68" spans="1:83" x14ac:dyDescent="0.25">
      <c r="A68" s="39" t="s">
        <v>253</v>
      </c>
      <c r="B68" s="32"/>
      <c r="C68" s="24">
        <v>8276</v>
      </c>
      <c r="D68" s="24"/>
      <c r="E68" s="24">
        <f>109151+4640</f>
        <v>113791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>
        <v>10928</v>
      </c>
      <c r="Q68" s="30">
        <v>2124</v>
      </c>
      <c r="R68" s="30"/>
      <c r="S68" s="319"/>
      <c r="T68" s="319"/>
      <c r="U68" s="31">
        <v>-2548</v>
      </c>
      <c r="V68" s="30"/>
      <c r="W68" s="30"/>
      <c r="X68" s="30"/>
      <c r="Y68" s="30">
        <f>5377+10825</f>
        <v>16202</v>
      </c>
      <c r="Z68" s="30"/>
      <c r="AA68" s="30"/>
      <c r="AB68" s="30">
        <v>101428</v>
      </c>
      <c r="AC68" s="30">
        <v>41496</v>
      </c>
      <c r="AD68" s="30"/>
      <c r="AE68" s="30">
        <v>36307</v>
      </c>
      <c r="AF68" s="30"/>
      <c r="AG68" s="30">
        <v>8542</v>
      </c>
      <c r="AH68" s="30"/>
      <c r="AI68" s="30"/>
      <c r="AJ68" s="30">
        <f>630+116705+420+420+576+35107+34053+64383+36094+42304+77614+504</f>
        <v>408810</v>
      </c>
      <c r="AK68" s="30"/>
      <c r="AL68" s="30">
        <v>16325</v>
      </c>
      <c r="AM68" s="30"/>
      <c r="AN68" s="30"/>
      <c r="AO68" s="30"/>
      <c r="AP68" s="30"/>
      <c r="AQ68" s="30"/>
      <c r="AR68" s="30"/>
      <c r="AS68" s="30"/>
      <c r="AT68" s="30"/>
      <c r="AU68" s="30"/>
      <c r="AV68" s="319">
        <f>268</f>
        <v>268</v>
      </c>
      <c r="AW68" s="319"/>
      <c r="AX68" s="319"/>
      <c r="AY68" s="30">
        <v>795</v>
      </c>
      <c r="AZ68" s="30"/>
      <c r="BA68" s="319"/>
      <c r="BB68" s="319"/>
      <c r="BC68" s="319"/>
      <c r="BD68" s="319"/>
      <c r="BE68" s="30">
        <v>48717</v>
      </c>
      <c r="BF68" s="319"/>
      <c r="BG68" s="319"/>
      <c r="BH68" s="319">
        <f>86767</f>
        <v>86767</v>
      </c>
      <c r="BI68" s="319"/>
      <c r="BJ68" s="319">
        <v>5</v>
      </c>
      <c r="BK68" s="319"/>
      <c r="BL68" s="319"/>
      <c r="BM68" s="319"/>
      <c r="BN68" s="319">
        <v>100474</v>
      </c>
      <c r="BO68" s="319"/>
      <c r="BP68" s="319"/>
      <c r="BQ68" s="319"/>
      <c r="BR68" s="319"/>
      <c r="BS68" s="319"/>
      <c r="BT68" s="319"/>
      <c r="BU68" s="319"/>
      <c r="BV68" s="319">
        <v>6200</v>
      </c>
      <c r="BW68" s="319"/>
      <c r="BX68" s="319"/>
      <c r="BY68" s="319"/>
      <c r="BZ68" s="319"/>
      <c r="CA68" s="319"/>
      <c r="CB68" s="319"/>
      <c r="CC68" s="319">
        <f>5+1</f>
        <v>6</v>
      </c>
      <c r="CD68" s="29" t="s">
        <v>233</v>
      </c>
      <c r="CE68" s="32">
        <f t="shared" si="4"/>
        <v>1004913</v>
      </c>
    </row>
    <row r="69" spans="1:83" x14ac:dyDescent="0.25">
      <c r="A69" s="39" t="s">
        <v>254</v>
      </c>
      <c r="B69" s="20"/>
      <c r="C69" s="32">
        <f t="shared" ref="C69:BN69" si="9">SUM(C70:C83)</f>
        <v>2071993</v>
      </c>
      <c r="D69" s="32">
        <f t="shared" si="9"/>
        <v>0</v>
      </c>
      <c r="E69" s="32">
        <f t="shared" si="9"/>
        <v>2817587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329295</v>
      </c>
      <c r="Q69" s="32">
        <f t="shared" si="9"/>
        <v>37409</v>
      </c>
      <c r="R69" s="32">
        <f t="shared" si="9"/>
        <v>4035</v>
      </c>
      <c r="S69" s="32">
        <f t="shared" si="9"/>
        <v>-2385</v>
      </c>
      <c r="T69" s="32">
        <f t="shared" si="9"/>
        <v>-454</v>
      </c>
      <c r="U69" s="32">
        <f t="shared" si="9"/>
        <v>1606566</v>
      </c>
      <c r="V69" s="32">
        <f t="shared" si="9"/>
        <v>932</v>
      </c>
      <c r="W69" s="32">
        <f t="shared" si="9"/>
        <v>1326</v>
      </c>
      <c r="X69" s="32">
        <f t="shared" si="9"/>
        <v>224</v>
      </c>
      <c r="Y69" s="32">
        <f t="shared" si="9"/>
        <v>83081</v>
      </c>
      <c r="Z69" s="32">
        <f t="shared" si="9"/>
        <v>0</v>
      </c>
      <c r="AA69" s="32">
        <f t="shared" si="9"/>
        <v>0</v>
      </c>
      <c r="AB69" s="32">
        <f t="shared" si="9"/>
        <v>66854</v>
      </c>
      <c r="AC69" s="32">
        <f t="shared" si="9"/>
        <v>16934</v>
      </c>
      <c r="AD69" s="32">
        <f t="shared" si="9"/>
        <v>0</v>
      </c>
      <c r="AE69" s="32">
        <f t="shared" si="9"/>
        <v>16416</v>
      </c>
      <c r="AF69" s="32">
        <f t="shared" si="9"/>
        <v>0</v>
      </c>
      <c r="AG69" s="32">
        <f t="shared" si="9"/>
        <v>496168</v>
      </c>
      <c r="AH69" s="32">
        <f t="shared" si="9"/>
        <v>0</v>
      </c>
      <c r="AI69" s="32">
        <f t="shared" si="9"/>
        <v>1770</v>
      </c>
      <c r="AJ69" s="32">
        <f t="shared" si="9"/>
        <v>228944</v>
      </c>
      <c r="AK69" s="32">
        <f t="shared" si="9"/>
        <v>0</v>
      </c>
      <c r="AL69" s="32">
        <f>SUM(AL70:AL83)</f>
        <v>6706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400</v>
      </c>
      <c r="AW69" s="32">
        <f t="shared" si="9"/>
        <v>0</v>
      </c>
      <c r="AX69" s="32">
        <f t="shared" si="9"/>
        <v>0</v>
      </c>
      <c r="AY69" s="32">
        <f t="shared" si="9"/>
        <v>45236</v>
      </c>
      <c r="AZ69" s="32">
        <f t="shared" si="9"/>
        <v>0</v>
      </c>
      <c r="BA69" s="32">
        <f t="shared" si="9"/>
        <v>261643</v>
      </c>
      <c r="BB69" s="32">
        <f t="shared" si="9"/>
        <v>30</v>
      </c>
      <c r="BC69" s="32">
        <f t="shared" si="9"/>
        <v>0</v>
      </c>
      <c r="BD69" s="32">
        <f t="shared" si="9"/>
        <v>-275714</v>
      </c>
      <c r="BE69" s="32">
        <f t="shared" si="9"/>
        <v>275773</v>
      </c>
      <c r="BF69" s="32">
        <f t="shared" si="9"/>
        <v>17423</v>
      </c>
      <c r="BG69" s="32">
        <f t="shared" si="9"/>
        <v>0</v>
      </c>
      <c r="BH69" s="32">
        <f t="shared" si="9"/>
        <v>73843</v>
      </c>
      <c r="BI69" s="32">
        <f t="shared" si="9"/>
        <v>22307</v>
      </c>
      <c r="BJ69" s="32">
        <f t="shared" si="9"/>
        <v>31354</v>
      </c>
      <c r="BK69" s="32">
        <f t="shared" si="9"/>
        <v>0</v>
      </c>
      <c r="BL69" s="32">
        <f t="shared" si="9"/>
        <v>2664</v>
      </c>
      <c r="BM69" s="32">
        <f t="shared" si="9"/>
        <v>0</v>
      </c>
      <c r="BN69" s="32">
        <f t="shared" si="9"/>
        <v>14830735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2784</v>
      </c>
      <c r="BR69" s="32">
        <f t="shared" si="10"/>
        <v>7714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7654</v>
      </c>
      <c r="BW69" s="32">
        <f t="shared" si="10"/>
        <v>0</v>
      </c>
      <c r="BX69" s="32">
        <f t="shared" si="10"/>
        <v>0</v>
      </c>
      <c r="BY69" s="32">
        <f t="shared" si="10"/>
        <v>692889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1267798</v>
      </c>
      <c r="CD69" s="32">
        <f t="shared" si="10"/>
        <v>0</v>
      </c>
      <c r="CE69" s="32">
        <f>SUM(CE70:CE84)</f>
        <v>25047934</v>
      </c>
    </row>
    <row r="70" spans="1:83" x14ac:dyDescent="0.2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>
        <v>484051</v>
      </c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484051</v>
      </c>
    </row>
    <row r="71" spans="1:83" x14ac:dyDescent="0.25">
      <c r="A71" s="33" t="s">
        <v>256</v>
      </c>
      <c r="B71" s="34"/>
      <c r="C71" s="274">
        <v>2068448</v>
      </c>
      <c r="D71" s="274"/>
      <c r="E71" s="274">
        <f>2414824+389845</f>
        <v>2804669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>
        <v>151446</v>
      </c>
      <c r="Q71" s="274">
        <v>39041</v>
      </c>
      <c r="R71" s="274"/>
      <c r="S71" s="274"/>
      <c r="T71" s="274"/>
      <c r="U71" s="274">
        <v>199775</v>
      </c>
      <c r="V71" s="274"/>
      <c r="W71" s="274"/>
      <c r="X71" s="274"/>
      <c r="Y71" s="274">
        <v>49476</v>
      </c>
      <c r="Z71" s="274"/>
      <c r="AA71" s="274"/>
      <c r="AB71" s="274"/>
      <c r="AC71" s="274">
        <v>6434</v>
      </c>
      <c r="AD71" s="274"/>
      <c r="AE71" s="274">
        <v>8503</v>
      </c>
      <c r="AF71" s="274"/>
      <c r="AG71" s="274">
        <v>473980</v>
      </c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>
        <v>35100</v>
      </c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>
        <f>653291-1</f>
        <v>653290</v>
      </c>
      <c r="BZ71" s="274"/>
      <c r="CA71" s="274"/>
      <c r="CB71" s="274"/>
      <c r="CC71" s="274"/>
      <c r="CD71" s="274"/>
      <c r="CE71" s="32">
        <f t="shared" ref="CE71:CE85" si="11">SUM(C71:CD71)</f>
        <v>6490162</v>
      </c>
    </row>
    <row r="72" spans="1:83" x14ac:dyDescent="0.2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2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2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>
        <v>261643</v>
      </c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261643</v>
      </c>
    </row>
    <row r="75" spans="1:83" x14ac:dyDescent="0.2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>
        <v>27215</v>
      </c>
      <c r="BK75" s="274"/>
      <c r="BL75" s="274"/>
      <c r="BM75" s="274"/>
      <c r="BN75" s="274">
        <v>122690</v>
      </c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>
        <v>3800</v>
      </c>
      <c r="CD75" s="274"/>
      <c r="CE75" s="32">
        <f t="shared" si="11"/>
        <v>153705</v>
      </c>
    </row>
    <row r="76" spans="1:83" x14ac:dyDescent="0.2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>
        <v>917085</v>
      </c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917085</v>
      </c>
    </row>
    <row r="77" spans="1:83" x14ac:dyDescent="0.25">
      <c r="A77" s="33" t="s">
        <v>262</v>
      </c>
      <c r="B77" s="34"/>
      <c r="C77" s="274">
        <v>3260</v>
      </c>
      <c r="D77" s="274"/>
      <c r="E77" s="274">
        <f>3717-1488+5500</f>
        <v>7729</v>
      </c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>
        <v>88916</v>
      </c>
      <c r="Q77" s="274">
        <v>-1632</v>
      </c>
      <c r="R77" s="274">
        <v>4035</v>
      </c>
      <c r="S77" s="274">
        <f>-3104+719</f>
        <v>-2385</v>
      </c>
      <c r="T77" s="274">
        <v>-454</v>
      </c>
      <c r="U77" s="274">
        <v>-2997</v>
      </c>
      <c r="V77" s="274">
        <v>117</v>
      </c>
      <c r="W77" s="274">
        <v>663</v>
      </c>
      <c r="X77" s="274"/>
      <c r="Y77" s="274">
        <f>3826+282</f>
        <v>4108</v>
      </c>
      <c r="Z77" s="274"/>
      <c r="AA77" s="274"/>
      <c r="AB77" s="274">
        <v>7365</v>
      </c>
      <c r="AC77" s="274">
        <v>10364</v>
      </c>
      <c r="AD77" s="274"/>
      <c r="AE77" s="274">
        <v>99</v>
      </c>
      <c r="AF77" s="274"/>
      <c r="AG77" s="274">
        <v>9321</v>
      </c>
      <c r="AH77" s="274"/>
      <c r="AI77" s="274">
        <v>1770</v>
      </c>
      <c r="AJ77" s="274">
        <f>-25+1425+2131+3109+99+4614+2423+13019+6402+566+113</f>
        <v>33876</v>
      </c>
      <c r="AK77" s="274"/>
      <c r="AL77" s="274">
        <v>485</v>
      </c>
      <c r="AM77" s="274"/>
      <c r="AN77" s="274"/>
      <c r="AO77" s="274"/>
      <c r="AP77" s="274"/>
      <c r="AQ77" s="274"/>
      <c r="AR77" s="274"/>
      <c r="AS77" s="274"/>
      <c r="AT77" s="274"/>
      <c r="AU77" s="274"/>
      <c r="AV77" s="274">
        <f>1314-10968+3681+3625</f>
        <v>-2348</v>
      </c>
      <c r="AW77" s="274"/>
      <c r="AX77" s="274"/>
      <c r="AY77" s="274">
        <v>9406</v>
      </c>
      <c r="AZ77" s="274"/>
      <c r="BA77" s="274"/>
      <c r="BB77" s="274"/>
      <c r="BC77" s="274"/>
      <c r="BD77" s="274">
        <v>772</v>
      </c>
      <c r="BE77" s="274">
        <f>272907+647</f>
        <v>273554</v>
      </c>
      <c r="BF77" s="274">
        <v>3302</v>
      </c>
      <c r="BG77" s="274"/>
      <c r="BH77" s="274">
        <v>41415</v>
      </c>
      <c r="BI77" s="274"/>
      <c r="BJ77" s="274">
        <v>50</v>
      </c>
      <c r="BK77" s="274"/>
      <c r="BL77" s="274"/>
      <c r="BM77" s="274"/>
      <c r="BN77" s="274"/>
      <c r="BO77" s="274"/>
      <c r="BP77" s="274"/>
      <c r="BQ77" s="274">
        <v>2134</v>
      </c>
      <c r="BR77" s="274">
        <v>1986</v>
      </c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>
        <f>8+2</f>
        <v>10</v>
      </c>
      <c r="CD77" s="274"/>
      <c r="CE77" s="32">
        <f t="shared" si="11"/>
        <v>494921</v>
      </c>
    </row>
    <row r="78" spans="1:83" x14ac:dyDescent="0.2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>
        <v>14501192</v>
      </c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14501192</v>
      </c>
    </row>
    <row r="79" spans="1:83" x14ac:dyDescent="0.2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2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2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>
        <v>29</v>
      </c>
      <c r="Q81" s="274"/>
      <c r="R81" s="274"/>
      <c r="S81" s="274"/>
      <c r="T81" s="274"/>
      <c r="U81" s="274">
        <v>6825</v>
      </c>
      <c r="V81" s="274">
        <v>105</v>
      </c>
      <c r="W81" s="274"/>
      <c r="X81" s="274"/>
      <c r="Y81" s="274">
        <f>1545+888+9126</f>
        <v>11559</v>
      </c>
      <c r="Z81" s="274"/>
      <c r="AA81" s="274"/>
      <c r="AB81" s="274">
        <v>7407</v>
      </c>
      <c r="AC81" s="274"/>
      <c r="AD81" s="274"/>
      <c r="AE81" s="274"/>
      <c r="AF81" s="274"/>
      <c r="AG81" s="274"/>
      <c r="AH81" s="274"/>
      <c r="AI81" s="274"/>
      <c r="AJ81" s="274">
        <v>47771</v>
      </c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>
        <v>815</v>
      </c>
      <c r="AZ81" s="274"/>
      <c r="BA81" s="274"/>
      <c r="BB81" s="274">
        <v>30</v>
      </c>
      <c r="BC81" s="274"/>
      <c r="BD81" s="274">
        <v>-94</v>
      </c>
      <c r="BE81" s="274">
        <v>1784</v>
      </c>
      <c r="BF81" s="274"/>
      <c r="BG81" s="274"/>
      <c r="BH81" s="274"/>
      <c r="BI81" s="274"/>
      <c r="BJ81" s="274"/>
      <c r="BK81" s="274"/>
      <c r="BL81" s="274"/>
      <c r="BM81" s="274"/>
      <c r="BN81" s="274">
        <v>-8900</v>
      </c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>
        <f>939362-1</f>
        <v>939361</v>
      </c>
      <c r="CD81" s="274"/>
      <c r="CE81" s="32">
        <f t="shared" si="11"/>
        <v>1006692</v>
      </c>
    </row>
    <row r="82" spans="1:84" x14ac:dyDescent="0.2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25">
      <c r="A83" s="33" t="s">
        <v>268</v>
      </c>
      <c r="B83" s="20"/>
      <c r="C83" s="24">
        <v>285</v>
      </c>
      <c r="D83" s="24"/>
      <c r="E83" s="30">
        <f>1289+901+2999</f>
        <v>5189</v>
      </c>
      <c r="F83" s="30"/>
      <c r="G83" s="24"/>
      <c r="H83" s="24"/>
      <c r="I83" s="30"/>
      <c r="J83" s="30"/>
      <c r="K83" s="30"/>
      <c r="L83" s="30"/>
      <c r="M83" s="24"/>
      <c r="N83" s="24"/>
      <c r="O83" s="24"/>
      <c r="P83" s="30">
        <v>88904</v>
      </c>
      <c r="Q83" s="30"/>
      <c r="R83" s="31"/>
      <c r="S83" s="30"/>
      <c r="T83" s="24"/>
      <c r="U83" s="30">
        <v>1827</v>
      </c>
      <c r="V83" s="30">
        <v>710</v>
      </c>
      <c r="W83" s="24">
        <v>663</v>
      </c>
      <c r="X83" s="30">
        <v>224</v>
      </c>
      <c r="Y83" s="30">
        <f>1559+2151+794+13434</f>
        <v>17938</v>
      </c>
      <c r="Z83" s="30"/>
      <c r="AA83" s="30"/>
      <c r="AB83" s="30">
        <v>52082</v>
      </c>
      <c r="AC83" s="30">
        <v>136</v>
      </c>
      <c r="AD83" s="30"/>
      <c r="AE83" s="30">
        <v>7814</v>
      </c>
      <c r="AF83" s="30"/>
      <c r="AG83" s="30">
        <f>13311-444</f>
        <v>12867</v>
      </c>
      <c r="AH83" s="30"/>
      <c r="AI83" s="30"/>
      <c r="AJ83" s="30">
        <v>147297</v>
      </c>
      <c r="AK83" s="30"/>
      <c r="AL83" s="30">
        <f>232+5989</f>
        <v>6221</v>
      </c>
      <c r="AM83" s="30"/>
      <c r="AN83" s="30"/>
      <c r="AO83" s="24"/>
      <c r="AP83" s="30"/>
      <c r="AQ83" s="24"/>
      <c r="AR83" s="24"/>
      <c r="AS83" s="24"/>
      <c r="AT83" s="24"/>
      <c r="AU83" s="30"/>
      <c r="AV83" s="30">
        <f>1293+1439+16</f>
        <v>2748</v>
      </c>
      <c r="AW83" s="30"/>
      <c r="AX83" s="30"/>
      <c r="AY83" s="30">
        <v>-85</v>
      </c>
      <c r="AZ83" s="30"/>
      <c r="BA83" s="30"/>
      <c r="BB83" s="30"/>
      <c r="BC83" s="30"/>
      <c r="BD83" s="30">
        <v>-276392</v>
      </c>
      <c r="BE83" s="30">
        <v>435</v>
      </c>
      <c r="BF83" s="30">
        <v>14121</v>
      </c>
      <c r="BG83" s="30"/>
      <c r="BH83" s="31">
        <v>32428</v>
      </c>
      <c r="BI83" s="30">
        <f>1350+20957</f>
        <v>22307</v>
      </c>
      <c r="BJ83" s="30">
        <v>4089</v>
      </c>
      <c r="BK83" s="30"/>
      <c r="BL83" s="30">
        <v>2664</v>
      </c>
      <c r="BM83" s="30"/>
      <c r="BN83" s="30">
        <v>215753</v>
      </c>
      <c r="BO83" s="30"/>
      <c r="BP83" s="30"/>
      <c r="BQ83" s="30">
        <v>650</v>
      </c>
      <c r="BR83" s="30">
        <v>5728</v>
      </c>
      <c r="BS83" s="30"/>
      <c r="BT83" s="30"/>
      <c r="BU83" s="30"/>
      <c r="BV83" s="30">
        <v>7654</v>
      </c>
      <c r="BW83" s="30"/>
      <c r="BX83" s="30"/>
      <c r="BY83" s="30">
        <f>37013+2586</f>
        <v>39599</v>
      </c>
      <c r="BZ83" s="30"/>
      <c r="CA83" s="30"/>
      <c r="CB83" s="30"/>
      <c r="CC83" s="30">
        <f>277635+926262+17+682+33684+25698+12-939361+-2</f>
        <v>324627</v>
      </c>
      <c r="CD83" s="35"/>
      <c r="CE83" s="32">
        <f t="shared" si="11"/>
        <v>738483</v>
      </c>
    </row>
    <row r="84" spans="1:84" x14ac:dyDescent="0.2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25">
      <c r="A85" s="39" t="s">
        <v>270</v>
      </c>
      <c r="B85" s="32"/>
      <c r="C85" s="32">
        <f>SUM(C61:C69)-C84</f>
        <v>3729352</v>
      </c>
      <c r="D85" s="32">
        <f t="shared" ref="D85:BO85" si="12">SUM(D61:D69)-D84</f>
        <v>0</v>
      </c>
      <c r="E85" s="32">
        <f t="shared" si="12"/>
        <v>8036296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75674</v>
      </c>
      <c r="P85" s="32">
        <f t="shared" si="12"/>
        <v>5571323</v>
      </c>
      <c r="Q85" s="32">
        <f t="shared" si="12"/>
        <v>693708</v>
      </c>
      <c r="R85" s="32">
        <f t="shared" si="12"/>
        <v>1299462</v>
      </c>
      <c r="S85" s="32">
        <f t="shared" si="12"/>
        <v>95748</v>
      </c>
      <c r="T85" s="32">
        <f t="shared" si="12"/>
        <v>137828</v>
      </c>
      <c r="U85" s="32">
        <f t="shared" si="12"/>
        <v>4530984</v>
      </c>
      <c r="V85" s="32">
        <f t="shared" si="12"/>
        <v>249504</v>
      </c>
      <c r="W85" s="32">
        <f t="shared" si="12"/>
        <v>342717</v>
      </c>
      <c r="X85" s="32">
        <f t="shared" si="12"/>
        <v>339281</v>
      </c>
      <c r="Y85" s="32">
        <f t="shared" si="12"/>
        <v>5877566</v>
      </c>
      <c r="Z85" s="32">
        <f t="shared" si="12"/>
        <v>0</v>
      </c>
      <c r="AA85" s="32">
        <f t="shared" si="12"/>
        <v>186674</v>
      </c>
      <c r="AB85" s="32">
        <f t="shared" si="12"/>
        <v>6458210</v>
      </c>
      <c r="AC85" s="32">
        <f t="shared" si="12"/>
        <v>1013871</v>
      </c>
      <c r="AD85" s="32">
        <f t="shared" si="12"/>
        <v>405757</v>
      </c>
      <c r="AE85" s="32">
        <f t="shared" si="12"/>
        <v>665598</v>
      </c>
      <c r="AF85" s="32">
        <f t="shared" si="12"/>
        <v>0</v>
      </c>
      <c r="AG85" s="32">
        <f t="shared" si="12"/>
        <v>6692075</v>
      </c>
      <c r="AH85" s="32">
        <f t="shared" si="12"/>
        <v>0</v>
      </c>
      <c r="AI85" s="32">
        <f t="shared" si="12"/>
        <v>831752</v>
      </c>
      <c r="AJ85" s="32">
        <f t="shared" si="12"/>
        <v>16991467</v>
      </c>
      <c r="AK85" s="32">
        <f t="shared" si="12"/>
        <v>0</v>
      </c>
      <c r="AL85" s="32">
        <f t="shared" si="12"/>
        <v>318324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1923538</v>
      </c>
      <c r="AW85" s="32">
        <f t="shared" si="12"/>
        <v>0</v>
      </c>
      <c r="AX85" s="32">
        <f t="shared" si="12"/>
        <v>0</v>
      </c>
      <c r="AY85" s="32">
        <f t="shared" si="12"/>
        <v>996694</v>
      </c>
      <c r="AZ85" s="32">
        <f t="shared" si="12"/>
        <v>0</v>
      </c>
      <c r="BA85" s="32">
        <f t="shared" si="12"/>
        <v>275037</v>
      </c>
      <c r="BB85" s="32">
        <f t="shared" si="12"/>
        <v>125104</v>
      </c>
      <c r="BC85" s="32">
        <f t="shared" si="12"/>
        <v>0</v>
      </c>
      <c r="BD85" s="32">
        <f t="shared" si="12"/>
        <v>-32633</v>
      </c>
      <c r="BE85" s="32">
        <f t="shared" si="12"/>
        <v>1599462</v>
      </c>
      <c r="BF85" s="32">
        <f t="shared" si="12"/>
        <v>1245384</v>
      </c>
      <c r="BG85" s="32">
        <f t="shared" si="12"/>
        <v>0</v>
      </c>
      <c r="BH85" s="32">
        <f t="shared" si="12"/>
        <v>1616473</v>
      </c>
      <c r="BI85" s="32">
        <f t="shared" si="12"/>
        <v>212935</v>
      </c>
      <c r="BJ85" s="32">
        <f t="shared" si="12"/>
        <v>419705</v>
      </c>
      <c r="BK85" s="32">
        <f t="shared" si="12"/>
        <v>42458</v>
      </c>
      <c r="BL85" s="32">
        <f t="shared" si="12"/>
        <v>1139789</v>
      </c>
      <c r="BM85" s="32">
        <f t="shared" si="12"/>
        <v>0</v>
      </c>
      <c r="BN85" s="32">
        <f t="shared" si="12"/>
        <v>15571367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303962</v>
      </c>
      <c r="BR85" s="32">
        <f t="shared" si="13"/>
        <v>65212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669875</v>
      </c>
      <c r="BW85" s="32">
        <f t="shared" si="13"/>
        <v>0</v>
      </c>
      <c r="BX85" s="32">
        <f t="shared" si="13"/>
        <v>0</v>
      </c>
      <c r="BY85" s="32">
        <f t="shared" si="13"/>
        <v>1397367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1786707</v>
      </c>
      <c r="CD85" s="32">
        <f t="shared" si="13"/>
        <v>0</v>
      </c>
      <c r="CE85" s="32">
        <f t="shared" si="11"/>
        <v>93901607</v>
      </c>
    </row>
    <row r="86" spans="1:84" x14ac:dyDescent="0.2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/>
    </row>
    <row r="87" spans="1:84" x14ac:dyDescent="0.25">
      <c r="A87" s="26" t="s">
        <v>272</v>
      </c>
      <c r="B87" s="20"/>
      <c r="C87" s="24">
        <v>8267064</v>
      </c>
      <c r="D87" s="24"/>
      <c r="E87" s="24">
        <f>10402638+1765357+1619889+326436</f>
        <v>14114320</v>
      </c>
      <c r="F87" s="24"/>
      <c r="G87" s="24"/>
      <c r="H87" s="24"/>
      <c r="I87" s="24"/>
      <c r="J87" s="24">
        <v>878576</v>
      </c>
      <c r="K87" s="24"/>
      <c r="L87" s="24"/>
      <c r="M87" s="24"/>
      <c r="N87" s="24"/>
      <c r="O87" s="24"/>
      <c r="P87" s="24">
        <v>10850315</v>
      </c>
      <c r="Q87" s="24">
        <v>1294634</v>
      </c>
      <c r="R87" s="24">
        <v>2421810</v>
      </c>
      <c r="S87" s="24">
        <f>1952085+7227338</f>
        <v>9179423</v>
      </c>
      <c r="T87" s="24">
        <v>939520</v>
      </c>
      <c r="U87" s="24">
        <f>9637539+315587</f>
        <v>9953126</v>
      </c>
      <c r="V87" s="24">
        <f>1254244+1835</f>
        <v>1256079</v>
      </c>
      <c r="W87" s="24">
        <v>773411</v>
      </c>
      <c r="X87" s="24">
        <v>4315419</v>
      </c>
      <c r="Y87" s="24">
        <f>926440+337973+367406+6289087</f>
        <v>7920906</v>
      </c>
      <c r="Z87" s="24"/>
      <c r="AA87" s="24">
        <v>106566</v>
      </c>
      <c r="AB87" s="24">
        <v>7277101</v>
      </c>
      <c r="AC87" s="24">
        <v>2386189</v>
      </c>
      <c r="AD87" s="24">
        <v>2046479</v>
      </c>
      <c r="AE87" s="24">
        <v>360194</v>
      </c>
      <c r="AF87" s="24"/>
      <c r="AG87" s="24">
        <f>1831313+233</f>
        <v>1831546</v>
      </c>
      <c r="AH87" s="24"/>
      <c r="AI87" s="24">
        <v>17833</v>
      </c>
      <c r="AJ87" s="24">
        <f>81222+146333+21651+7218+260303+20039-495+843840</f>
        <v>1380111</v>
      </c>
      <c r="AK87" s="24"/>
      <c r="AL87" s="24">
        <v>131237</v>
      </c>
      <c r="AM87" s="24"/>
      <c r="AN87" s="24"/>
      <c r="AO87" s="24">
        <v>2826972</v>
      </c>
      <c r="AP87" s="24"/>
      <c r="AQ87" s="24"/>
      <c r="AR87" s="24"/>
      <c r="AS87" s="24"/>
      <c r="AT87" s="24"/>
      <c r="AU87" s="24"/>
      <c r="AV87" s="24">
        <f>-16767-3711+15230+186897+3481-3</f>
        <v>185127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>SUM(C87:CD87)</f>
        <v>90713958</v>
      </c>
    </row>
    <row r="88" spans="1:84" x14ac:dyDescent="0.25">
      <c r="A88" s="26" t="s">
        <v>273</v>
      </c>
      <c r="B88" s="20"/>
      <c r="C88" s="24">
        <v>15792</v>
      </c>
      <c r="D88" s="24"/>
      <c r="E88" s="24">
        <f>786158+150982+1005+724275+67456</f>
        <v>1729876</v>
      </c>
      <c r="F88" s="24"/>
      <c r="G88" s="24"/>
      <c r="H88" s="24"/>
      <c r="I88" s="24"/>
      <c r="J88" s="24">
        <v>78636</v>
      </c>
      <c r="K88" s="24"/>
      <c r="L88" s="24"/>
      <c r="M88" s="24"/>
      <c r="N88" s="24"/>
      <c r="O88" s="24"/>
      <c r="P88" s="24">
        <v>22158278</v>
      </c>
      <c r="Q88" s="24">
        <v>3435984</v>
      </c>
      <c r="R88" s="24">
        <v>5929382</v>
      </c>
      <c r="S88" s="24">
        <f>2733068+5017153</f>
        <v>7750221</v>
      </c>
      <c r="T88" s="24">
        <v>70526</v>
      </c>
      <c r="U88" s="24">
        <f>28780634+337673</f>
        <v>29118307</v>
      </c>
      <c r="V88" s="24">
        <f>1028888+137104+45</f>
        <v>1166037</v>
      </c>
      <c r="W88" s="24">
        <v>6705908</v>
      </c>
      <c r="X88" s="24">
        <v>17208503</v>
      </c>
      <c r="Y88" s="24">
        <f>13525414+20437+2384035+5324113+75728+58992+1475+5964+4999537</f>
        <v>26395695</v>
      </c>
      <c r="Z88" s="24"/>
      <c r="AA88" s="24">
        <v>789712</v>
      </c>
      <c r="AB88" s="24">
        <f>23065693+102+344528</f>
        <v>23410323</v>
      </c>
      <c r="AC88" s="24">
        <v>1757574</v>
      </c>
      <c r="AD88" s="24">
        <v>133053</v>
      </c>
      <c r="AE88" s="24">
        <f>1986241</f>
        <v>1986241</v>
      </c>
      <c r="AF88" s="24"/>
      <c r="AG88" s="24">
        <v>20991070</v>
      </c>
      <c r="AH88" s="24"/>
      <c r="AI88" s="24">
        <v>1522230</v>
      </c>
      <c r="AJ88" s="24">
        <f>513768+748+2540184+182420+543698+119447+533550+6482+1660845+76790+481763+138808+353+804+962177+1065700+1266104+141685+369627+508+499578+1260140+1843353</f>
        <v>14208532</v>
      </c>
      <c r="AK88" s="24"/>
      <c r="AL88" s="24">
        <f>202008+1534257</f>
        <v>1736265</v>
      </c>
      <c r="AM88" s="24"/>
      <c r="AN88" s="24"/>
      <c r="AO88" s="24">
        <v>355697</v>
      </c>
      <c r="AP88" s="24"/>
      <c r="AQ88" s="24"/>
      <c r="AR88" s="24"/>
      <c r="AS88" s="24"/>
      <c r="AT88" s="24"/>
      <c r="AU88" s="24"/>
      <c r="AV88" s="24">
        <f>531124+1300661+548662+848353+742190-6580-4674-17907+298+598111+1172+1143439+6665-2+3</f>
        <v>5691515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4" si="14">SUM(C88:CD88)</f>
        <v>194345357</v>
      </c>
    </row>
    <row r="89" spans="1:84" x14ac:dyDescent="0.25">
      <c r="A89" s="26" t="s">
        <v>274</v>
      </c>
      <c r="B89" s="20"/>
      <c r="C89" s="32">
        <f>C87+C88</f>
        <v>8282856</v>
      </c>
      <c r="D89" s="32">
        <f t="shared" ref="D89:AV89" si="15">D87+D88</f>
        <v>0</v>
      </c>
      <c r="E89" s="32">
        <f t="shared" si="15"/>
        <v>15844196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957212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33008593</v>
      </c>
      <c r="Q89" s="32">
        <f t="shared" si="15"/>
        <v>4730618</v>
      </c>
      <c r="R89" s="32">
        <f t="shared" si="15"/>
        <v>8351192</v>
      </c>
      <c r="S89" s="32">
        <f t="shared" si="15"/>
        <v>16929644</v>
      </c>
      <c r="T89" s="32">
        <f t="shared" si="15"/>
        <v>1010046</v>
      </c>
      <c r="U89" s="32">
        <f t="shared" si="15"/>
        <v>39071433</v>
      </c>
      <c r="V89" s="32">
        <f t="shared" si="15"/>
        <v>2422116</v>
      </c>
      <c r="W89" s="32">
        <f t="shared" si="15"/>
        <v>7479319</v>
      </c>
      <c r="X89" s="32">
        <f t="shared" si="15"/>
        <v>21523922</v>
      </c>
      <c r="Y89" s="32">
        <f t="shared" si="15"/>
        <v>34316601</v>
      </c>
      <c r="Z89" s="32">
        <f t="shared" si="15"/>
        <v>0</v>
      </c>
      <c r="AA89" s="32">
        <f t="shared" si="15"/>
        <v>896278</v>
      </c>
      <c r="AB89" s="32">
        <f t="shared" si="15"/>
        <v>30687424</v>
      </c>
      <c r="AC89" s="32">
        <f t="shared" si="15"/>
        <v>4143763</v>
      </c>
      <c r="AD89" s="32">
        <f t="shared" si="15"/>
        <v>2179532</v>
      </c>
      <c r="AE89" s="32">
        <f t="shared" si="15"/>
        <v>2346435</v>
      </c>
      <c r="AF89" s="32">
        <f t="shared" si="15"/>
        <v>0</v>
      </c>
      <c r="AG89" s="32">
        <f t="shared" si="15"/>
        <v>22822616</v>
      </c>
      <c r="AH89" s="32">
        <f t="shared" si="15"/>
        <v>0</v>
      </c>
      <c r="AI89" s="32">
        <f t="shared" si="15"/>
        <v>1540063</v>
      </c>
      <c r="AJ89" s="32">
        <f t="shared" si="15"/>
        <v>15588643</v>
      </c>
      <c r="AK89" s="32">
        <f t="shared" si="15"/>
        <v>0</v>
      </c>
      <c r="AL89" s="32">
        <f t="shared" si="15"/>
        <v>1867502</v>
      </c>
      <c r="AM89" s="32">
        <f t="shared" si="15"/>
        <v>0</v>
      </c>
      <c r="AN89" s="32">
        <f t="shared" si="15"/>
        <v>0</v>
      </c>
      <c r="AO89" s="32">
        <f t="shared" si="15"/>
        <v>3182669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5876642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285059315</v>
      </c>
    </row>
    <row r="90" spans="1:84" x14ac:dyDescent="0.25">
      <c r="A90" s="39" t="s">
        <v>275</v>
      </c>
      <c r="B90" s="32"/>
      <c r="C90" s="24">
        <v>2235</v>
      </c>
      <c r="D90" s="24"/>
      <c r="E90" s="24">
        <v>19589</v>
      </c>
      <c r="F90" s="24"/>
      <c r="G90" s="24"/>
      <c r="H90" s="24"/>
      <c r="I90" s="24"/>
      <c r="J90" s="24"/>
      <c r="K90" s="24"/>
      <c r="L90" s="24"/>
      <c r="M90" s="24"/>
      <c r="N90" s="24"/>
      <c r="O90" s="24">
        <v>3750</v>
      </c>
      <c r="P90" s="24">
        <v>3840</v>
      </c>
      <c r="Q90" s="24">
        <v>1155</v>
      </c>
      <c r="R90" s="24"/>
      <c r="S90" s="24">
        <v>1549</v>
      </c>
      <c r="T90" s="24"/>
      <c r="U90" s="24"/>
      <c r="V90" s="24">
        <v>2569</v>
      </c>
      <c r="W90" s="24"/>
      <c r="X90" s="24"/>
      <c r="Y90" s="24">
        <v>4374</v>
      </c>
      <c r="Z90" s="24"/>
      <c r="AA90" s="24">
        <v>234</v>
      </c>
      <c r="AB90" s="24"/>
      <c r="AC90" s="24">
        <v>246</v>
      </c>
      <c r="AD90" s="24"/>
      <c r="AE90" s="24"/>
      <c r="AF90" s="24"/>
      <c r="AG90" s="24">
        <v>8072</v>
      </c>
      <c r="AH90" s="24"/>
      <c r="AI90" s="24"/>
      <c r="AJ90" s="24">
        <v>29384</v>
      </c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>
        <v>627</v>
      </c>
      <c r="AW90" s="24"/>
      <c r="AX90" s="24"/>
      <c r="AY90" s="24">
        <v>3136</v>
      </c>
      <c r="AZ90" s="24"/>
      <c r="BA90" s="24">
        <v>667</v>
      </c>
      <c r="BB90" s="24">
        <v>97</v>
      </c>
      <c r="BC90" s="24"/>
      <c r="BD90" s="24"/>
      <c r="BE90" s="24">
        <v>7789</v>
      </c>
      <c r="BF90" s="24">
        <v>111</v>
      </c>
      <c r="BG90" s="24"/>
      <c r="BH90" s="24"/>
      <c r="BI90" s="24"/>
      <c r="BJ90" s="24"/>
      <c r="BK90" s="24">
        <v>2104</v>
      </c>
      <c r="BL90" s="24"/>
      <c r="BM90" s="24"/>
      <c r="BN90" s="24">
        <v>16560</v>
      </c>
      <c r="BO90" s="24"/>
      <c r="BP90" s="24"/>
      <c r="BQ90" s="24"/>
      <c r="BR90" s="24"/>
      <c r="BS90" s="24"/>
      <c r="BT90" s="24"/>
      <c r="BU90" s="24"/>
      <c r="BV90" s="24">
        <v>2657</v>
      </c>
      <c r="BW90" s="24"/>
      <c r="BX90" s="24"/>
      <c r="BY90" s="24">
        <v>187</v>
      </c>
      <c r="BZ90" s="24"/>
      <c r="CA90" s="24"/>
      <c r="CB90" s="24"/>
      <c r="CC90" s="24">
        <v>1314</v>
      </c>
      <c r="CD90" s="264" t="s">
        <v>233</v>
      </c>
      <c r="CE90" s="32">
        <f t="shared" si="14"/>
        <v>112246</v>
      </c>
      <c r="CF90" s="32">
        <f>BE59-CE90</f>
        <v>0</v>
      </c>
    </row>
    <row r="91" spans="1:84" x14ac:dyDescent="0.25">
      <c r="A91" s="26" t="s">
        <v>276</v>
      </c>
      <c r="B91" s="20"/>
      <c r="C91" s="24">
        <f>1485+1531+1506</f>
        <v>4522</v>
      </c>
      <c r="D91" s="24"/>
      <c r="E91" s="24">
        <f>14015+5054</f>
        <v>19069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>
        <v>1922</v>
      </c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25513</v>
      </c>
      <c r="CF91" s="32">
        <f>AY59-CE91</f>
        <v>0</v>
      </c>
    </row>
    <row r="92" spans="1:84" x14ac:dyDescent="0.25">
      <c r="A92" s="26" t="s">
        <v>277</v>
      </c>
      <c r="B92" s="20"/>
      <c r="C92" s="24">
        <v>2315</v>
      </c>
      <c r="D92" s="24"/>
      <c r="E92" s="24">
        <v>9100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>
        <v>3473</v>
      </c>
      <c r="Q92" s="24">
        <v>546</v>
      </c>
      <c r="R92" s="24"/>
      <c r="S92" s="24">
        <v>438</v>
      </c>
      <c r="T92" s="24"/>
      <c r="U92" s="24">
        <v>893</v>
      </c>
      <c r="V92" s="24">
        <v>156</v>
      </c>
      <c r="W92" s="24">
        <v>174</v>
      </c>
      <c r="X92" s="24"/>
      <c r="Y92" s="24">
        <v>1626</v>
      </c>
      <c r="Z92" s="24"/>
      <c r="AA92" s="24"/>
      <c r="AB92" s="24">
        <v>336</v>
      </c>
      <c r="AC92" s="24">
        <v>486</v>
      </c>
      <c r="AD92" s="24"/>
      <c r="AE92" s="24">
        <v>540</v>
      </c>
      <c r="AF92" s="24"/>
      <c r="AG92" s="24">
        <v>4247</v>
      </c>
      <c r="AH92" s="24"/>
      <c r="AI92" s="24">
        <v>1242</v>
      </c>
      <c r="AJ92" s="24">
        <v>10323</v>
      </c>
      <c r="AK92" s="24"/>
      <c r="AL92" s="24">
        <v>1476</v>
      </c>
      <c r="AM92" s="24"/>
      <c r="AN92" s="24"/>
      <c r="AO92" s="24"/>
      <c r="AP92" s="24"/>
      <c r="AQ92" s="24"/>
      <c r="AR92" s="24"/>
      <c r="AS92" s="24"/>
      <c r="AT92" s="24"/>
      <c r="AU92" s="24"/>
      <c r="AV92" s="24">
        <v>1391</v>
      </c>
      <c r="AW92" s="24"/>
      <c r="AX92" s="321" t="s">
        <v>233</v>
      </c>
      <c r="AY92" s="321" t="s">
        <v>233</v>
      </c>
      <c r="AZ92" s="29"/>
      <c r="BA92" s="24"/>
      <c r="BB92" s="24"/>
      <c r="BC92" s="24"/>
      <c r="BD92" s="29" t="s">
        <v>233</v>
      </c>
      <c r="BE92" s="29" t="s">
        <v>233</v>
      </c>
      <c r="BF92" s="29"/>
      <c r="BG92" s="29"/>
      <c r="BH92" s="24"/>
      <c r="BI92" s="24"/>
      <c r="BJ92" s="29" t="s">
        <v>233</v>
      </c>
      <c r="BK92" s="24">
        <v>540</v>
      </c>
      <c r="BL92" s="24">
        <v>924</v>
      </c>
      <c r="BM92" s="24">
        <v>150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/>
      <c r="BT92" s="24"/>
      <c r="BU92" s="24"/>
      <c r="BV92" s="24">
        <v>150</v>
      </c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40526</v>
      </c>
      <c r="CF92" s="20"/>
    </row>
    <row r="93" spans="1:84" x14ac:dyDescent="0.25">
      <c r="A93" s="26" t="s">
        <v>278</v>
      </c>
      <c r="B93" s="20"/>
      <c r="C93" s="24">
        <v>53368.26</v>
      </c>
      <c r="D93" s="24"/>
      <c r="E93" s="24">
        <f>88346.3+42779.1+2084.04</f>
        <v>133209.44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>
        <v>27120.65</v>
      </c>
      <c r="Q93" s="24">
        <v>13349.11</v>
      </c>
      <c r="R93" s="24"/>
      <c r="S93" s="24">
        <v>337.95</v>
      </c>
      <c r="T93" s="24"/>
      <c r="U93" s="24">
        <v>140.81</v>
      </c>
      <c r="V93" s="24">
        <v>929.37</v>
      </c>
      <c r="W93" s="24">
        <v>2731.78</v>
      </c>
      <c r="X93" s="24">
        <v>3520.33</v>
      </c>
      <c r="Y93" s="24">
        <f>16419+9124.71+957.53+8448.8+1182.83</f>
        <v>36132.869999999995</v>
      </c>
      <c r="Z93" s="24"/>
      <c r="AA93" s="24"/>
      <c r="AB93" s="24"/>
      <c r="AC93" s="24"/>
      <c r="AD93" s="24"/>
      <c r="AE93" s="24"/>
      <c r="AF93" s="24"/>
      <c r="AG93" s="24">
        <v>84825.96</v>
      </c>
      <c r="AH93" s="24"/>
      <c r="AI93" s="24">
        <v>20051.82</v>
      </c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>
        <f>929.37+4843.98+1464.46</f>
        <v>7237.8099999999995</v>
      </c>
      <c r="AW93" s="24"/>
      <c r="AX93" s="321" t="s">
        <v>233</v>
      </c>
      <c r="AY93" s="321" t="s">
        <v>233</v>
      </c>
      <c r="AZ93" s="29"/>
      <c r="BA93" s="29"/>
      <c r="BB93" s="24"/>
      <c r="BC93" s="24"/>
      <c r="BD93" s="29" t="s">
        <v>233</v>
      </c>
      <c r="BE93" s="29" t="s">
        <v>233</v>
      </c>
      <c r="BF93" s="29"/>
      <c r="BG93" s="29"/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382956.16000000003</v>
      </c>
      <c r="CF93" s="32">
        <f>BA59</f>
        <v>0</v>
      </c>
    </row>
    <row r="94" spans="1:84" x14ac:dyDescent="0.25">
      <c r="A94" s="26" t="s">
        <v>279</v>
      </c>
      <c r="B94" s="20"/>
      <c r="C94" s="315">
        <v>12.21</v>
      </c>
      <c r="D94" s="315"/>
      <c r="E94" s="315">
        <v>28.97</v>
      </c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6">
        <v>12.63</v>
      </c>
      <c r="Q94" s="316">
        <v>3.26</v>
      </c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>
        <v>19.899999999999999</v>
      </c>
      <c r="AH94" s="316"/>
      <c r="AI94" s="316">
        <v>5.23</v>
      </c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82.2</v>
      </c>
      <c r="CF94" s="37"/>
    </row>
    <row r="95" spans="1:84" x14ac:dyDescent="0.25">
      <c r="A95" s="38" t="s">
        <v>280</v>
      </c>
      <c r="B95" s="38"/>
      <c r="C95" s="38"/>
      <c r="D95" s="38"/>
      <c r="E95" s="38"/>
    </row>
    <row r="96" spans="1:84" x14ac:dyDescent="0.2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2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2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2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25">
      <c r="A100" s="32" t="s">
        <v>287</v>
      </c>
      <c r="B100" s="40" t="s">
        <v>284</v>
      </c>
      <c r="C100" s="41" t="s">
        <v>1377</v>
      </c>
      <c r="D100" s="42"/>
      <c r="E100" s="43"/>
      <c r="F100" s="16"/>
    </row>
    <row r="101" spans="1:6" x14ac:dyDescent="0.25">
      <c r="A101" s="32" t="s">
        <v>288</v>
      </c>
      <c r="B101" s="40" t="s">
        <v>284</v>
      </c>
      <c r="C101" s="41" t="s">
        <v>1378</v>
      </c>
      <c r="D101" s="42"/>
      <c r="E101" s="43"/>
      <c r="F101" s="16"/>
    </row>
    <row r="102" spans="1:6" x14ac:dyDescent="0.25">
      <c r="A102" s="32" t="s">
        <v>289</v>
      </c>
      <c r="B102" s="40" t="s">
        <v>284</v>
      </c>
      <c r="C102" s="325">
        <v>98944</v>
      </c>
      <c r="D102" s="42"/>
      <c r="E102" s="43"/>
      <c r="F102" s="16"/>
    </row>
    <row r="103" spans="1:6" x14ac:dyDescent="0.2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25">
      <c r="A104" s="32" t="s">
        <v>291</v>
      </c>
      <c r="B104" s="40" t="s">
        <v>284</v>
      </c>
      <c r="C104" s="326" t="s">
        <v>1379</v>
      </c>
      <c r="D104" s="42"/>
      <c r="E104" s="43"/>
      <c r="F104" s="16"/>
    </row>
    <row r="105" spans="1:6" x14ac:dyDescent="0.2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25">
      <c r="A106" s="32" t="s">
        <v>293</v>
      </c>
      <c r="B106" s="40" t="s">
        <v>284</v>
      </c>
      <c r="C106" s="41" t="s">
        <v>1384</v>
      </c>
      <c r="D106" s="42"/>
      <c r="E106" s="43"/>
      <c r="F106" s="16"/>
    </row>
    <row r="107" spans="1:6" x14ac:dyDescent="0.25">
      <c r="A107" s="32" t="s">
        <v>294</v>
      </c>
      <c r="B107" s="40" t="s">
        <v>284</v>
      </c>
      <c r="C107" s="343" t="s">
        <v>1380</v>
      </c>
      <c r="D107" s="42"/>
      <c r="E107" s="43"/>
      <c r="F107" s="16"/>
    </row>
    <row r="108" spans="1:6" x14ac:dyDescent="0.25">
      <c r="A108" s="32" t="s">
        <v>295</v>
      </c>
      <c r="B108" s="40" t="s">
        <v>284</v>
      </c>
      <c r="C108" s="343" t="s">
        <v>1381</v>
      </c>
      <c r="D108" s="42"/>
      <c r="E108" s="43"/>
      <c r="F108" s="16"/>
    </row>
    <row r="109" spans="1:6" x14ac:dyDescent="0.25">
      <c r="A109" s="44" t="s">
        <v>296</v>
      </c>
      <c r="B109" s="40" t="s">
        <v>284</v>
      </c>
      <c r="C109" s="41" t="s">
        <v>1382</v>
      </c>
      <c r="D109" s="42"/>
      <c r="E109" s="43"/>
      <c r="F109" s="16"/>
    </row>
    <row r="110" spans="1:6" x14ac:dyDescent="0.25">
      <c r="A110" s="44" t="s">
        <v>297</v>
      </c>
      <c r="B110" s="40" t="s">
        <v>284</v>
      </c>
      <c r="C110" s="344" t="s">
        <v>1383</v>
      </c>
      <c r="D110" s="42"/>
      <c r="E110" s="43"/>
      <c r="F110" s="16"/>
    </row>
    <row r="111" spans="1:6" x14ac:dyDescent="0.25">
      <c r="A111" s="38" t="s">
        <v>298</v>
      </c>
      <c r="B111" s="38"/>
      <c r="C111" s="38"/>
      <c r="D111" s="38"/>
      <c r="E111" s="38"/>
    </row>
    <row r="112" spans="1:6" x14ac:dyDescent="0.25">
      <c r="A112" s="45" t="s">
        <v>299</v>
      </c>
      <c r="B112" s="45"/>
      <c r="C112" s="45"/>
      <c r="D112" s="45"/>
      <c r="E112" s="45"/>
    </row>
    <row r="113" spans="1:5" x14ac:dyDescent="0.25">
      <c r="A113" s="20" t="s">
        <v>288</v>
      </c>
      <c r="B113" s="46" t="s">
        <v>284</v>
      </c>
      <c r="C113" s="47"/>
      <c r="D113" s="20"/>
      <c r="E113" s="20"/>
    </row>
    <row r="114" spans="1:5" x14ac:dyDescent="0.25">
      <c r="A114" s="20" t="s">
        <v>290</v>
      </c>
      <c r="B114" s="46" t="s">
        <v>284</v>
      </c>
      <c r="C114" s="47"/>
      <c r="D114" s="20"/>
      <c r="E114" s="20"/>
    </row>
    <row r="115" spans="1:5" x14ac:dyDescent="0.25">
      <c r="A115" s="20" t="s">
        <v>300</v>
      </c>
      <c r="B115" s="46" t="s">
        <v>284</v>
      </c>
      <c r="C115" s="47"/>
      <c r="D115" s="20"/>
      <c r="E115" s="20"/>
    </row>
    <row r="116" spans="1:5" x14ac:dyDescent="0.25">
      <c r="A116" s="45" t="s">
        <v>301</v>
      </c>
      <c r="B116" s="45"/>
      <c r="C116" s="45"/>
      <c r="D116" s="45"/>
      <c r="E116" s="45"/>
    </row>
    <row r="117" spans="1:5" x14ac:dyDescent="0.25">
      <c r="A117" s="20" t="s">
        <v>302</v>
      </c>
      <c r="B117" s="46" t="s">
        <v>284</v>
      </c>
      <c r="C117" s="47"/>
      <c r="D117" s="20"/>
      <c r="E117" s="20"/>
    </row>
    <row r="118" spans="1:5" x14ac:dyDescent="0.2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25">
      <c r="A119" s="45" t="s">
        <v>303</v>
      </c>
      <c r="B119" s="45"/>
      <c r="C119" s="45"/>
      <c r="D119" s="45"/>
      <c r="E119" s="45"/>
    </row>
    <row r="120" spans="1:5" x14ac:dyDescent="0.25">
      <c r="A120" s="20" t="s">
        <v>304</v>
      </c>
      <c r="B120" s="46" t="s">
        <v>284</v>
      </c>
      <c r="C120" s="47"/>
      <c r="D120" s="20"/>
      <c r="E120" s="20"/>
    </row>
    <row r="121" spans="1:5" x14ac:dyDescent="0.25">
      <c r="A121" s="20" t="s">
        <v>305</v>
      </c>
      <c r="B121" s="46" t="s">
        <v>284</v>
      </c>
      <c r="C121" s="47"/>
      <c r="D121" s="20"/>
      <c r="E121" s="20"/>
    </row>
    <row r="122" spans="1:5" x14ac:dyDescent="0.25">
      <c r="A122" s="20" t="s">
        <v>306</v>
      </c>
      <c r="B122" s="46" t="s">
        <v>284</v>
      </c>
      <c r="C122" s="47"/>
      <c r="D122" s="20"/>
      <c r="E122" s="20"/>
    </row>
    <row r="123" spans="1:5" x14ac:dyDescent="0.25">
      <c r="A123" s="20"/>
      <c r="B123" s="46"/>
      <c r="C123" s="48"/>
      <c r="D123" s="20"/>
      <c r="E123" s="20"/>
    </row>
    <row r="124" spans="1:5" x14ac:dyDescent="0.25">
      <c r="A124" s="49" t="s">
        <v>307</v>
      </c>
      <c r="B124" s="38"/>
      <c r="C124" s="38"/>
      <c r="D124" s="38"/>
      <c r="E124" s="38"/>
    </row>
    <row r="125" spans="1:5" x14ac:dyDescent="0.25">
      <c r="A125" s="20"/>
      <c r="B125" s="46"/>
      <c r="C125" s="48"/>
      <c r="D125" s="20"/>
      <c r="E125" s="20"/>
    </row>
    <row r="126" spans="1:5" x14ac:dyDescent="0.2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25">
      <c r="A127" s="20" t="s">
        <v>310</v>
      </c>
      <c r="B127" s="46" t="s">
        <v>284</v>
      </c>
      <c r="C127" s="47">
        <v>1338</v>
      </c>
      <c r="D127" s="50">
        <v>6250</v>
      </c>
      <c r="E127" s="20"/>
    </row>
    <row r="128" spans="1:5" x14ac:dyDescent="0.25">
      <c r="A128" s="20" t="s">
        <v>311</v>
      </c>
      <c r="B128" s="46" t="s">
        <v>284</v>
      </c>
      <c r="C128" s="47"/>
      <c r="D128" s="50"/>
      <c r="E128" s="20"/>
    </row>
    <row r="129" spans="1:5" x14ac:dyDescent="0.25">
      <c r="A129" s="20" t="s">
        <v>312</v>
      </c>
      <c r="B129" s="46" t="s">
        <v>284</v>
      </c>
      <c r="C129" s="47"/>
      <c r="D129" s="50"/>
      <c r="E129" s="20"/>
    </row>
    <row r="130" spans="1:5" x14ac:dyDescent="0.25">
      <c r="A130" s="20" t="s">
        <v>313</v>
      </c>
      <c r="B130" s="46" t="s">
        <v>284</v>
      </c>
      <c r="C130" s="47">
        <v>235</v>
      </c>
      <c r="D130" s="50">
        <v>322</v>
      </c>
      <c r="E130" s="20"/>
    </row>
    <row r="131" spans="1:5" x14ac:dyDescent="0.25">
      <c r="A131" s="26" t="s">
        <v>314</v>
      </c>
      <c r="B131" s="20"/>
      <c r="C131" s="21" t="s">
        <v>179</v>
      </c>
      <c r="D131" s="20"/>
      <c r="E131" s="20"/>
    </row>
    <row r="132" spans="1:5" x14ac:dyDescent="0.25">
      <c r="A132" s="20" t="s">
        <v>315</v>
      </c>
      <c r="B132" s="46" t="s">
        <v>284</v>
      </c>
      <c r="C132" s="47">
        <v>7</v>
      </c>
      <c r="D132" s="20"/>
      <c r="E132" s="20"/>
    </row>
    <row r="133" spans="1:5" x14ac:dyDescent="0.25">
      <c r="A133" s="20" t="s">
        <v>316</v>
      </c>
      <c r="B133" s="46" t="s">
        <v>284</v>
      </c>
      <c r="C133" s="47"/>
      <c r="D133" s="20"/>
      <c r="E133" s="20"/>
    </row>
    <row r="134" spans="1:5" x14ac:dyDescent="0.25">
      <c r="A134" s="20" t="s">
        <v>317</v>
      </c>
      <c r="B134" s="46" t="s">
        <v>284</v>
      </c>
      <c r="C134" s="47">
        <v>14</v>
      </c>
      <c r="D134" s="20"/>
      <c r="E134" s="20"/>
    </row>
    <row r="135" spans="1:5" x14ac:dyDescent="0.25">
      <c r="A135" s="20" t="s">
        <v>318</v>
      </c>
      <c r="B135" s="46" t="s">
        <v>284</v>
      </c>
      <c r="C135" s="47"/>
      <c r="D135" s="20"/>
      <c r="E135" s="20"/>
    </row>
    <row r="136" spans="1:5" x14ac:dyDescent="0.25">
      <c r="A136" s="20" t="s">
        <v>319</v>
      </c>
      <c r="B136" s="46" t="s">
        <v>284</v>
      </c>
      <c r="C136" s="47">
        <v>4</v>
      </c>
      <c r="D136" s="20"/>
      <c r="E136" s="20"/>
    </row>
    <row r="137" spans="1:5" x14ac:dyDescent="0.25">
      <c r="A137" s="20" t="s">
        <v>320</v>
      </c>
      <c r="B137" s="46" t="s">
        <v>284</v>
      </c>
      <c r="C137" s="47"/>
      <c r="D137" s="20"/>
      <c r="E137" s="20"/>
    </row>
    <row r="138" spans="1:5" x14ac:dyDescent="0.25">
      <c r="A138" s="20" t="s">
        <v>108</v>
      </c>
      <c r="B138" s="46" t="s">
        <v>284</v>
      </c>
      <c r="C138" s="47"/>
      <c r="D138" s="20"/>
      <c r="E138" s="20"/>
    </row>
    <row r="139" spans="1:5" x14ac:dyDescent="0.25">
      <c r="A139" s="20" t="s">
        <v>321</v>
      </c>
      <c r="B139" s="46" t="s">
        <v>284</v>
      </c>
      <c r="C139" s="47"/>
      <c r="D139" s="20"/>
      <c r="E139" s="20"/>
    </row>
    <row r="140" spans="1:5" x14ac:dyDescent="0.25">
      <c r="A140" s="20" t="s">
        <v>322</v>
      </c>
      <c r="B140" s="46"/>
      <c r="C140" s="47"/>
      <c r="D140" s="20"/>
      <c r="E140" s="20"/>
    </row>
    <row r="141" spans="1:5" x14ac:dyDescent="0.25">
      <c r="A141" s="20" t="s">
        <v>312</v>
      </c>
      <c r="B141" s="46" t="s">
        <v>284</v>
      </c>
      <c r="C141" s="47"/>
      <c r="D141" s="20"/>
      <c r="E141" s="20"/>
    </row>
    <row r="142" spans="1:5" x14ac:dyDescent="0.25">
      <c r="A142" s="20" t="s">
        <v>323</v>
      </c>
      <c r="B142" s="46" t="s">
        <v>284</v>
      </c>
      <c r="C142" s="47"/>
      <c r="D142" s="20"/>
      <c r="E142" s="20"/>
    </row>
    <row r="143" spans="1:5" x14ac:dyDescent="0.2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25">
      <c r="A144" s="20" t="s">
        <v>325</v>
      </c>
      <c r="B144" s="46" t="s">
        <v>284</v>
      </c>
      <c r="C144" s="47">
        <v>38</v>
      </c>
      <c r="D144" s="20"/>
      <c r="E144" s="20"/>
    </row>
    <row r="145" spans="1:6" x14ac:dyDescent="0.25">
      <c r="A145" s="20" t="s">
        <v>326</v>
      </c>
      <c r="B145" s="46" t="s">
        <v>284</v>
      </c>
      <c r="C145" s="47">
        <v>6</v>
      </c>
      <c r="D145" s="20"/>
      <c r="E145" s="20"/>
    </row>
    <row r="146" spans="1:6" x14ac:dyDescent="0.25">
      <c r="A146" s="20"/>
      <c r="B146" s="20"/>
      <c r="C146" s="27"/>
      <c r="D146" s="20"/>
      <c r="E146" s="20"/>
    </row>
    <row r="147" spans="1:6" x14ac:dyDescent="0.25">
      <c r="A147" s="20" t="s">
        <v>327</v>
      </c>
      <c r="B147" s="46" t="s">
        <v>284</v>
      </c>
      <c r="C147" s="47"/>
      <c r="D147" s="20"/>
      <c r="E147" s="20"/>
    </row>
    <row r="148" spans="1:6" x14ac:dyDescent="0.25">
      <c r="A148" s="20"/>
      <c r="B148" s="20"/>
      <c r="C148" s="2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38" t="s">
        <v>328</v>
      </c>
      <c r="B152" s="49"/>
      <c r="C152" s="49"/>
      <c r="D152" s="49"/>
      <c r="E152" s="49"/>
    </row>
    <row r="153" spans="1:6" x14ac:dyDescent="0.2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25">
      <c r="A154" s="20" t="s">
        <v>309</v>
      </c>
      <c r="B154" s="50">
        <v>728</v>
      </c>
      <c r="C154" s="50">
        <v>343</v>
      </c>
      <c r="D154" s="50">
        <v>267</v>
      </c>
      <c r="E154" s="32">
        <f>SUM(B154:D154)</f>
        <v>1338</v>
      </c>
    </row>
    <row r="155" spans="1:6" x14ac:dyDescent="0.25">
      <c r="A155" s="20" t="s">
        <v>227</v>
      </c>
      <c r="B155" s="50">
        <v>3407</v>
      </c>
      <c r="C155" s="50">
        <v>1606</v>
      </c>
      <c r="D155" s="50">
        <v>1237</v>
      </c>
      <c r="E155" s="32">
        <f>SUM(B155:D155)</f>
        <v>6250</v>
      </c>
    </row>
    <row r="156" spans="1:6" x14ac:dyDescent="0.2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25">
      <c r="A157" s="20" t="s">
        <v>272</v>
      </c>
      <c r="B157" s="50">
        <v>48698253</v>
      </c>
      <c r="C157" s="50">
        <v>22836328</v>
      </c>
      <c r="D157" s="50">
        <v>19179377</v>
      </c>
      <c r="E157" s="32">
        <f>SUM(B157:D157)</f>
        <v>90713958</v>
      </c>
      <c r="F157" s="18"/>
    </row>
    <row r="158" spans="1:6" x14ac:dyDescent="0.25">
      <c r="A158" s="20" t="s">
        <v>273</v>
      </c>
      <c r="B158" s="50">
        <v>66902242</v>
      </c>
      <c r="C158" s="50">
        <v>69885171</v>
      </c>
      <c r="D158" s="50">
        <v>57557944</v>
      </c>
      <c r="E158" s="32">
        <f>SUM(B158:D158)</f>
        <v>194345357</v>
      </c>
      <c r="F158" s="18"/>
    </row>
    <row r="159" spans="1:6" x14ac:dyDescent="0.2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2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2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2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2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2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2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25">
      <c r="A171" s="25"/>
      <c r="B171" s="25"/>
      <c r="C171" s="54"/>
      <c r="D171" s="55"/>
      <c r="E171" s="20"/>
    </row>
    <row r="172" spans="1:5" x14ac:dyDescent="0.2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25">
      <c r="A173" s="25" t="s">
        <v>338</v>
      </c>
      <c r="B173" s="50"/>
      <c r="C173" s="50"/>
      <c r="D173" s="20"/>
      <c r="E173" s="20"/>
    </row>
    <row r="174" spans="1:5" x14ac:dyDescent="0.25">
      <c r="A174" s="25"/>
      <c r="B174" s="55"/>
      <c r="C174" s="54"/>
      <c r="D174" s="20"/>
      <c r="E174" s="20"/>
    </row>
    <row r="175" spans="1:5" x14ac:dyDescent="0.25">
      <c r="A175" s="25"/>
      <c r="B175" s="25"/>
      <c r="C175" s="54"/>
      <c r="D175" s="55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49" t="s">
        <v>339</v>
      </c>
      <c r="B179" s="38"/>
      <c r="C179" s="38"/>
      <c r="D179" s="38"/>
      <c r="E179" s="38"/>
    </row>
    <row r="180" spans="1:5" x14ac:dyDescent="0.25">
      <c r="A180" s="45" t="s">
        <v>340</v>
      </c>
      <c r="B180" s="45"/>
      <c r="C180" s="45"/>
      <c r="D180" s="45"/>
      <c r="E180" s="45"/>
    </row>
    <row r="181" spans="1:5" x14ac:dyDescent="0.25">
      <c r="A181" s="20" t="s">
        <v>341</v>
      </c>
      <c r="B181" s="46" t="s">
        <v>284</v>
      </c>
      <c r="C181" s="47">
        <v>2013763.12</v>
      </c>
      <c r="D181" s="20"/>
      <c r="E181" s="20"/>
    </row>
    <row r="182" spans="1:5" x14ac:dyDescent="0.25">
      <c r="A182" s="20" t="s">
        <v>342</v>
      </c>
      <c r="B182" s="46" t="s">
        <v>284</v>
      </c>
      <c r="C182" s="47">
        <v>106342.64</v>
      </c>
      <c r="D182" s="20"/>
      <c r="E182" s="20"/>
    </row>
    <row r="183" spans="1:5" x14ac:dyDescent="0.25">
      <c r="A183" s="25" t="s">
        <v>343</v>
      </c>
      <c r="B183" s="46" t="s">
        <v>284</v>
      </c>
      <c r="C183" s="47">
        <v>371177.71</v>
      </c>
      <c r="D183" s="20"/>
      <c r="E183" s="20"/>
    </row>
    <row r="184" spans="1:5" x14ac:dyDescent="0.25">
      <c r="A184" s="20" t="s">
        <v>344</v>
      </c>
      <c r="B184" s="46" t="s">
        <v>284</v>
      </c>
      <c r="C184" s="47">
        <f>-54364.63+4585016.75</f>
        <v>4530652.12</v>
      </c>
      <c r="D184" s="20"/>
      <c r="E184" s="20"/>
    </row>
    <row r="185" spans="1:5" x14ac:dyDescent="0.25">
      <c r="A185" s="20" t="s">
        <v>345</v>
      </c>
      <c r="B185" s="46" t="s">
        <v>284</v>
      </c>
      <c r="C185" s="47"/>
      <c r="D185" s="20"/>
      <c r="E185" s="20"/>
    </row>
    <row r="186" spans="1:5" x14ac:dyDescent="0.25">
      <c r="A186" s="20" t="s">
        <v>346</v>
      </c>
      <c r="B186" s="46" t="s">
        <v>284</v>
      </c>
      <c r="C186" s="47">
        <v>880245.39</v>
      </c>
      <c r="D186" s="20"/>
      <c r="E186" s="20"/>
    </row>
    <row r="187" spans="1:5" x14ac:dyDescent="0.25">
      <c r="A187" s="20" t="s">
        <v>347</v>
      </c>
      <c r="B187" s="46" t="s">
        <v>284</v>
      </c>
      <c r="C187" s="47">
        <f>6792.68+2500</f>
        <v>9292.68</v>
      </c>
      <c r="D187" s="20"/>
      <c r="E187" s="20"/>
    </row>
    <row r="188" spans="1:5" x14ac:dyDescent="0.25">
      <c r="A188" s="20" t="s">
        <v>347</v>
      </c>
      <c r="B188" s="46" t="s">
        <v>284</v>
      </c>
      <c r="C188" s="47"/>
      <c r="D188" s="20"/>
      <c r="E188" s="20"/>
    </row>
    <row r="189" spans="1:5" x14ac:dyDescent="0.25">
      <c r="A189" s="20" t="s">
        <v>215</v>
      </c>
      <c r="B189" s="20"/>
      <c r="C189" s="27"/>
      <c r="D189" s="32">
        <f>SUM(C181:C188)</f>
        <v>7911473.6599999992</v>
      </c>
      <c r="E189" s="20"/>
    </row>
    <row r="190" spans="1:5" x14ac:dyDescent="0.25">
      <c r="A190" s="45" t="s">
        <v>348</v>
      </c>
      <c r="B190" s="45"/>
      <c r="C190" s="45"/>
      <c r="D190" s="45"/>
      <c r="E190" s="45"/>
    </row>
    <row r="191" spans="1:5" x14ac:dyDescent="0.25">
      <c r="A191" s="20" t="s">
        <v>349</v>
      </c>
      <c r="B191" s="46" t="s">
        <v>284</v>
      </c>
      <c r="C191" s="47">
        <f>-156749.72+701540.07-2</f>
        <v>544788.35</v>
      </c>
      <c r="D191" s="20"/>
      <c r="E191" s="20"/>
    </row>
    <row r="192" spans="1:5" x14ac:dyDescent="0.25">
      <c r="A192" s="20" t="s">
        <v>350</v>
      </c>
      <c r="B192" s="46" t="s">
        <v>284</v>
      </c>
      <c r="C192" s="47">
        <f>-27785.08+487909.9</f>
        <v>460124.82</v>
      </c>
      <c r="D192" s="20"/>
      <c r="E192" s="20"/>
    </row>
    <row r="193" spans="1:5" x14ac:dyDescent="0.25">
      <c r="A193" s="20" t="s">
        <v>215</v>
      </c>
      <c r="B193" s="20"/>
      <c r="C193" s="27"/>
      <c r="D193" s="32">
        <f>SUM(C191:C192)</f>
        <v>1004913.1699999999</v>
      </c>
      <c r="E193" s="20"/>
    </row>
    <row r="194" spans="1:5" x14ac:dyDescent="0.25">
      <c r="A194" s="45" t="s">
        <v>351</v>
      </c>
      <c r="B194" s="45"/>
      <c r="C194" s="45"/>
      <c r="D194" s="45"/>
      <c r="E194" s="45"/>
    </row>
    <row r="195" spans="1:5" x14ac:dyDescent="0.25">
      <c r="A195" s="20" t="s">
        <v>352</v>
      </c>
      <c r="B195" s="46" t="s">
        <v>284</v>
      </c>
      <c r="C195" s="47">
        <f>271950.34+300662.02+1297220.34</f>
        <v>1869832.7000000002</v>
      </c>
      <c r="D195" s="20"/>
      <c r="E195" s="20"/>
    </row>
    <row r="196" spans="1:5" x14ac:dyDescent="0.25">
      <c r="A196" s="20" t="s">
        <v>353</v>
      </c>
      <c r="B196" s="46" t="s">
        <v>284</v>
      </c>
      <c r="C196" s="47">
        <f>48409.88+918+200+1</f>
        <v>49528.88</v>
      </c>
      <c r="D196" s="20"/>
      <c r="E196" s="20"/>
    </row>
    <row r="197" spans="1:5" x14ac:dyDescent="0.25">
      <c r="A197" s="20" t="s">
        <v>215</v>
      </c>
      <c r="B197" s="20"/>
      <c r="C197" s="27"/>
      <c r="D197" s="32">
        <f>SUM(C195:C196)</f>
        <v>1919361.58</v>
      </c>
      <c r="E197" s="20"/>
    </row>
    <row r="198" spans="1:5" x14ac:dyDescent="0.25">
      <c r="A198" s="45" t="s">
        <v>354</v>
      </c>
      <c r="B198" s="45"/>
      <c r="C198" s="45"/>
      <c r="D198" s="45"/>
      <c r="E198" s="45"/>
    </row>
    <row r="199" spans="1:5" x14ac:dyDescent="0.25">
      <c r="A199" s="20" t="s">
        <v>355</v>
      </c>
      <c r="B199" s="46" t="s">
        <v>284</v>
      </c>
      <c r="C199" s="47">
        <f>16424+58704</f>
        <v>75128</v>
      </c>
      <c r="D199" s="20"/>
      <c r="E199" s="20"/>
    </row>
    <row r="200" spans="1:5" x14ac:dyDescent="0.25">
      <c r="A200" s="20" t="s">
        <v>356</v>
      </c>
      <c r="B200" s="46" t="s">
        <v>284</v>
      </c>
      <c r="C200" s="47">
        <f>2407+947988-18831</f>
        <v>931564</v>
      </c>
      <c r="D200" s="20"/>
      <c r="E200" s="20"/>
    </row>
    <row r="201" spans="1:5" x14ac:dyDescent="0.25">
      <c r="A201" s="20" t="s">
        <v>144</v>
      </c>
      <c r="B201" s="46" t="s">
        <v>284</v>
      </c>
      <c r="C201" s="47"/>
      <c r="D201" s="20"/>
      <c r="E201" s="20"/>
    </row>
    <row r="202" spans="1:5" x14ac:dyDescent="0.25">
      <c r="A202" s="20" t="s">
        <v>215</v>
      </c>
      <c r="B202" s="20"/>
      <c r="C202" s="27"/>
      <c r="D202" s="32">
        <f>SUM(C199:C201)</f>
        <v>1006692</v>
      </c>
      <c r="E202" s="20"/>
    </row>
    <row r="203" spans="1:5" x14ac:dyDescent="0.25">
      <c r="A203" s="45" t="s">
        <v>357</v>
      </c>
      <c r="B203" s="45"/>
      <c r="C203" s="45"/>
      <c r="D203" s="45"/>
      <c r="E203" s="45"/>
    </row>
    <row r="204" spans="1:5" x14ac:dyDescent="0.25">
      <c r="A204" s="20" t="s">
        <v>358</v>
      </c>
      <c r="B204" s="46" t="s">
        <v>284</v>
      </c>
      <c r="C204" s="47">
        <v>4575199.21</v>
      </c>
      <c r="D204" s="20"/>
      <c r="E204" s="20"/>
    </row>
    <row r="205" spans="1:5" x14ac:dyDescent="0.25">
      <c r="A205" s="20" t="s">
        <v>359</v>
      </c>
      <c r="B205" s="46" t="s">
        <v>284</v>
      </c>
      <c r="C205" s="47">
        <f>4629844-C204+4</f>
        <v>54648.790000000037</v>
      </c>
      <c r="D205" s="20"/>
      <c r="E205" s="20"/>
    </row>
    <row r="206" spans="1:5" x14ac:dyDescent="0.25">
      <c r="A206" s="20" t="s">
        <v>215</v>
      </c>
      <c r="B206" s="20"/>
      <c r="C206" s="27"/>
      <c r="D206" s="32">
        <f>SUM(C204:C205)</f>
        <v>4629848</v>
      </c>
      <c r="E206" s="20"/>
    </row>
    <row r="207" spans="1:5" x14ac:dyDescent="0.25">
      <c r="A207" s="20"/>
      <c r="B207" s="20"/>
      <c r="C207" s="27"/>
      <c r="D207" s="20"/>
      <c r="E207" s="20"/>
    </row>
    <row r="208" spans="1:5" x14ac:dyDescent="0.25">
      <c r="A208" s="38" t="s">
        <v>360</v>
      </c>
      <c r="B208" s="38"/>
      <c r="C208" s="38"/>
      <c r="D208" s="38"/>
      <c r="E208" s="38"/>
    </row>
    <row r="209" spans="1:5" x14ac:dyDescent="0.25">
      <c r="A209" s="49" t="s">
        <v>361</v>
      </c>
      <c r="B209" s="38"/>
      <c r="C209" s="38"/>
      <c r="D209" s="38"/>
      <c r="E209" s="38"/>
    </row>
    <row r="210" spans="1:5" x14ac:dyDescent="0.2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25">
      <c r="A211" s="20" t="s">
        <v>366</v>
      </c>
      <c r="B211" s="50">
        <v>5072349</v>
      </c>
      <c r="C211" s="47"/>
      <c r="D211" s="50"/>
      <c r="E211" s="32">
        <f t="shared" ref="E211:E219" si="16">SUM(B211:C211)-D211</f>
        <v>5072349</v>
      </c>
    </row>
    <row r="212" spans="1:5" x14ac:dyDescent="0.25">
      <c r="A212" s="20" t="s">
        <v>367</v>
      </c>
      <c r="B212" s="50">
        <v>1430910</v>
      </c>
      <c r="C212" s="47"/>
      <c r="D212" s="50"/>
      <c r="E212" s="32">
        <f t="shared" si="16"/>
        <v>1430910</v>
      </c>
    </row>
    <row r="213" spans="1:5" x14ac:dyDescent="0.25">
      <c r="A213" s="20" t="s">
        <v>368</v>
      </c>
      <c r="B213" s="50">
        <v>24903609</v>
      </c>
      <c r="C213" s="47"/>
      <c r="D213" s="50"/>
      <c r="E213" s="32">
        <f t="shared" si="16"/>
        <v>24903609</v>
      </c>
    </row>
    <row r="214" spans="1:5" x14ac:dyDescent="0.25">
      <c r="A214" s="20" t="s">
        <v>369</v>
      </c>
      <c r="B214" s="50">
        <v>2817279</v>
      </c>
      <c r="C214" s="47">
        <v>40943</v>
      </c>
      <c r="D214" s="50"/>
      <c r="E214" s="32">
        <f t="shared" si="16"/>
        <v>2858222</v>
      </c>
    </row>
    <row r="215" spans="1:5" x14ac:dyDescent="0.25">
      <c r="A215" s="20" t="s">
        <v>370</v>
      </c>
      <c r="B215" s="50">
        <v>0</v>
      </c>
      <c r="C215" s="47"/>
      <c r="D215" s="50"/>
      <c r="E215" s="32">
        <f t="shared" si="16"/>
        <v>0</v>
      </c>
    </row>
    <row r="216" spans="1:5" x14ac:dyDescent="0.25">
      <c r="A216" s="20" t="s">
        <v>371</v>
      </c>
      <c r="B216" s="50">
        <v>27123066</v>
      </c>
      <c r="C216" s="47">
        <v>506271</v>
      </c>
      <c r="D216" s="50"/>
      <c r="E216" s="32">
        <f t="shared" si="16"/>
        <v>27629337</v>
      </c>
    </row>
    <row r="217" spans="1:5" x14ac:dyDescent="0.25">
      <c r="A217" s="20" t="s">
        <v>372</v>
      </c>
      <c r="B217" s="50">
        <v>0</v>
      </c>
      <c r="C217" s="47"/>
      <c r="D217" s="50"/>
      <c r="E217" s="32">
        <f t="shared" si="16"/>
        <v>0</v>
      </c>
    </row>
    <row r="218" spans="1:5" x14ac:dyDescent="0.25">
      <c r="A218" s="20" t="s">
        <v>1376</v>
      </c>
      <c r="B218" s="50">
        <v>0</v>
      </c>
      <c r="C218" s="47">
        <v>2658937</v>
      </c>
      <c r="D218" s="50"/>
      <c r="E218" s="32">
        <f t="shared" si="16"/>
        <v>2658937</v>
      </c>
    </row>
    <row r="219" spans="1:5" x14ac:dyDescent="0.25">
      <c r="A219" s="20" t="s">
        <v>374</v>
      </c>
      <c r="B219" s="50">
        <v>0</v>
      </c>
      <c r="C219" s="47">
        <v>65582</v>
      </c>
      <c r="D219" s="50"/>
      <c r="E219" s="32">
        <f t="shared" si="16"/>
        <v>65582</v>
      </c>
    </row>
    <row r="220" spans="1:5" x14ac:dyDescent="0.25">
      <c r="A220" s="20" t="s">
        <v>215</v>
      </c>
      <c r="B220" s="32">
        <v>61347213</v>
      </c>
      <c r="C220" s="266">
        <f>SUM(C211:C219)</f>
        <v>3271733</v>
      </c>
      <c r="D220" s="32">
        <f>SUM(D211:D219)</f>
        <v>0</v>
      </c>
      <c r="E220" s="32">
        <f>SUM(E211:E219)</f>
        <v>64618946</v>
      </c>
    </row>
    <row r="221" spans="1:5" x14ac:dyDescent="0.25">
      <c r="A221" s="20"/>
      <c r="B221" s="20"/>
      <c r="C221" s="27"/>
      <c r="D221" s="20"/>
      <c r="E221" s="20"/>
    </row>
    <row r="222" spans="1:5" x14ac:dyDescent="0.25">
      <c r="A222" s="49" t="s">
        <v>375</v>
      </c>
      <c r="B222" s="49"/>
      <c r="C222" s="49"/>
      <c r="D222" s="49"/>
      <c r="E222" s="49"/>
    </row>
    <row r="223" spans="1:5" x14ac:dyDescent="0.2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25">
      <c r="A224" s="20" t="s">
        <v>366</v>
      </c>
      <c r="B224" s="55"/>
      <c r="C224" s="54"/>
      <c r="D224" s="55"/>
      <c r="E224" s="20"/>
    </row>
    <row r="225" spans="1:5" x14ac:dyDescent="0.25">
      <c r="A225" s="20" t="s">
        <v>367</v>
      </c>
      <c r="B225" s="50">
        <v>1066433</v>
      </c>
      <c r="C225" s="47">
        <v>16761</v>
      </c>
      <c r="D225" s="50"/>
      <c r="E225" s="32">
        <f t="shared" ref="E225:E232" si="17">SUM(B225:C225)-D225</f>
        <v>1083194</v>
      </c>
    </row>
    <row r="226" spans="1:5" x14ac:dyDescent="0.25">
      <c r="A226" s="20" t="s">
        <v>368</v>
      </c>
      <c r="B226" s="50">
        <v>16353968</v>
      </c>
      <c r="C226" s="47">
        <v>649884</v>
      </c>
      <c r="D226" s="50"/>
      <c r="E226" s="32">
        <f t="shared" si="17"/>
        <v>17003852</v>
      </c>
    </row>
    <row r="227" spans="1:5" x14ac:dyDescent="0.25">
      <c r="A227" s="20" t="s">
        <v>369</v>
      </c>
      <c r="B227" s="50">
        <v>2580072</v>
      </c>
      <c r="C227" s="47">
        <v>23216</v>
      </c>
      <c r="D227" s="50"/>
      <c r="E227" s="32">
        <f t="shared" si="17"/>
        <v>2603288</v>
      </c>
    </row>
    <row r="228" spans="1:5" x14ac:dyDescent="0.25">
      <c r="A228" s="20" t="s">
        <v>370</v>
      </c>
      <c r="B228" s="50">
        <v>0</v>
      </c>
      <c r="C228" s="47"/>
      <c r="D228" s="50"/>
      <c r="E228" s="32">
        <f t="shared" si="17"/>
        <v>0</v>
      </c>
    </row>
    <row r="229" spans="1:5" x14ac:dyDescent="0.25">
      <c r="A229" s="20" t="s">
        <v>371</v>
      </c>
      <c r="B229" s="50">
        <v>22881943</v>
      </c>
      <c r="C229" s="47">
        <v>1483798</v>
      </c>
      <c r="D229" s="50"/>
      <c r="E229" s="32">
        <f t="shared" si="17"/>
        <v>24365741</v>
      </c>
    </row>
    <row r="230" spans="1:5" x14ac:dyDescent="0.25">
      <c r="A230" s="20" t="s">
        <v>372</v>
      </c>
      <c r="B230" s="50">
        <v>0</v>
      </c>
      <c r="C230" s="47"/>
      <c r="D230" s="50"/>
      <c r="E230" s="32">
        <f t="shared" si="17"/>
        <v>0</v>
      </c>
    </row>
    <row r="231" spans="1:5" x14ac:dyDescent="0.25">
      <c r="A231" s="20" t="s">
        <v>373</v>
      </c>
      <c r="B231" s="50">
        <v>0</v>
      </c>
      <c r="C231" s="47"/>
      <c r="D231" s="50"/>
      <c r="E231" s="32">
        <f t="shared" si="17"/>
        <v>0</v>
      </c>
    </row>
    <row r="232" spans="1:5" x14ac:dyDescent="0.25">
      <c r="A232" s="20" t="s">
        <v>374</v>
      </c>
      <c r="B232" s="50">
        <v>0</v>
      </c>
      <c r="C232" s="47"/>
      <c r="D232" s="50"/>
      <c r="E232" s="32">
        <f t="shared" si="17"/>
        <v>0</v>
      </c>
    </row>
    <row r="233" spans="1:5" x14ac:dyDescent="0.25">
      <c r="A233" s="20" t="s">
        <v>215</v>
      </c>
      <c r="B233" s="32">
        <v>42882416</v>
      </c>
      <c r="C233" s="266">
        <f>SUM(C224:C232)</f>
        <v>2173659</v>
      </c>
      <c r="D233" s="32">
        <f>SUM(D224:D232)</f>
        <v>0</v>
      </c>
      <c r="E233" s="32">
        <f>SUM(E224:E232)</f>
        <v>45056075</v>
      </c>
    </row>
    <row r="234" spans="1:5" x14ac:dyDescent="0.25">
      <c r="A234" s="20"/>
      <c r="B234" s="20"/>
      <c r="C234" s="27"/>
      <c r="D234" s="20"/>
      <c r="E234" s="20"/>
    </row>
    <row r="235" spans="1:5" x14ac:dyDescent="0.25">
      <c r="A235" s="38" t="s">
        <v>376</v>
      </c>
      <c r="B235" s="38"/>
      <c r="C235" s="38"/>
      <c r="D235" s="38"/>
      <c r="E235" s="38"/>
    </row>
    <row r="236" spans="1:5" x14ac:dyDescent="0.25">
      <c r="A236" s="38"/>
      <c r="B236" s="345" t="s">
        <v>377</v>
      </c>
      <c r="C236" s="345"/>
      <c r="D236" s="38"/>
      <c r="E236" s="38"/>
    </row>
    <row r="237" spans="1:5" x14ac:dyDescent="0.25">
      <c r="A237" s="56" t="s">
        <v>377</v>
      </c>
      <c r="B237" s="38"/>
      <c r="C237" s="47">
        <v>5965953</v>
      </c>
      <c r="D237" s="40">
        <f>C237</f>
        <v>5965953</v>
      </c>
      <c r="E237" s="38"/>
    </row>
    <row r="238" spans="1:5" x14ac:dyDescent="0.25">
      <c r="A238" s="45" t="s">
        <v>378</v>
      </c>
      <c r="B238" s="45"/>
      <c r="C238" s="45"/>
      <c r="D238" s="45"/>
      <c r="E238" s="45"/>
    </row>
    <row r="239" spans="1:5" x14ac:dyDescent="0.25">
      <c r="A239" s="20" t="s">
        <v>379</v>
      </c>
      <c r="B239" s="46" t="s">
        <v>284</v>
      </c>
      <c r="C239" s="47">
        <v>79932329</v>
      </c>
      <c r="D239" s="20"/>
      <c r="E239" s="20"/>
    </row>
    <row r="240" spans="1:5" x14ac:dyDescent="0.25">
      <c r="A240" s="20" t="s">
        <v>380</v>
      </c>
      <c r="B240" s="46" t="s">
        <v>284</v>
      </c>
      <c r="C240" s="47">
        <v>69992443</v>
      </c>
      <c r="D240" s="20"/>
      <c r="E240" s="20"/>
    </row>
    <row r="241" spans="1:5" x14ac:dyDescent="0.25">
      <c r="A241" s="20" t="s">
        <v>381</v>
      </c>
      <c r="B241" s="46" t="s">
        <v>284</v>
      </c>
      <c r="C241" s="47"/>
      <c r="D241" s="20"/>
      <c r="E241" s="20"/>
    </row>
    <row r="242" spans="1:5" x14ac:dyDescent="0.25">
      <c r="A242" s="20" t="s">
        <v>382</v>
      </c>
      <c r="B242" s="46" t="s">
        <v>284</v>
      </c>
      <c r="C242" s="47"/>
      <c r="D242" s="20"/>
      <c r="E242" s="20"/>
    </row>
    <row r="243" spans="1:5" x14ac:dyDescent="0.25">
      <c r="A243" s="20" t="s">
        <v>383</v>
      </c>
      <c r="B243" s="46" t="s">
        <v>284</v>
      </c>
      <c r="C243" s="47">
        <v>14657685</v>
      </c>
      <c r="D243" s="20"/>
      <c r="E243" s="20"/>
    </row>
    <row r="244" spans="1:5" x14ac:dyDescent="0.25">
      <c r="A244" s="20" t="s">
        <v>384</v>
      </c>
      <c r="B244" s="46" t="s">
        <v>284</v>
      </c>
      <c r="C244" s="47">
        <f>7972690+7526-1</f>
        <v>7980215</v>
      </c>
      <c r="D244" s="20"/>
      <c r="E244" s="20"/>
    </row>
    <row r="245" spans="1:5" x14ac:dyDescent="0.25">
      <c r="A245" s="20" t="s">
        <v>385</v>
      </c>
      <c r="B245" s="20"/>
      <c r="C245" s="27"/>
      <c r="D245" s="32">
        <f>SUM(C239:C244)</f>
        <v>172562672</v>
      </c>
      <c r="E245" s="20"/>
    </row>
    <row r="246" spans="1:5" x14ac:dyDescent="0.25">
      <c r="A246" s="45" t="s">
        <v>386</v>
      </c>
      <c r="B246" s="45"/>
      <c r="C246" s="45"/>
      <c r="D246" s="45"/>
      <c r="E246" s="45"/>
    </row>
    <row r="247" spans="1:5" x14ac:dyDescent="0.25">
      <c r="A247" s="26" t="s">
        <v>387</v>
      </c>
      <c r="B247" s="46" t="s">
        <v>284</v>
      </c>
      <c r="C247" s="47"/>
      <c r="D247" s="20"/>
      <c r="E247" s="20"/>
    </row>
    <row r="248" spans="1:5" x14ac:dyDescent="0.25">
      <c r="A248" s="26"/>
      <c r="B248" s="46"/>
      <c r="C248" s="27"/>
      <c r="D248" s="20"/>
      <c r="E248" s="20"/>
    </row>
    <row r="249" spans="1:5" x14ac:dyDescent="0.25">
      <c r="A249" s="26" t="s">
        <v>388</v>
      </c>
      <c r="B249" s="46" t="s">
        <v>284</v>
      </c>
      <c r="C249" s="47"/>
      <c r="D249" s="20"/>
      <c r="E249" s="20"/>
    </row>
    <row r="250" spans="1:5" x14ac:dyDescent="0.25">
      <c r="A250" s="26" t="s">
        <v>389</v>
      </c>
      <c r="B250" s="46" t="s">
        <v>284</v>
      </c>
      <c r="C250" s="47">
        <v>3753852</v>
      </c>
      <c r="D250" s="20"/>
      <c r="E250" s="20"/>
    </row>
    <row r="251" spans="1:5" x14ac:dyDescent="0.25">
      <c r="A251" s="20"/>
      <c r="B251" s="20"/>
      <c r="C251" s="27"/>
      <c r="D251" s="20"/>
      <c r="E251" s="20"/>
    </row>
    <row r="252" spans="1:5" x14ac:dyDescent="0.25">
      <c r="A252" s="26" t="s">
        <v>390</v>
      </c>
      <c r="B252" s="20"/>
      <c r="C252" s="27"/>
      <c r="D252" s="32">
        <f>SUM(C249:C251)</f>
        <v>3753852</v>
      </c>
      <c r="E252" s="20"/>
    </row>
    <row r="253" spans="1:5" x14ac:dyDescent="0.25">
      <c r="A253" s="45" t="s">
        <v>391</v>
      </c>
      <c r="B253" s="45"/>
      <c r="C253" s="45"/>
      <c r="D253" s="45"/>
      <c r="E253" s="45"/>
    </row>
    <row r="254" spans="1:5" x14ac:dyDescent="0.25">
      <c r="A254" s="20" t="s">
        <v>392</v>
      </c>
      <c r="B254" s="46" t="s">
        <v>284</v>
      </c>
      <c r="C254" s="47"/>
      <c r="D254" s="20"/>
      <c r="E254" s="20"/>
    </row>
    <row r="255" spans="1:5" x14ac:dyDescent="0.25">
      <c r="A255" s="20" t="s">
        <v>391</v>
      </c>
      <c r="B255" s="46" t="s">
        <v>284</v>
      </c>
      <c r="C255" s="47"/>
      <c r="D255" s="20"/>
      <c r="E255" s="20"/>
    </row>
    <row r="256" spans="1:5" x14ac:dyDescent="0.2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25">
      <c r="A257" s="20"/>
      <c r="B257" s="20"/>
      <c r="C257" s="27"/>
      <c r="D257" s="20"/>
      <c r="E257" s="20"/>
    </row>
    <row r="258" spans="1:5" x14ac:dyDescent="0.25">
      <c r="A258" s="20" t="s">
        <v>394</v>
      </c>
      <c r="B258" s="20"/>
      <c r="C258" s="27"/>
      <c r="D258" s="32">
        <f>D237+D245+D252+D256</f>
        <v>182282477</v>
      </c>
      <c r="E258" s="20"/>
    </row>
    <row r="259" spans="1:5" x14ac:dyDescent="0.25">
      <c r="A259" s="20"/>
      <c r="B259" s="20"/>
      <c r="C259" s="27"/>
      <c r="D259" s="20"/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38" t="s">
        <v>395</v>
      </c>
      <c r="B264" s="38"/>
      <c r="C264" s="38"/>
      <c r="D264" s="38"/>
      <c r="E264" s="38"/>
    </row>
    <row r="265" spans="1:5" x14ac:dyDescent="0.25">
      <c r="A265" s="45" t="s">
        <v>396</v>
      </c>
      <c r="B265" s="45"/>
      <c r="C265" s="45"/>
      <c r="D265" s="45"/>
      <c r="E265" s="45"/>
    </row>
    <row r="266" spans="1:5" x14ac:dyDescent="0.25">
      <c r="A266" s="20" t="s">
        <v>397</v>
      </c>
      <c r="B266" s="46" t="s">
        <v>284</v>
      </c>
      <c r="C266" s="47">
        <v>2897040</v>
      </c>
      <c r="D266" s="20"/>
      <c r="E266" s="20"/>
    </row>
    <row r="267" spans="1:5" x14ac:dyDescent="0.25">
      <c r="A267" s="20" t="s">
        <v>398</v>
      </c>
      <c r="B267" s="46" t="s">
        <v>284</v>
      </c>
      <c r="C267" s="47"/>
      <c r="D267" s="20"/>
      <c r="E267" s="20"/>
    </row>
    <row r="268" spans="1:5" x14ac:dyDescent="0.25">
      <c r="A268" s="20" t="s">
        <v>399</v>
      </c>
      <c r="B268" s="46" t="s">
        <v>284</v>
      </c>
      <c r="C268" s="47">
        <v>75132443</v>
      </c>
      <c r="D268" s="20"/>
      <c r="E268" s="20"/>
    </row>
    <row r="269" spans="1:5" x14ac:dyDescent="0.25">
      <c r="A269" s="20" t="s">
        <v>400</v>
      </c>
      <c r="B269" s="46" t="s">
        <v>284</v>
      </c>
      <c r="C269" s="47">
        <v>58467839</v>
      </c>
      <c r="D269" s="20"/>
      <c r="E269" s="20"/>
    </row>
    <row r="270" spans="1:5" x14ac:dyDescent="0.25">
      <c r="A270" s="20" t="s">
        <v>401</v>
      </c>
      <c r="B270" s="46" t="s">
        <v>284</v>
      </c>
      <c r="C270" s="47"/>
      <c r="D270" s="20"/>
      <c r="E270" s="20"/>
    </row>
    <row r="271" spans="1:5" x14ac:dyDescent="0.25">
      <c r="A271" s="20" t="s">
        <v>402</v>
      </c>
      <c r="B271" s="46" t="s">
        <v>284</v>
      </c>
      <c r="C271" s="47">
        <f>26003+15363452</f>
        <v>15389455</v>
      </c>
      <c r="D271" s="20"/>
      <c r="E271" s="20"/>
    </row>
    <row r="272" spans="1:5" x14ac:dyDescent="0.25">
      <c r="A272" s="20" t="s">
        <v>403</v>
      </c>
      <c r="B272" s="46" t="s">
        <v>284</v>
      </c>
      <c r="C272" s="47"/>
      <c r="D272" s="20"/>
      <c r="E272" s="20"/>
    </row>
    <row r="273" spans="1:5" x14ac:dyDescent="0.25">
      <c r="A273" s="20" t="s">
        <v>404</v>
      </c>
      <c r="B273" s="46" t="s">
        <v>284</v>
      </c>
      <c r="C273" s="47">
        <v>2828935</v>
      </c>
      <c r="D273" s="20"/>
      <c r="E273" s="20"/>
    </row>
    <row r="274" spans="1:5" x14ac:dyDescent="0.25">
      <c r="A274" s="20" t="s">
        <v>405</v>
      </c>
      <c r="B274" s="46" t="s">
        <v>284</v>
      </c>
      <c r="C274" s="47">
        <v>306230</v>
      </c>
      <c r="D274" s="20"/>
      <c r="E274" s="20"/>
    </row>
    <row r="275" spans="1:5" x14ac:dyDescent="0.25">
      <c r="A275" s="20" t="s">
        <v>406</v>
      </c>
      <c r="B275" s="46" t="s">
        <v>284</v>
      </c>
      <c r="C275" s="47"/>
      <c r="D275" s="20"/>
      <c r="E275" s="20"/>
    </row>
    <row r="276" spans="1:5" x14ac:dyDescent="0.25">
      <c r="A276" s="20" t="s">
        <v>407</v>
      </c>
      <c r="B276" s="20"/>
      <c r="C276" s="27"/>
      <c r="D276" s="32">
        <f>SUM(C266:C268)-C269+SUM(C270:C275)</f>
        <v>38086264</v>
      </c>
      <c r="E276" s="20"/>
    </row>
    <row r="277" spans="1:5" x14ac:dyDescent="0.25">
      <c r="A277" s="45" t="s">
        <v>408</v>
      </c>
      <c r="B277" s="45"/>
      <c r="C277" s="45"/>
      <c r="D277" s="45"/>
      <c r="E277" s="45"/>
    </row>
    <row r="278" spans="1:5" x14ac:dyDescent="0.25">
      <c r="A278" s="20" t="s">
        <v>397</v>
      </c>
      <c r="B278" s="46" t="s">
        <v>284</v>
      </c>
      <c r="C278" s="47"/>
      <c r="D278" s="20"/>
      <c r="E278" s="20"/>
    </row>
    <row r="279" spans="1:5" x14ac:dyDescent="0.25">
      <c r="A279" s="20" t="s">
        <v>398</v>
      </c>
      <c r="B279" s="46" t="s">
        <v>284</v>
      </c>
      <c r="C279" s="47"/>
      <c r="D279" s="20"/>
      <c r="E279" s="20"/>
    </row>
    <row r="280" spans="1:5" x14ac:dyDescent="0.25">
      <c r="A280" s="20" t="s">
        <v>409</v>
      </c>
      <c r="B280" s="46" t="s">
        <v>284</v>
      </c>
      <c r="C280" s="47"/>
      <c r="D280" s="20"/>
      <c r="E280" s="20"/>
    </row>
    <row r="281" spans="1:5" x14ac:dyDescent="0.2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25">
      <c r="A282" s="45" t="s">
        <v>411</v>
      </c>
      <c r="B282" s="45"/>
      <c r="C282" s="45"/>
      <c r="D282" s="45"/>
      <c r="E282" s="45"/>
    </row>
    <row r="283" spans="1:5" x14ac:dyDescent="0.25">
      <c r="A283" s="20" t="s">
        <v>366</v>
      </c>
      <c r="B283" s="46" t="s">
        <v>284</v>
      </c>
      <c r="C283" s="47">
        <v>5072349</v>
      </c>
      <c r="D283" s="20"/>
      <c r="E283" s="20"/>
    </row>
    <row r="284" spans="1:5" x14ac:dyDescent="0.25">
      <c r="A284" s="20" t="s">
        <v>367</v>
      </c>
      <c r="B284" s="46" t="s">
        <v>284</v>
      </c>
      <c r="C284" s="47">
        <v>1430910</v>
      </c>
      <c r="D284" s="20"/>
      <c r="E284" s="20"/>
    </row>
    <row r="285" spans="1:5" x14ac:dyDescent="0.25">
      <c r="A285" s="20" t="s">
        <v>368</v>
      </c>
      <c r="B285" s="46" t="s">
        <v>284</v>
      </c>
      <c r="C285" s="47">
        <v>24903609</v>
      </c>
      <c r="D285" s="20"/>
      <c r="E285" s="20"/>
    </row>
    <row r="286" spans="1:5" x14ac:dyDescent="0.25">
      <c r="A286" s="20" t="s">
        <v>412</v>
      </c>
      <c r="B286" s="46" t="s">
        <v>284</v>
      </c>
      <c r="C286" s="47">
        <v>2858222</v>
      </c>
      <c r="D286" s="20"/>
      <c r="E286" s="20"/>
    </row>
    <row r="287" spans="1:5" x14ac:dyDescent="0.25">
      <c r="A287" s="20" t="s">
        <v>413</v>
      </c>
      <c r="B287" s="46" t="s">
        <v>284</v>
      </c>
      <c r="C287" s="47"/>
      <c r="D287" s="20"/>
      <c r="E287" s="20"/>
    </row>
    <row r="288" spans="1:5" x14ac:dyDescent="0.25">
      <c r="A288" s="20" t="s">
        <v>414</v>
      </c>
      <c r="B288" s="46" t="s">
        <v>284</v>
      </c>
      <c r="C288" s="47">
        <v>27629337</v>
      </c>
      <c r="D288" s="20"/>
      <c r="E288" s="20"/>
    </row>
    <row r="289" spans="1:5" x14ac:dyDescent="0.25">
      <c r="A289" s="20" t="s">
        <v>1376</v>
      </c>
      <c r="B289" s="46" t="s">
        <v>284</v>
      </c>
      <c r="C289" s="47">
        <v>2658937</v>
      </c>
      <c r="D289" s="20"/>
      <c r="E289" s="20"/>
    </row>
    <row r="290" spans="1:5" x14ac:dyDescent="0.25">
      <c r="A290" s="20" t="s">
        <v>374</v>
      </c>
      <c r="B290" s="46" t="s">
        <v>284</v>
      </c>
      <c r="C290" s="47">
        <v>65582</v>
      </c>
      <c r="D290" s="20"/>
      <c r="E290" s="20"/>
    </row>
    <row r="291" spans="1:5" x14ac:dyDescent="0.25">
      <c r="A291" s="20" t="s">
        <v>415</v>
      </c>
      <c r="B291" s="20"/>
      <c r="C291" s="27"/>
      <c r="D291" s="32">
        <f>SUM(C283:C290)</f>
        <v>64618946</v>
      </c>
      <c r="E291" s="20"/>
    </row>
    <row r="292" spans="1:5" x14ac:dyDescent="0.25">
      <c r="A292" s="20" t="s">
        <v>416</v>
      </c>
      <c r="B292" s="46" t="s">
        <v>284</v>
      </c>
      <c r="C292" s="47">
        <v>45114408</v>
      </c>
      <c r="D292" s="20"/>
      <c r="E292" s="20"/>
    </row>
    <row r="293" spans="1:5" x14ac:dyDescent="0.25">
      <c r="A293" s="20" t="s">
        <v>417</v>
      </c>
      <c r="B293" s="20"/>
      <c r="C293" s="27"/>
      <c r="D293" s="32">
        <f>D291-C292</f>
        <v>19504538</v>
      </c>
      <c r="E293" s="20"/>
    </row>
    <row r="294" spans="1:5" x14ac:dyDescent="0.25">
      <c r="A294" s="45" t="s">
        <v>418</v>
      </c>
      <c r="B294" s="45"/>
      <c r="C294" s="45"/>
      <c r="D294" s="45"/>
      <c r="E294" s="45"/>
    </row>
    <row r="295" spans="1:5" x14ac:dyDescent="0.25">
      <c r="A295" s="20" t="s">
        <v>419</v>
      </c>
      <c r="B295" s="46" t="s">
        <v>284</v>
      </c>
      <c r="C295" s="47"/>
      <c r="D295" s="20"/>
      <c r="E295" s="20"/>
    </row>
    <row r="296" spans="1:5" x14ac:dyDescent="0.25">
      <c r="A296" s="20" t="s">
        <v>420</v>
      </c>
      <c r="B296" s="46" t="s">
        <v>284</v>
      </c>
      <c r="C296" s="47"/>
      <c r="D296" s="20"/>
      <c r="E296" s="20"/>
    </row>
    <row r="297" spans="1:5" x14ac:dyDescent="0.25">
      <c r="A297" s="20" t="s">
        <v>421</v>
      </c>
      <c r="B297" s="46" t="s">
        <v>284</v>
      </c>
      <c r="C297" s="47"/>
      <c r="D297" s="20"/>
      <c r="E297" s="20"/>
    </row>
    <row r="298" spans="1:5" x14ac:dyDescent="0.25">
      <c r="A298" s="20" t="s">
        <v>409</v>
      </c>
      <c r="B298" s="46" t="s">
        <v>284</v>
      </c>
      <c r="C298" s="47">
        <v>858022</v>
      </c>
      <c r="D298" s="20"/>
      <c r="E298" s="20"/>
    </row>
    <row r="299" spans="1:5" x14ac:dyDescent="0.25">
      <c r="A299" s="20" t="s">
        <v>422</v>
      </c>
      <c r="B299" s="20"/>
      <c r="C299" s="27"/>
      <c r="D299" s="32">
        <f>C295-C296+C297+C298</f>
        <v>858022</v>
      </c>
      <c r="E299" s="20"/>
    </row>
    <row r="300" spans="1:5" x14ac:dyDescent="0.25">
      <c r="A300" s="20"/>
      <c r="B300" s="20"/>
      <c r="C300" s="27"/>
      <c r="D300" s="20"/>
      <c r="E300" s="20"/>
    </row>
    <row r="301" spans="1:5" x14ac:dyDescent="0.25">
      <c r="A301" s="45" t="s">
        <v>423</v>
      </c>
      <c r="B301" s="45"/>
      <c r="C301" s="45"/>
      <c r="D301" s="45"/>
      <c r="E301" s="45"/>
    </row>
    <row r="302" spans="1:5" x14ac:dyDescent="0.25">
      <c r="A302" s="20" t="s">
        <v>424</v>
      </c>
      <c r="B302" s="46" t="s">
        <v>284</v>
      </c>
      <c r="C302" s="47"/>
      <c r="D302" s="20"/>
      <c r="E302" s="20"/>
    </row>
    <row r="303" spans="1:5" x14ac:dyDescent="0.25">
      <c r="A303" s="20" t="s">
        <v>425</v>
      </c>
      <c r="B303" s="46" t="s">
        <v>284</v>
      </c>
      <c r="C303" s="47"/>
      <c r="D303" s="20"/>
      <c r="E303" s="20"/>
    </row>
    <row r="304" spans="1:5" x14ac:dyDescent="0.25">
      <c r="A304" s="20" t="s">
        <v>426</v>
      </c>
      <c r="B304" s="46" t="s">
        <v>284</v>
      </c>
      <c r="C304" s="47"/>
      <c r="D304" s="20"/>
      <c r="E304" s="20"/>
    </row>
    <row r="305" spans="1:5" x14ac:dyDescent="0.25">
      <c r="A305" s="20" t="s">
        <v>427</v>
      </c>
      <c r="B305" s="46" t="s">
        <v>284</v>
      </c>
      <c r="C305" s="47"/>
      <c r="D305" s="20"/>
      <c r="E305" s="20"/>
    </row>
    <row r="306" spans="1:5" x14ac:dyDescent="0.2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25">
      <c r="A307" s="20"/>
      <c r="B307" s="20"/>
      <c r="C307" s="27"/>
      <c r="D307" s="20"/>
      <c r="E307" s="20"/>
    </row>
    <row r="308" spans="1:5" x14ac:dyDescent="0.25">
      <c r="A308" s="20" t="s">
        <v>429</v>
      </c>
      <c r="B308" s="20"/>
      <c r="C308" s="27"/>
      <c r="D308" s="32">
        <f>D276+D281+D293+D299+D306</f>
        <v>58448824</v>
      </c>
      <c r="E308" s="20"/>
    </row>
    <row r="309" spans="1:5" x14ac:dyDescent="0.25">
      <c r="A309" s="20"/>
      <c r="B309" s="20"/>
      <c r="C309" s="27"/>
      <c r="D309" s="20"/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38" t="s">
        <v>430</v>
      </c>
      <c r="B312" s="38"/>
      <c r="C312" s="38"/>
      <c r="D312" s="38"/>
      <c r="E312" s="38"/>
    </row>
    <row r="313" spans="1:5" x14ac:dyDescent="0.25">
      <c r="A313" s="45" t="s">
        <v>431</v>
      </c>
      <c r="B313" s="45"/>
      <c r="C313" s="45"/>
      <c r="D313" s="45"/>
      <c r="E313" s="45"/>
    </row>
    <row r="314" spans="1:5" x14ac:dyDescent="0.25">
      <c r="A314" s="20" t="s">
        <v>432</v>
      </c>
      <c r="B314" s="46" t="s">
        <v>284</v>
      </c>
      <c r="C314" s="47"/>
      <c r="D314" s="20"/>
      <c r="E314" s="20"/>
    </row>
    <row r="315" spans="1:5" x14ac:dyDescent="0.25">
      <c r="A315" s="20" t="s">
        <v>433</v>
      </c>
      <c r="B315" s="46" t="s">
        <v>284</v>
      </c>
      <c r="C315" s="47">
        <v>5237006</v>
      </c>
      <c r="D315" s="20"/>
      <c r="E315" s="20"/>
    </row>
    <row r="316" spans="1:5" x14ac:dyDescent="0.25">
      <c r="A316" s="20" t="s">
        <v>434</v>
      </c>
      <c r="B316" s="46" t="s">
        <v>284</v>
      </c>
      <c r="C316" s="47">
        <v>3056632</v>
      </c>
      <c r="D316" s="20"/>
      <c r="E316" s="20"/>
    </row>
    <row r="317" spans="1:5" x14ac:dyDescent="0.25">
      <c r="A317" s="20" t="s">
        <v>435</v>
      </c>
      <c r="B317" s="46" t="s">
        <v>284</v>
      </c>
      <c r="C317" s="47"/>
      <c r="D317" s="20"/>
      <c r="E317" s="20"/>
    </row>
    <row r="318" spans="1:5" x14ac:dyDescent="0.25">
      <c r="A318" s="20" t="s">
        <v>436</v>
      </c>
      <c r="B318" s="46" t="s">
        <v>284</v>
      </c>
      <c r="C318" s="47"/>
      <c r="D318" s="20"/>
      <c r="E318" s="20"/>
    </row>
    <row r="319" spans="1:5" x14ac:dyDescent="0.25">
      <c r="A319" s="20" t="s">
        <v>437</v>
      </c>
      <c r="B319" s="46" t="s">
        <v>284</v>
      </c>
      <c r="C319" s="47">
        <v>1878006</v>
      </c>
      <c r="D319" s="20"/>
      <c r="E319" s="20"/>
    </row>
    <row r="320" spans="1:5" x14ac:dyDescent="0.25">
      <c r="A320" s="20" t="s">
        <v>438</v>
      </c>
      <c r="B320" s="46" t="s">
        <v>284</v>
      </c>
      <c r="C320" s="47"/>
      <c r="D320" s="20"/>
      <c r="E320" s="20"/>
    </row>
    <row r="321" spans="1:5" x14ac:dyDescent="0.25">
      <c r="A321" s="20" t="s">
        <v>439</v>
      </c>
      <c r="B321" s="46" t="s">
        <v>284</v>
      </c>
      <c r="C321" s="47"/>
      <c r="D321" s="20"/>
      <c r="E321" s="20"/>
    </row>
    <row r="322" spans="1:5" x14ac:dyDescent="0.25">
      <c r="A322" s="20" t="s">
        <v>440</v>
      </c>
      <c r="B322" s="46" t="s">
        <v>284</v>
      </c>
      <c r="C322" s="47">
        <v>1345960</v>
      </c>
      <c r="D322" s="20"/>
      <c r="E322" s="20"/>
    </row>
    <row r="323" spans="1:5" x14ac:dyDescent="0.25">
      <c r="A323" s="20" t="s">
        <v>441</v>
      </c>
      <c r="B323" s="46" t="s">
        <v>284</v>
      </c>
      <c r="C323" s="47">
        <v>500032</v>
      </c>
      <c r="D323" s="20"/>
      <c r="E323" s="20"/>
    </row>
    <row r="324" spans="1:5" x14ac:dyDescent="0.25">
      <c r="A324" s="20" t="s">
        <v>442</v>
      </c>
      <c r="B324" s="20"/>
      <c r="C324" s="27"/>
      <c r="D324" s="32">
        <f>SUM(C314:C323)</f>
        <v>12017636</v>
      </c>
      <c r="E324" s="20"/>
    </row>
    <row r="325" spans="1:5" x14ac:dyDescent="0.25">
      <c r="A325" s="45" t="s">
        <v>443</v>
      </c>
      <c r="B325" s="45"/>
      <c r="C325" s="45"/>
      <c r="D325" s="45"/>
      <c r="E325" s="45"/>
    </row>
    <row r="326" spans="1:5" x14ac:dyDescent="0.25">
      <c r="A326" s="20" t="s">
        <v>444</v>
      </c>
      <c r="B326" s="46" t="s">
        <v>284</v>
      </c>
      <c r="C326" s="47"/>
      <c r="D326" s="20"/>
      <c r="E326" s="20"/>
    </row>
    <row r="327" spans="1:5" x14ac:dyDescent="0.25">
      <c r="A327" s="20" t="s">
        <v>445</v>
      </c>
      <c r="B327" s="46" t="s">
        <v>284</v>
      </c>
      <c r="C327" s="47"/>
      <c r="D327" s="20"/>
      <c r="E327" s="20"/>
    </row>
    <row r="328" spans="1:5" x14ac:dyDescent="0.25">
      <c r="A328" s="20" t="s">
        <v>446</v>
      </c>
      <c r="B328" s="46" t="s">
        <v>284</v>
      </c>
      <c r="C328" s="47"/>
      <c r="D328" s="20"/>
      <c r="E328" s="20"/>
    </row>
    <row r="329" spans="1:5" x14ac:dyDescent="0.2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25">
      <c r="A330" s="45" t="s">
        <v>448</v>
      </c>
      <c r="B330" s="45"/>
      <c r="C330" s="45"/>
      <c r="D330" s="45"/>
      <c r="E330" s="45"/>
    </row>
    <row r="331" spans="1:5" x14ac:dyDescent="0.25">
      <c r="A331" s="20" t="s">
        <v>449</v>
      </c>
      <c r="B331" s="46" t="s">
        <v>284</v>
      </c>
      <c r="C331" s="47"/>
      <c r="D331" s="20"/>
      <c r="E331" s="20"/>
    </row>
    <row r="332" spans="1:5" x14ac:dyDescent="0.25">
      <c r="A332" s="20" t="s">
        <v>450</v>
      </c>
      <c r="B332" s="46" t="s">
        <v>284</v>
      </c>
      <c r="C332" s="47"/>
      <c r="D332" s="20"/>
      <c r="E332" s="20"/>
    </row>
    <row r="333" spans="1:5" x14ac:dyDescent="0.25">
      <c r="A333" s="20" t="s">
        <v>451</v>
      </c>
      <c r="B333" s="46" t="s">
        <v>284</v>
      </c>
      <c r="C333" s="47"/>
      <c r="D333" s="20"/>
      <c r="E333" s="20"/>
    </row>
    <row r="334" spans="1:5" x14ac:dyDescent="0.25">
      <c r="A334" s="26" t="s">
        <v>452</v>
      </c>
      <c r="B334" s="46" t="s">
        <v>284</v>
      </c>
      <c r="C334" s="47">
        <v>2605417</v>
      </c>
      <c r="D334" s="20"/>
      <c r="E334" s="20"/>
    </row>
    <row r="335" spans="1:5" x14ac:dyDescent="0.25">
      <c r="A335" s="20" t="s">
        <v>453</v>
      </c>
      <c r="B335" s="46" t="s">
        <v>284</v>
      </c>
      <c r="C335" s="47"/>
      <c r="D335" s="20"/>
      <c r="E335" s="20"/>
    </row>
    <row r="336" spans="1:5" x14ac:dyDescent="0.25">
      <c r="A336" s="26" t="s">
        <v>454</v>
      </c>
      <c r="B336" s="46" t="s">
        <v>284</v>
      </c>
      <c r="C336" s="47"/>
      <c r="D336" s="20"/>
      <c r="E336" s="20"/>
    </row>
    <row r="337" spans="1:5" x14ac:dyDescent="0.25">
      <c r="A337" s="26" t="s">
        <v>455</v>
      </c>
      <c r="B337" s="46" t="s">
        <v>284</v>
      </c>
      <c r="C337" s="272"/>
      <c r="D337" s="20"/>
      <c r="E337" s="20"/>
    </row>
    <row r="338" spans="1:5" x14ac:dyDescent="0.25">
      <c r="A338" s="20" t="s">
        <v>456</v>
      </c>
      <c r="B338" s="46" t="s">
        <v>284</v>
      </c>
      <c r="C338" s="47"/>
      <c r="D338" s="20"/>
      <c r="E338" s="20"/>
    </row>
    <row r="339" spans="1:5" x14ac:dyDescent="0.25">
      <c r="A339" s="20" t="s">
        <v>215</v>
      </c>
      <c r="B339" s="20"/>
      <c r="C339" s="27"/>
      <c r="D339" s="32">
        <f>SUM(C331:C338)</f>
        <v>2605417</v>
      </c>
      <c r="E339" s="20"/>
    </row>
    <row r="340" spans="1:5" x14ac:dyDescent="0.25">
      <c r="A340" s="20" t="s">
        <v>457</v>
      </c>
      <c r="B340" s="20"/>
      <c r="C340" s="27"/>
      <c r="D340" s="32">
        <f>C323</f>
        <v>500032</v>
      </c>
      <c r="E340" s="20"/>
    </row>
    <row r="341" spans="1:5" x14ac:dyDescent="0.25">
      <c r="A341" s="20" t="s">
        <v>458</v>
      </c>
      <c r="B341" s="20"/>
      <c r="C341" s="27"/>
      <c r="D341" s="32">
        <f>D339-D340</f>
        <v>2105385</v>
      </c>
      <c r="E341" s="20"/>
    </row>
    <row r="342" spans="1:5" x14ac:dyDescent="0.25">
      <c r="A342" s="20"/>
      <c r="B342" s="20"/>
      <c r="C342" s="27"/>
      <c r="D342" s="20"/>
      <c r="E342" s="20"/>
    </row>
    <row r="343" spans="1:5" x14ac:dyDescent="0.25">
      <c r="A343" s="20" t="s">
        <v>459</v>
      </c>
      <c r="B343" s="46" t="s">
        <v>284</v>
      </c>
      <c r="C343" s="327">
        <f>41795376+2530427</f>
        <v>44325803</v>
      </c>
      <c r="D343" s="20"/>
      <c r="E343" s="20"/>
    </row>
    <row r="344" spans="1:5" x14ac:dyDescent="0.25">
      <c r="A344" s="20"/>
      <c r="B344" s="46"/>
      <c r="C344" s="57"/>
      <c r="D344" s="20"/>
      <c r="E344" s="20"/>
    </row>
    <row r="345" spans="1:5" x14ac:dyDescent="0.25">
      <c r="A345" s="20" t="s">
        <v>460</v>
      </c>
      <c r="B345" s="46" t="s">
        <v>284</v>
      </c>
      <c r="C345" s="234"/>
      <c r="D345" s="20"/>
      <c r="E345" s="20"/>
    </row>
    <row r="346" spans="1:5" x14ac:dyDescent="0.25">
      <c r="A346" s="20" t="s">
        <v>461</v>
      </c>
      <c r="B346" s="46" t="s">
        <v>284</v>
      </c>
      <c r="C346" s="234"/>
      <c r="D346" s="20"/>
      <c r="E346" s="20"/>
    </row>
    <row r="347" spans="1:5" x14ac:dyDescent="0.25">
      <c r="A347" s="20" t="s">
        <v>462</v>
      </c>
      <c r="B347" s="46" t="s">
        <v>284</v>
      </c>
      <c r="C347" s="234"/>
      <c r="D347" s="20"/>
      <c r="E347" s="20"/>
    </row>
    <row r="348" spans="1:5" x14ac:dyDescent="0.25">
      <c r="A348" s="20" t="s">
        <v>463</v>
      </c>
      <c r="B348" s="46" t="s">
        <v>284</v>
      </c>
      <c r="C348" s="234"/>
      <c r="D348" s="20"/>
      <c r="E348" s="20"/>
    </row>
    <row r="349" spans="1:5" x14ac:dyDescent="0.25">
      <c r="A349" s="20" t="s">
        <v>464</v>
      </c>
      <c r="B349" s="46" t="s">
        <v>284</v>
      </c>
      <c r="C349" s="234"/>
      <c r="D349" s="20"/>
      <c r="E349" s="20"/>
    </row>
    <row r="350" spans="1:5" x14ac:dyDescent="0.25">
      <c r="A350" s="20" t="s">
        <v>465</v>
      </c>
      <c r="B350" s="20"/>
      <c r="C350" s="27"/>
      <c r="D350" s="32">
        <f>D324+D329+D341+C343+C347+C348</f>
        <v>58448824</v>
      </c>
      <c r="E350" s="20"/>
    </row>
    <row r="351" spans="1:5" x14ac:dyDescent="0.25">
      <c r="A351" s="20"/>
      <c r="B351" s="20"/>
      <c r="C351" s="27"/>
      <c r="D351" s="20"/>
      <c r="E351" s="20"/>
    </row>
    <row r="352" spans="1:5" x14ac:dyDescent="0.25">
      <c r="A352" s="20" t="s">
        <v>466</v>
      </c>
      <c r="B352" s="20"/>
      <c r="C352" s="27"/>
      <c r="D352" s="32">
        <f>D308</f>
        <v>58448824</v>
      </c>
      <c r="E352" s="20"/>
    </row>
    <row r="353" spans="1:5" x14ac:dyDescent="0.25">
      <c r="A353" s="20"/>
      <c r="B353" s="20"/>
      <c r="C353" s="27"/>
      <c r="D353" s="20"/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38" t="s">
        <v>467</v>
      </c>
      <c r="B356" s="38"/>
      <c r="C356" s="38"/>
      <c r="D356" s="38"/>
      <c r="E356" s="38"/>
    </row>
    <row r="357" spans="1:5" x14ac:dyDescent="0.25">
      <c r="A357" s="45" t="s">
        <v>468</v>
      </c>
      <c r="B357" s="45"/>
      <c r="C357" s="45"/>
      <c r="D357" s="45"/>
      <c r="E357" s="45"/>
    </row>
    <row r="358" spans="1:5" x14ac:dyDescent="0.25">
      <c r="A358" s="20" t="s">
        <v>469</v>
      </c>
      <c r="B358" s="46" t="s">
        <v>284</v>
      </c>
      <c r="C358" s="234">
        <v>90713958</v>
      </c>
      <c r="D358" s="20"/>
      <c r="E358" s="20"/>
    </row>
    <row r="359" spans="1:5" x14ac:dyDescent="0.25">
      <c r="A359" s="20" t="s">
        <v>470</v>
      </c>
      <c r="B359" s="46" t="s">
        <v>284</v>
      </c>
      <c r="C359" s="234">
        <v>194345357</v>
      </c>
      <c r="D359" s="20"/>
      <c r="E359" s="20"/>
    </row>
    <row r="360" spans="1:5" x14ac:dyDescent="0.25">
      <c r="A360" s="20" t="s">
        <v>471</v>
      </c>
      <c r="B360" s="20"/>
      <c r="C360" s="27"/>
      <c r="D360" s="32">
        <f>SUM(C358:C359)</f>
        <v>285059315</v>
      </c>
      <c r="E360" s="20"/>
    </row>
    <row r="361" spans="1:5" x14ac:dyDescent="0.25">
      <c r="A361" s="45" t="s">
        <v>472</v>
      </c>
      <c r="B361" s="45"/>
      <c r="C361" s="45"/>
      <c r="D361" s="45"/>
      <c r="E361" s="45"/>
    </row>
    <row r="362" spans="1:5" x14ac:dyDescent="0.25">
      <c r="A362" s="20" t="s">
        <v>377</v>
      </c>
      <c r="B362" s="45"/>
      <c r="C362" s="47">
        <v>5965953</v>
      </c>
      <c r="D362" s="20"/>
      <c r="E362" s="45"/>
    </row>
    <row r="363" spans="1:5" x14ac:dyDescent="0.25">
      <c r="A363" s="20" t="s">
        <v>473</v>
      </c>
      <c r="B363" s="46" t="s">
        <v>284</v>
      </c>
      <c r="C363" s="47">
        <v>172562672</v>
      </c>
      <c r="D363" s="20"/>
      <c r="E363" s="20"/>
    </row>
    <row r="364" spans="1:5" x14ac:dyDescent="0.25">
      <c r="A364" s="20" t="s">
        <v>474</v>
      </c>
      <c r="B364" s="46" t="s">
        <v>284</v>
      </c>
      <c r="C364" s="47">
        <v>3753852</v>
      </c>
      <c r="D364" s="20"/>
      <c r="E364" s="20"/>
    </row>
    <row r="365" spans="1:5" x14ac:dyDescent="0.25">
      <c r="A365" s="20" t="s">
        <v>475</v>
      </c>
      <c r="B365" s="46" t="s">
        <v>284</v>
      </c>
      <c r="C365" s="47"/>
      <c r="D365" s="20"/>
      <c r="E365" s="20"/>
    </row>
    <row r="366" spans="1:5" x14ac:dyDescent="0.25">
      <c r="A366" s="20" t="s">
        <v>394</v>
      </c>
      <c r="B366" s="20"/>
      <c r="C366" s="27"/>
      <c r="D366" s="32">
        <f>SUM(C362:C365)</f>
        <v>182282477</v>
      </c>
      <c r="E366" s="20"/>
    </row>
    <row r="367" spans="1:5" x14ac:dyDescent="0.25">
      <c r="A367" s="20" t="s">
        <v>476</v>
      </c>
      <c r="B367" s="20"/>
      <c r="C367" s="27"/>
      <c r="D367" s="32">
        <f>D360-D366</f>
        <v>102776838</v>
      </c>
      <c r="E367" s="20"/>
    </row>
    <row r="368" spans="1:5" x14ac:dyDescent="0.25">
      <c r="A368" s="58" t="s">
        <v>477</v>
      </c>
      <c r="B368" s="45"/>
      <c r="C368" s="45"/>
      <c r="D368" s="45"/>
      <c r="E368" s="45"/>
    </row>
    <row r="369" spans="1:6" x14ac:dyDescent="0.25">
      <c r="A369" s="32" t="s">
        <v>478</v>
      </c>
      <c r="B369" s="20"/>
      <c r="C369" s="20"/>
      <c r="D369" s="20"/>
      <c r="E369" s="20"/>
    </row>
    <row r="370" spans="1:6" x14ac:dyDescent="0.25">
      <c r="A370" s="59" t="s">
        <v>479</v>
      </c>
      <c r="B370" s="40" t="s">
        <v>284</v>
      </c>
      <c r="C370" s="273"/>
      <c r="D370" s="32"/>
      <c r="E370" s="32"/>
    </row>
    <row r="371" spans="1:6" x14ac:dyDescent="0.25">
      <c r="A371" s="59" t="s">
        <v>480</v>
      </c>
      <c r="B371" s="40" t="s">
        <v>284</v>
      </c>
      <c r="C371" s="273">
        <v>412915</v>
      </c>
      <c r="D371" s="32"/>
      <c r="E371" s="32"/>
    </row>
    <row r="372" spans="1:6" x14ac:dyDescent="0.25">
      <c r="A372" s="59" t="s">
        <v>481</v>
      </c>
      <c r="B372" s="40" t="s">
        <v>284</v>
      </c>
      <c r="C372" s="273"/>
      <c r="D372" s="32"/>
      <c r="E372" s="32"/>
    </row>
    <row r="373" spans="1:6" x14ac:dyDescent="0.25">
      <c r="A373" s="59" t="s">
        <v>482</v>
      </c>
      <c r="B373" s="40" t="s">
        <v>284</v>
      </c>
      <c r="C373" s="273"/>
      <c r="D373" s="32"/>
      <c r="E373" s="32"/>
    </row>
    <row r="374" spans="1:6" x14ac:dyDescent="0.25">
      <c r="A374" s="59" t="s">
        <v>483</v>
      </c>
      <c r="B374" s="40" t="s">
        <v>284</v>
      </c>
      <c r="C374" s="273">
        <v>4926</v>
      </c>
      <c r="D374" s="32"/>
      <c r="E374" s="32"/>
    </row>
    <row r="375" spans="1:6" x14ac:dyDescent="0.25">
      <c r="A375" s="59" t="s">
        <v>484</v>
      </c>
      <c r="B375" s="40" t="s">
        <v>284</v>
      </c>
      <c r="C375" s="273"/>
      <c r="D375" s="32"/>
      <c r="E375" s="32"/>
    </row>
    <row r="376" spans="1:6" x14ac:dyDescent="0.25">
      <c r="A376" s="59" t="s">
        <v>485</v>
      </c>
      <c r="B376" s="40" t="s">
        <v>284</v>
      </c>
      <c r="C376" s="273"/>
      <c r="D376" s="32"/>
      <c r="E376" s="32"/>
    </row>
    <row r="377" spans="1:6" x14ac:dyDescent="0.25">
      <c r="A377" s="59" t="s">
        <v>486</v>
      </c>
      <c r="B377" s="40" t="s">
        <v>284</v>
      </c>
      <c r="C377" s="273"/>
      <c r="D377" s="32"/>
      <c r="E377" s="32"/>
    </row>
    <row r="378" spans="1:6" x14ac:dyDescent="0.25">
      <c r="A378" s="59" t="s">
        <v>487</v>
      </c>
      <c r="B378" s="40" t="s">
        <v>284</v>
      </c>
      <c r="C378" s="273"/>
      <c r="D378" s="32"/>
      <c r="E378" s="32"/>
    </row>
    <row r="379" spans="1:6" x14ac:dyDescent="0.25">
      <c r="A379" s="59" t="s">
        <v>488</v>
      </c>
      <c r="B379" s="40" t="s">
        <v>284</v>
      </c>
      <c r="C379" s="273">
        <v>174506</v>
      </c>
      <c r="D379" s="32"/>
      <c r="E379" s="32"/>
    </row>
    <row r="380" spans="1:6" x14ac:dyDescent="0.25">
      <c r="A380" s="59" t="s">
        <v>489</v>
      </c>
      <c r="B380" s="40" t="s">
        <v>284</v>
      </c>
      <c r="C380" s="236">
        <v>116928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25">
      <c r="A381" s="61" t="s">
        <v>490</v>
      </c>
      <c r="B381" s="46"/>
      <c r="C381" s="46"/>
      <c r="D381" s="32">
        <f>SUM(C370:C380)</f>
        <v>709275</v>
      </c>
      <c r="E381" s="32"/>
      <c r="F381" s="60"/>
    </row>
    <row r="382" spans="1:6" x14ac:dyDescent="0.25">
      <c r="A382" s="56" t="s">
        <v>491</v>
      </c>
      <c r="B382" s="46" t="s">
        <v>284</v>
      </c>
      <c r="C382" s="47"/>
      <c r="D382" s="32"/>
      <c r="E382" s="20"/>
    </row>
    <row r="383" spans="1:6" x14ac:dyDescent="0.25">
      <c r="A383" s="20" t="s">
        <v>492</v>
      </c>
      <c r="B383" s="20"/>
      <c r="C383" s="27"/>
      <c r="D383" s="32">
        <f>D381+C382</f>
        <v>709275</v>
      </c>
      <c r="E383" s="20"/>
    </row>
    <row r="384" spans="1:6" x14ac:dyDescent="0.25">
      <c r="A384" s="20" t="s">
        <v>493</v>
      </c>
      <c r="B384" s="20"/>
      <c r="C384" s="27"/>
      <c r="D384" s="32">
        <f>D367+D383</f>
        <v>103486113</v>
      </c>
      <c r="E384" s="20"/>
    </row>
    <row r="385" spans="1:5" x14ac:dyDescent="0.25">
      <c r="A385" s="20"/>
      <c r="B385" s="20"/>
      <c r="C385" s="27"/>
      <c r="D385" s="20"/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45" t="s">
        <v>494</v>
      </c>
      <c r="B388" s="45"/>
      <c r="C388" s="45"/>
      <c r="D388" s="45"/>
      <c r="E388" s="45"/>
    </row>
    <row r="389" spans="1:5" x14ac:dyDescent="0.25">
      <c r="A389" s="20" t="s">
        <v>495</v>
      </c>
      <c r="B389" s="46" t="s">
        <v>284</v>
      </c>
      <c r="C389" s="47">
        <v>30739422</v>
      </c>
      <c r="D389" s="20"/>
      <c r="E389" s="20"/>
    </row>
    <row r="390" spans="1:5" x14ac:dyDescent="0.25">
      <c r="A390" s="20" t="s">
        <v>9</v>
      </c>
      <c r="B390" s="46" t="s">
        <v>284</v>
      </c>
      <c r="C390" s="47">
        <v>7911474</v>
      </c>
      <c r="D390" s="20"/>
      <c r="E390" s="20"/>
    </row>
    <row r="391" spans="1:5" x14ac:dyDescent="0.25">
      <c r="A391" s="20" t="s">
        <v>249</v>
      </c>
      <c r="B391" s="46" t="s">
        <v>284</v>
      </c>
      <c r="C391" s="47">
        <f>2090224-C406</f>
        <v>1936519</v>
      </c>
      <c r="D391" s="20"/>
      <c r="E391" s="20"/>
    </row>
    <row r="392" spans="1:5" x14ac:dyDescent="0.25">
      <c r="A392" s="20" t="s">
        <v>496</v>
      </c>
      <c r="B392" s="46" t="s">
        <v>284</v>
      </c>
      <c r="C392" s="47">
        <f>13733954-C401</f>
        <v>13249903</v>
      </c>
      <c r="D392" s="20"/>
      <c r="E392" s="20"/>
    </row>
    <row r="393" spans="1:5" x14ac:dyDescent="0.25">
      <c r="A393" s="20" t="s">
        <v>497</v>
      </c>
      <c r="B393" s="46" t="s">
        <v>284</v>
      </c>
      <c r="C393" s="47">
        <v>843535</v>
      </c>
      <c r="D393" s="20"/>
      <c r="E393" s="20"/>
    </row>
    <row r="394" spans="1:5" x14ac:dyDescent="0.25">
      <c r="A394" s="20" t="s">
        <v>498</v>
      </c>
      <c r="B394" s="46" t="s">
        <v>284</v>
      </c>
      <c r="C394" s="47">
        <f>12081528-C405-C407</f>
        <v>10902800</v>
      </c>
      <c r="D394" s="20"/>
      <c r="E394" s="20"/>
    </row>
    <row r="395" spans="1:5" x14ac:dyDescent="0.25">
      <c r="A395" s="20" t="s">
        <v>11</v>
      </c>
      <c r="B395" s="46" t="s">
        <v>284</v>
      </c>
      <c r="C395" s="47">
        <v>2265107</v>
      </c>
      <c r="D395" s="20"/>
      <c r="E395" s="20"/>
    </row>
    <row r="396" spans="1:5" x14ac:dyDescent="0.25">
      <c r="A396" s="20" t="s">
        <v>499</v>
      </c>
      <c r="B396" s="46" t="s">
        <v>284</v>
      </c>
      <c r="C396" s="47">
        <v>1004913</v>
      </c>
      <c r="D396" s="20"/>
      <c r="E396" s="20"/>
    </row>
    <row r="397" spans="1:5" x14ac:dyDescent="0.25">
      <c r="A397" s="20" t="s">
        <v>500</v>
      </c>
      <c r="B397" s="46" t="s">
        <v>284</v>
      </c>
      <c r="C397" s="47">
        <v>1919362</v>
      </c>
      <c r="D397" s="20"/>
      <c r="E397" s="20"/>
    </row>
    <row r="398" spans="1:5" x14ac:dyDescent="0.25">
      <c r="A398" s="20" t="s">
        <v>501</v>
      </c>
      <c r="B398" s="46" t="s">
        <v>284</v>
      </c>
      <c r="C398" s="47">
        <v>1006692</v>
      </c>
      <c r="D398" s="20"/>
      <c r="E398" s="20"/>
    </row>
    <row r="399" spans="1:5" x14ac:dyDescent="0.25">
      <c r="A399" s="20" t="s">
        <v>502</v>
      </c>
      <c r="B399" s="46" t="s">
        <v>284</v>
      </c>
      <c r="C399" s="47">
        <v>4629848</v>
      </c>
      <c r="D399" s="20"/>
      <c r="E399" s="20"/>
    </row>
    <row r="400" spans="1:5" x14ac:dyDescent="0.25">
      <c r="A400" s="32" t="s">
        <v>503</v>
      </c>
      <c r="B400" s="20"/>
      <c r="C400" s="20"/>
      <c r="D400" s="20"/>
      <c r="E400" s="20"/>
    </row>
    <row r="401" spans="1:9" x14ac:dyDescent="0.25">
      <c r="A401" s="33" t="s">
        <v>255</v>
      </c>
      <c r="B401" s="40" t="s">
        <v>284</v>
      </c>
      <c r="C401" s="273">
        <v>484051</v>
      </c>
      <c r="D401" s="32"/>
      <c r="E401" s="32"/>
    </row>
    <row r="402" spans="1:9" x14ac:dyDescent="0.25">
      <c r="A402" s="33" t="s">
        <v>256</v>
      </c>
      <c r="B402" s="40" t="s">
        <v>284</v>
      </c>
      <c r="C402" s="273">
        <v>6490162</v>
      </c>
      <c r="D402" s="32"/>
      <c r="E402" s="32"/>
    </row>
    <row r="403" spans="1:9" x14ac:dyDescent="0.25">
      <c r="A403" s="33" t="s">
        <v>504</v>
      </c>
      <c r="B403" s="40" t="s">
        <v>284</v>
      </c>
      <c r="C403" s="273"/>
      <c r="D403" s="32"/>
      <c r="E403" s="32"/>
    </row>
    <row r="404" spans="1:9" x14ac:dyDescent="0.25">
      <c r="A404" s="33" t="s">
        <v>258</v>
      </c>
      <c r="B404" s="40" t="s">
        <v>284</v>
      </c>
      <c r="C404" s="273"/>
      <c r="D404" s="32"/>
      <c r="E404" s="32"/>
    </row>
    <row r="405" spans="1:9" x14ac:dyDescent="0.25">
      <c r="A405" s="33" t="s">
        <v>259</v>
      </c>
      <c r="B405" s="40" t="s">
        <v>284</v>
      </c>
      <c r="C405" s="273">
        <v>261643</v>
      </c>
      <c r="D405" s="32"/>
      <c r="E405" s="32"/>
    </row>
    <row r="406" spans="1:9" x14ac:dyDescent="0.25">
      <c r="A406" s="33" t="s">
        <v>260</v>
      </c>
      <c r="B406" s="40" t="s">
        <v>284</v>
      </c>
      <c r="C406" s="273">
        <f>105400+48305</f>
        <v>153705</v>
      </c>
      <c r="D406" s="32"/>
      <c r="E406" s="32"/>
    </row>
    <row r="407" spans="1:9" x14ac:dyDescent="0.25">
      <c r="A407" s="33" t="s">
        <v>261</v>
      </c>
      <c r="B407" s="40" t="s">
        <v>284</v>
      </c>
      <c r="C407" s="273">
        <v>917085</v>
      </c>
      <c r="D407" s="32"/>
      <c r="E407" s="32"/>
    </row>
    <row r="408" spans="1:9" x14ac:dyDescent="0.25">
      <c r="A408" s="33" t="s">
        <v>262</v>
      </c>
      <c r="B408" s="40" t="s">
        <v>284</v>
      </c>
      <c r="C408" s="273">
        <v>494921</v>
      </c>
      <c r="D408" s="32"/>
      <c r="E408" s="32"/>
    </row>
    <row r="409" spans="1:9" x14ac:dyDescent="0.25">
      <c r="A409" s="33" t="s">
        <v>263</v>
      </c>
      <c r="B409" s="40" t="s">
        <v>284</v>
      </c>
      <c r="C409" s="273">
        <v>14501192</v>
      </c>
      <c r="D409" s="32"/>
      <c r="E409" s="32"/>
    </row>
    <row r="410" spans="1:9" x14ac:dyDescent="0.25">
      <c r="A410" s="33" t="s">
        <v>264</v>
      </c>
      <c r="B410" s="40" t="s">
        <v>284</v>
      </c>
      <c r="C410" s="273"/>
      <c r="D410" s="32"/>
      <c r="E410" s="32"/>
    </row>
    <row r="411" spans="1:9" x14ac:dyDescent="0.25">
      <c r="A411" s="33" t="s">
        <v>265</v>
      </c>
      <c r="B411" s="40" t="s">
        <v>284</v>
      </c>
      <c r="C411" s="273"/>
      <c r="D411" s="32"/>
      <c r="E411" s="32"/>
    </row>
    <row r="412" spans="1:9" x14ac:dyDescent="0.25">
      <c r="A412" s="33" t="s">
        <v>266</v>
      </c>
      <c r="B412" s="40" t="s">
        <v>284</v>
      </c>
      <c r="C412" s="273"/>
      <c r="D412" s="32"/>
      <c r="E412" s="32"/>
    </row>
    <row r="413" spans="1:9" x14ac:dyDescent="0.25">
      <c r="A413" s="33" t="s">
        <v>267</v>
      </c>
      <c r="B413" s="40" t="s">
        <v>284</v>
      </c>
      <c r="C413" s="273"/>
      <c r="D413" s="32"/>
      <c r="E413" s="32"/>
    </row>
    <row r="414" spans="1:9" x14ac:dyDescent="0.25">
      <c r="A414" s="33" t="s">
        <v>268</v>
      </c>
      <c r="B414" s="40" t="s">
        <v>284</v>
      </c>
      <c r="C414" s="236">
        <f>1745175-C398</f>
        <v>738483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25">
      <c r="A415" s="62" t="s">
        <v>505</v>
      </c>
      <c r="B415" s="46"/>
      <c r="C415" s="46"/>
      <c r="D415" s="32">
        <f>SUM(C401:C414)</f>
        <v>24041242</v>
      </c>
      <c r="E415" s="32"/>
      <c r="F415" s="60"/>
      <c r="G415" s="60"/>
      <c r="H415" s="60"/>
      <c r="I415" s="60"/>
    </row>
    <row r="416" spans="1:9" x14ac:dyDescent="0.25">
      <c r="A416" s="32" t="s">
        <v>506</v>
      </c>
      <c r="B416" s="20"/>
      <c r="C416" s="27"/>
      <c r="D416" s="32">
        <f>SUM(C389:C399,D415)</f>
        <v>100450817</v>
      </c>
      <c r="E416" s="32"/>
    </row>
    <row r="417" spans="1:13" x14ac:dyDescent="0.25">
      <c r="A417" s="32" t="s">
        <v>507</v>
      </c>
      <c r="B417" s="20"/>
      <c r="C417" s="27"/>
      <c r="D417" s="32">
        <f>D384-D416</f>
        <v>3035296</v>
      </c>
      <c r="E417" s="32"/>
    </row>
    <row r="418" spans="1:13" x14ac:dyDescent="0.25">
      <c r="A418" s="32" t="s">
        <v>508</v>
      </c>
      <c r="B418" s="20"/>
      <c r="C418" s="236">
        <v>-58043</v>
      </c>
      <c r="D418" s="32"/>
      <c r="E418" s="32"/>
    </row>
    <row r="419" spans="1:13" x14ac:dyDescent="0.25">
      <c r="A419" s="59" t="s">
        <v>509</v>
      </c>
      <c r="B419" s="46" t="s">
        <v>284</v>
      </c>
      <c r="C419" s="273"/>
      <c r="D419" s="32"/>
      <c r="E419" s="32"/>
    </row>
    <row r="420" spans="1:13" x14ac:dyDescent="0.25">
      <c r="A420" s="61" t="s">
        <v>510</v>
      </c>
      <c r="B420" s="20"/>
      <c r="C420" s="20"/>
      <c r="D420" s="32">
        <f>SUM(C418:C419)</f>
        <v>-58043</v>
      </c>
      <c r="E420" s="32"/>
    </row>
    <row r="421" spans="1:13" x14ac:dyDescent="0.25">
      <c r="A421" s="32" t="s">
        <v>511</v>
      </c>
      <c r="B421" s="20"/>
      <c r="C421" s="27"/>
      <c r="D421" s="32">
        <f>D417+D420</f>
        <v>2977253</v>
      </c>
      <c r="E421" s="32"/>
      <c r="F421" s="63"/>
    </row>
    <row r="422" spans="1:13" x14ac:dyDescent="0.25">
      <c r="A422" s="32" t="s">
        <v>512</v>
      </c>
      <c r="B422" s="46" t="s">
        <v>284</v>
      </c>
      <c r="C422" s="47">
        <v>-446826</v>
      </c>
      <c r="D422" s="32"/>
      <c r="E422" s="20"/>
    </row>
    <row r="423" spans="1:13" x14ac:dyDescent="0.25">
      <c r="A423" s="20" t="s">
        <v>513</v>
      </c>
      <c r="B423" s="46" t="s">
        <v>284</v>
      </c>
      <c r="C423" s="47"/>
      <c r="D423" s="32"/>
      <c r="E423" s="20"/>
    </row>
    <row r="424" spans="1:13" x14ac:dyDescent="0.25">
      <c r="A424" s="20" t="s">
        <v>514</v>
      </c>
      <c r="B424" s="20"/>
      <c r="C424" s="27"/>
      <c r="D424" s="32">
        <f>D421+C422-C423</f>
        <v>2530427</v>
      </c>
      <c r="E424" s="20"/>
    </row>
    <row r="427" spans="1:13" x14ac:dyDescent="0.25">
      <c r="M427" s="64"/>
    </row>
    <row r="428" spans="1:13" x14ac:dyDescent="0.25">
      <c r="M428" s="64"/>
    </row>
    <row r="429" spans="1:13" x14ac:dyDescent="0.25">
      <c r="M429" s="64"/>
    </row>
    <row r="433" spans="2:7" x14ac:dyDescent="0.25">
      <c r="B433" s="65"/>
      <c r="C433" s="65"/>
      <c r="D433" s="65"/>
      <c r="E433" s="65"/>
      <c r="F433" s="65"/>
      <c r="G433" s="65"/>
    </row>
    <row r="574" spans="2:83" x14ac:dyDescent="0.2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2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2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" customHeight="1" x14ac:dyDescent="0.2">
      <c r="A612" s="251"/>
      <c r="C612" s="249" t="s">
        <v>515</v>
      </c>
      <c r="D612" s="256">
        <f>CE90-(BE90+CD90)</f>
        <v>104457</v>
      </c>
      <c r="E612" s="258">
        <f>SUM(C624:D647)+SUM(C668:D713)</f>
        <v>75546176.503001258</v>
      </c>
      <c r="F612" s="258">
        <f>CE64-(AX64+BD64+BE64+BG64+BJ64+BN64+BP64+BQ64+CB64+CC64+CD64)</f>
        <v>13237026</v>
      </c>
      <c r="G612" s="256">
        <f>CE91-(AX91+AY91+BD91+BE91+BG91+BJ91+BN91+BP91+BQ91+CB91+CC91+CD91)</f>
        <v>25513</v>
      </c>
      <c r="H612" s="261">
        <f>CE60-(AX60+AY60+AZ60+BD60+BE60+BG60+BJ60+BN60+BO60+BP60+BQ60+BR60+CB60+CC60+CD60)</f>
        <v>325.40999999999991</v>
      </c>
      <c r="I612" s="256">
        <f>CE92-(AX92+AY92+AZ92+BD92+BE92+BF92+BG92+BJ92+BN92+BO92+BP92+BQ92+BR92+CB92+CC92+CD92)</f>
        <v>40526</v>
      </c>
      <c r="J612" s="256">
        <f>CE93-(AX93+AY93+AZ93+BA93+BD93+BE93+BF93+BG93+BJ93+BN93+BO93+BP93+BQ93+BR93+CB93+CC93+CD93)</f>
        <v>382956.16000000003</v>
      </c>
      <c r="K612" s="256">
        <f>CE89-(AW89+AX89+AY89+AZ89+BA89+BB89+BC89+BD89+BE89+BF89+BG89+BH89+BI89+BJ89+BK89+BL89+BM89+BN89+BO89+BP89+BQ89+BR89+BS89+BT89+BU89+BV89+BW89+BX89+CB89+CC89+CD89)</f>
        <v>285059315</v>
      </c>
      <c r="L612" s="262">
        <f>CE94-(AW94+AX94+AY94+AZ94+BA94+BB94+BC94+BD94+BE94+BF94+BG94+BH94+BI94+BJ94+BK94+BL94+BM94+BN94+BO94+BP94+BQ94+BR94+BS94+BT94+BU94+BV94+BW94+BX94+BY94+BZ94+CA94+CB94+CC94+CD94)</f>
        <v>82.2</v>
      </c>
    </row>
    <row r="613" spans="1:14" s="231" customFormat="1" ht="12.6" customHeight="1" x14ac:dyDescent="0.2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" customHeight="1" x14ac:dyDescent="0.2">
      <c r="A614" s="251">
        <v>8430</v>
      </c>
      <c r="B614" s="250" t="s">
        <v>152</v>
      </c>
      <c r="C614" s="256">
        <f>BE85</f>
        <v>1599462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" customHeight="1" x14ac:dyDescent="0.2">
      <c r="A615" s="251"/>
      <c r="B615" s="250" t="s">
        <v>527</v>
      </c>
      <c r="C615" s="256">
        <f>CD69-CD84</f>
        <v>0</v>
      </c>
      <c r="D615" s="256">
        <f>SUM(C614:C615)</f>
        <v>1599462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" customHeight="1" x14ac:dyDescent="0.2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" customHeight="1" x14ac:dyDescent="0.2">
      <c r="A617" s="251">
        <v>8510</v>
      </c>
      <c r="B617" s="255" t="s">
        <v>157</v>
      </c>
      <c r="C617" s="256">
        <f>BJ85</f>
        <v>419705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" customHeight="1" x14ac:dyDescent="0.2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" customHeight="1" x14ac:dyDescent="0.2">
      <c r="A619" s="251">
        <v>8610</v>
      </c>
      <c r="B619" s="255" t="s">
        <v>534</v>
      </c>
      <c r="C619" s="256">
        <f>BN85</f>
        <v>15571367</v>
      </c>
      <c r="D619" s="256">
        <f>(D615/D612)*BN90</f>
        <v>253569.32249633819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" customHeight="1" x14ac:dyDescent="0.2">
      <c r="A620" s="251">
        <v>8790</v>
      </c>
      <c r="B620" s="255" t="s">
        <v>536</v>
      </c>
      <c r="C620" s="256">
        <f>CC85</f>
        <v>1786707</v>
      </c>
      <c r="D620" s="256">
        <f>(D615/D612)*CC90</f>
        <v>20120.174502426835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" customHeight="1" x14ac:dyDescent="0.2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" customHeight="1" x14ac:dyDescent="0.2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" customHeight="1" x14ac:dyDescent="0.2">
      <c r="A623" s="251">
        <v>8640</v>
      </c>
      <c r="B623" s="255" t="s">
        <v>542</v>
      </c>
      <c r="C623" s="256">
        <f>BQ85</f>
        <v>303962</v>
      </c>
      <c r="D623" s="256">
        <f>(D615/D612)*BQ90</f>
        <v>0</v>
      </c>
      <c r="E623" s="258">
        <f>SUM(C616:D623)</f>
        <v>18355430.496998768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" customHeight="1" x14ac:dyDescent="0.2">
      <c r="A624" s="251">
        <v>8420</v>
      </c>
      <c r="B624" s="255" t="s">
        <v>151</v>
      </c>
      <c r="C624" s="256">
        <f>BD85</f>
        <v>-32633</v>
      </c>
      <c r="D624" s="256">
        <f>(D615/D612)*BD90</f>
        <v>0</v>
      </c>
      <c r="E624" s="258">
        <f>(E623/E612)*SUM(C624:D624)</f>
        <v>-7928.8296395088155</v>
      </c>
      <c r="F624" s="258">
        <f>SUM(C624:E624)</f>
        <v>-40561.829639508818</v>
      </c>
      <c r="G624" s="256"/>
      <c r="H624" s="258"/>
      <c r="I624" s="256"/>
      <c r="J624" s="256"/>
      <c r="N624" s="252" t="s">
        <v>544</v>
      </c>
    </row>
    <row r="625" spans="1:14" s="231" customFormat="1" ht="12.6" customHeight="1" x14ac:dyDescent="0.2">
      <c r="A625" s="251">
        <v>8320</v>
      </c>
      <c r="B625" s="255" t="s">
        <v>147</v>
      </c>
      <c r="C625" s="256">
        <f>AY85</f>
        <v>996694</v>
      </c>
      <c r="D625" s="256">
        <f>(D615/D612)*AY90</f>
        <v>48018.924839886269</v>
      </c>
      <c r="E625" s="258">
        <f>(E623/E612)*SUM(C625:D625)</f>
        <v>253833.56734742242</v>
      </c>
      <c r="F625" s="258">
        <f>(F624/F612)*AY64</f>
        <v>-1379.54994670669</v>
      </c>
      <c r="G625" s="256">
        <f>SUM(C625:F625)</f>
        <v>1297166.9422406019</v>
      </c>
      <c r="H625" s="258"/>
      <c r="I625" s="256"/>
      <c r="J625" s="256"/>
      <c r="N625" s="252" t="s">
        <v>545</v>
      </c>
    </row>
    <row r="626" spans="1:14" s="231" customFormat="1" ht="12.6" customHeight="1" x14ac:dyDescent="0.2">
      <c r="A626" s="251">
        <v>8650</v>
      </c>
      <c r="B626" s="255" t="s">
        <v>164</v>
      </c>
      <c r="C626" s="256">
        <f>BR85</f>
        <v>65212</v>
      </c>
      <c r="D626" s="256">
        <f>(D615/D612)*BR90</f>
        <v>0</v>
      </c>
      <c r="E626" s="258">
        <f>(E623/E612)*SUM(C626:D626)</f>
        <v>15844.538916178373</v>
      </c>
      <c r="F626" s="258">
        <f>(F624/F612)*BR64</f>
        <v>-19.813573717318683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" customHeight="1" x14ac:dyDescent="0.2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" customHeight="1" x14ac:dyDescent="0.2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81036.725342461054</v>
      </c>
      <c r="I628" s="256"/>
      <c r="J628" s="256"/>
      <c r="N628" s="252" t="s">
        <v>549</v>
      </c>
    </row>
    <row r="629" spans="1:14" s="231" customFormat="1" ht="12.6" customHeight="1" x14ac:dyDescent="0.2">
      <c r="A629" s="251">
        <v>8460</v>
      </c>
      <c r="B629" s="255" t="s">
        <v>153</v>
      </c>
      <c r="C629" s="256">
        <f>BF85</f>
        <v>1245384</v>
      </c>
      <c r="D629" s="256">
        <f>(D615/D612)*BF90</f>
        <v>1699.6494442689336</v>
      </c>
      <c r="E629" s="258">
        <f>(E623/E612)*SUM(C629:D629)</f>
        <v>303003.51799284591</v>
      </c>
      <c r="F629" s="258">
        <f>(F624/F612)*BF64</f>
        <v>-393.13672551977032</v>
      </c>
      <c r="G629" s="256">
        <f>(G625/G612)*BF91</f>
        <v>0</v>
      </c>
      <c r="H629" s="258">
        <f>(H628/H612)*BF60</f>
        <v>4851.0967999481936</v>
      </c>
      <c r="I629" s="256">
        <f>SUM(C629:H629)</f>
        <v>1554545.1275115435</v>
      </c>
      <c r="J629" s="256"/>
      <c r="N629" s="252" t="s">
        <v>550</v>
      </c>
    </row>
    <row r="630" spans="1:14" s="231" customFormat="1" ht="12.6" customHeight="1" x14ac:dyDescent="0.2">
      <c r="A630" s="251">
        <v>8350</v>
      </c>
      <c r="B630" s="255" t="s">
        <v>551</v>
      </c>
      <c r="C630" s="256">
        <f>BA85</f>
        <v>275037</v>
      </c>
      <c r="D630" s="256">
        <f>(D615/D612)*BA90</f>
        <v>10213.208822769177</v>
      </c>
      <c r="E630" s="258">
        <f>(E623/E612)*SUM(C630:D630)</f>
        <v>69307.152587566306</v>
      </c>
      <c r="F630" s="258">
        <f>(F624/F612)*BA64</f>
        <v>0.20224185978085879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354557.56365219527</v>
      </c>
      <c r="N630" s="252" t="s">
        <v>552</v>
      </c>
    </row>
    <row r="631" spans="1:14" s="231" customFormat="1" ht="12.6" customHeight="1" x14ac:dyDescent="0.2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" customHeight="1" x14ac:dyDescent="0.2">
      <c r="A632" s="251">
        <v>8360</v>
      </c>
      <c r="B632" s="255" t="s">
        <v>555</v>
      </c>
      <c r="C632" s="256">
        <f>BB85</f>
        <v>125104</v>
      </c>
      <c r="D632" s="256">
        <f>(D615/D612)*BB90</f>
        <v>1485.27924409087</v>
      </c>
      <c r="E632" s="258">
        <f>(E623/E612)*SUM(C632:D632)</f>
        <v>30757.356948935303</v>
      </c>
      <c r="F632" s="258">
        <f>(F624/F612)*BB64</f>
        <v>-3.0060494612882191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" customHeight="1" x14ac:dyDescent="0.2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" customHeight="1" x14ac:dyDescent="0.2">
      <c r="A634" s="251">
        <v>8490</v>
      </c>
      <c r="B634" s="255" t="s">
        <v>559</v>
      </c>
      <c r="C634" s="256">
        <f>BI85</f>
        <v>212935</v>
      </c>
      <c r="D634" s="256">
        <f>(D615/D612)*BI90</f>
        <v>0</v>
      </c>
      <c r="E634" s="258">
        <f>(E623/E612)*SUM(C634:D634)</f>
        <v>51736.749281059347</v>
      </c>
      <c r="F634" s="258">
        <f>(F624/F612)*BI64</f>
        <v>-121.28076618585773</v>
      </c>
      <c r="G634" s="256">
        <f>(G625/G612)*BI91</f>
        <v>0</v>
      </c>
      <c r="H634" s="258">
        <f>(H628/H612)*BI60</f>
        <v>209.18487227702684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" customHeight="1" x14ac:dyDescent="0.2">
      <c r="A635" s="251">
        <v>8530</v>
      </c>
      <c r="B635" s="255" t="s">
        <v>561</v>
      </c>
      <c r="C635" s="256">
        <f>BK85</f>
        <v>42458</v>
      </c>
      <c r="D635" s="256">
        <f>(D615/D612)*BK90</f>
        <v>32216.778655331858</v>
      </c>
      <c r="E635" s="258">
        <f>(E623/E612)*SUM(C635:D635)</f>
        <v>18143.707238873394</v>
      </c>
      <c r="F635" s="258">
        <f>(F624/F612)*BK64</f>
        <v>0</v>
      </c>
      <c r="G635" s="256">
        <f>(G625/G612)*BK91</f>
        <v>0</v>
      </c>
      <c r="H635" s="258">
        <f>(H628/H612)*BK60</f>
        <v>3197.5401905202675</v>
      </c>
      <c r="I635" s="256">
        <f>(I629/I612)*BK92</f>
        <v>20713.970509209728</v>
      </c>
      <c r="J635" s="256">
        <f>(J630/J612)*BK93</f>
        <v>0</v>
      </c>
      <c r="N635" s="252" t="s">
        <v>562</v>
      </c>
    </row>
    <row r="636" spans="1:14" s="231" customFormat="1" ht="12.6" customHeight="1" x14ac:dyDescent="0.2">
      <c r="A636" s="251">
        <v>8480</v>
      </c>
      <c r="B636" s="255" t="s">
        <v>563</v>
      </c>
      <c r="C636" s="256">
        <f>BH85</f>
        <v>1616473</v>
      </c>
      <c r="D636" s="256">
        <f>(D615/D612)*BH90</f>
        <v>0</v>
      </c>
      <c r="E636" s="258">
        <f>(E623/E612)*SUM(C636:D636)</f>
        <v>392753.93110856292</v>
      </c>
      <c r="F636" s="258">
        <f>(F624/F612)*BH64</f>
        <v>-513.60852426650456</v>
      </c>
      <c r="G636" s="256">
        <f>(G625/G612)*BH91</f>
        <v>0</v>
      </c>
      <c r="H636" s="258">
        <f>(H628/H612)*BH60</f>
        <v>4188.678037737609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" customHeight="1" x14ac:dyDescent="0.2">
      <c r="A637" s="251">
        <v>8560</v>
      </c>
      <c r="B637" s="255" t="s">
        <v>159</v>
      </c>
      <c r="C637" s="256">
        <f>BL85</f>
        <v>1139789</v>
      </c>
      <c r="D637" s="256">
        <f>(D615/D612)*BL90</f>
        <v>0</v>
      </c>
      <c r="E637" s="258">
        <f>(E623/E612)*SUM(C637:D637)</f>
        <v>276934.17111470329</v>
      </c>
      <c r="F637" s="258">
        <f>(F624/F612)*BL64</f>
        <v>-62.241464482860664</v>
      </c>
      <c r="G637" s="256">
        <f>(G625/G612)*BL91</f>
        <v>0</v>
      </c>
      <c r="H637" s="258">
        <f>(H628/H612)*BL60</f>
        <v>4734.0528833170001</v>
      </c>
      <c r="I637" s="256">
        <f>(I629/I612)*BL92</f>
        <v>35443.905093536647</v>
      </c>
      <c r="J637" s="256">
        <f>(J630/J612)*BL93</f>
        <v>0</v>
      </c>
      <c r="N637" s="252" t="s">
        <v>565</v>
      </c>
    </row>
    <row r="638" spans="1:14" s="231" customFormat="1" ht="12.6" customHeight="1" x14ac:dyDescent="0.2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5753.8806970027017</v>
      </c>
      <c r="J638" s="256">
        <f>(J630/J612)*BM93</f>
        <v>0</v>
      </c>
      <c r="N638" s="252" t="s">
        <v>567</v>
      </c>
    </row>
    <row r="639" spans="1:14" s="231" customFormat="1" ht="12.6" customHeight="1" x14ac:dyDescent="0.2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" customHeight="1" x14ac:dyDescent="0.2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" customHeight="1" x14ac:dyDescent="0.2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" customHeight="1" x14ac:dyDescent="0.2">
      <c r="A642" s="251">
        <v>8690</v>
      </c>
      <c r="B642" s="255" t="s">
        <v>574</v>
      </c>
      <c r="C642" s="256">
        <f>BV85</f>
        <v>669875</v>
      </c>
      <c r="D642" s="256">
        <f>(D615/D612)*BV90</f>
        <v>40684.401562365376</v>
      </c>
      <c r="E642" s="258">
        <f>(E623/E612)*SUM(C642:D642)</f>
        <v>172644.39198784449</v>
      </c>
      <c r="F642" s="258">
        <f>(F624/F612)*BV64</f>
        <v>-148.78872338665727</v>
      </c>
      <c r="G642" s="256">
        <f>(G625/G612)*BV91</f>
        <v>0</v>
      </c>
      <c r="H642" s="258">
        <f>(H628/H612)*BV60</f>
        <v>1511.6097318113725</v>
      </c>
      <c r="I642" s="256">
        <f>(I629/I612)*BV92</f>
        <v>5753.8806970027017</v>
      </c>
      <c r="J642" s="256">
        <f>(J630/J612)*BV93</f>
        <v>0</v>
      </c>
      <c r="N642" s="252" t="s">
        <v>575</v>
      </c>
    </row>
    <row r="643" spans="1:14" s="231" customFormat="1" ht="12.6" customHeight="1" x14ac:dyDescent="0.2">
      <c r="A643" s="251">
        <v>8700</v>
      </c>
      <c r="B643" s="255" t="s">
        <v>576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" customHeight="1" x14ac:dyDescent="0.2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4904648.5443263976</v>
      </c>
      <c r="L644" s="258"/>
      <c r="N644" s="252" t="s">
        <v>579</v>
      </c>
    </row>
    <row r="645" spans="1:14" s="231" customFormat="1" ht="12.6" customHeight="1" x14ac:dyDescent="0.2">
      <c r="A645" s="251">
        <v>8720</v>
      </c>
      <c r="B645" s="255" t="s">
        <v>580</v>
      </c>
      <c r="C645" s="256">
        <f>BY85</f>
        <v>1397367</v>
      </c>
      <c r="D645" s="256">
        <f>(D615/D612)*BY90</f>
        <v>2863.373388092708</v>
      </c>
      <c r="E645" s="258">
        <f>(E623/E612)*SUM(C645:D645)</f>
        <v>340213.52884074417</v>
      </c>
      <c r="F645" s="258">
        <f>(F624/F612)*BY64</f>
        <v>-25.890022322552667</v>
      </c>
      <c r="G645" s="256">
        <f>(G625/G612)*BY91</f>
        <v>0</v>
      </c>
      <c r="H645" s="258">
        <f>(H628/H612)*BY60</f>
        <v>809.34623202421096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" customHeight="1" x14ac:dyDescent="0.2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" customHeight="1" x14ac:dyDescent="0.2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1741227.3584385386</v>
      </c>
      <c r="N647" s="252" t="s">
        <v>585</v>
      </c>
    </row>
    <row r="648" spans="1:14" s="231" customFormat="1" ht="12.6" customHeight="1" x14ac:dyDescent="0.2">
      <c r="A648" s="251"/>
      <c r="B648" s="251"/>
      <c r="C648" s="231">
        <f>SUM(C614:C647)</f>
        <v>27434898</v>
      </c>
      <c r="L648" s="254"/>
    </row>
    <row r="666" spans="1:14" s="231" customFormat="1" ht="12.6" customHeight="1" x14ac:dyDescent="0.2">
      <c r="C666" s="249" t="s">
        <v>586</v>
      </c>
      <c r="M666" s="249" t="s">
        <v>587</v>
      </c>
    </row>
    <row r="667" spans="1:14" s="231" customFormat="1" ht="12.6" customHeight="1" x14ac:dyDescent="0.2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" customHeight="1" x14ac:dyDescent="0.2">
      <c r="A668" s="251">
        <v>6010</v>
      </c>
      <c r="B668" s="250" t="s">
        <v>315</v>
      </c>
      <c r="C668" s="256">
        <f>C85</f>
        <v>3729352</v>
      </c>
      <c r="D668" s="256">
        <f>(D615/D612)*C90</f>
        <v>34222.671242712313</v>
      </c>
      <c r="E668" s="258">
        <f>(E623/E612)*SUM(C668:D668)</f>
        <v>914434.54183966736</v>
      </c>
      <c r="F668" s="258">
        <f>(F624/F612)*C64</f>
        <v>-370.09953912836886</v>
      </c>
      <c r="G668" s="256">
        <f>(G625/G612)*C91</f>
        <v>229913.72683776903</v>
      </c>
      <c r="H668" s="258">
        <f>(H628/H612)*C60</f>
        <v>3040.6515363124972</v>
      </c>
      <c r="I668" s="256">
        <f>(I629/I612)*C92</f>
        <v>88801.558757075036</v>
      </c>
      <c r="J668" s="256">
        <f>(J630/J612)*C93</f>
        <v>49410.66946659614</v>
      </c>
      <c r="K668" s="256">
        <f>(K644/K612)*C89</f>
        <v>142512.43683534834</v>
      </c>
      <c r="L668" s="256">
        <f>(L647/L612)*C94</f>
        <v>258642.16601623548</v>
      </c>
      <c r="M668" s="231">
        <f t="shared" ref="M668:M713" si="18">ROUND(SUM(D668:L668),0)</f>
        <v>1720608</v>
      </c>
      <c r="N668" s="250" t="s">
        <v>589</v>
      </c>
    </row>
    <row r="669" spans="1:14" s="231" customFormat="1" ht="12.6" customHeight="1" x14ac:dyDescent="0.2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" customHeight="1" x14ac:dyDescent="0.2">
      <c r="A670" s="251">
        <v>6070</v>
      </c>
      <c r="B670" s="250" t="s">
        <v>591</v>
      </c>
      <c r="C670" s="256">
        <f>E85</f>
        <v>8036296</v>
      </c>
      <c r="D670" s="256">
        <f>(D615/D612)*E90</f>
        <v>299949.84652057785</v>
      </c>
      <c r="E670" s="258">
        <f>(E623/E612)*SUM(C670:D670)</f>
        <v>2025455.0041407351</v>
      </c>
      <c r="F670" s="258">
        <f>(F624/F612)*E64</f>
        <v>-848.26058106237383</v>
      </c>
      <c r="G670" s="256">
        <f>(G625/G612)*E91</f>
        <v>969532.25499102555</v>
      </c>
      <c r="H670" s="258">
        <f>(H628/H612)*E60</f>
        <v>7214.3877974588895</v>
      </c>
      <c r="I670" s="256">
        <f>(I629/I612)*E92</f>
        <v>349068.76228483062</v>
      </c>
      <c r="J670" s="256">
        <f>(J630/J612)*E93</f>
        <v>123331.12621004264</v>
      </c>
      <c r="K670" s="256">
        <f>(K644/K612)*E89</f>
        <v>272610.67700040649</v>
      </c>
      <c r="L670" s="256">
        <f>(L647/L612)*E94</f>
        <v>613666.13836939738</v>
      </c>
      <c r="M670" s="231">
        <f t="shared" si="18"/>
        <v>4659980</v>
      </c>
      <c r="N670" s="250" t="s">
        <v>592</v>
      </c>
    </row>
    <row r="671" spans="1:14" s="231" customFormat="1" ht="12.6" customHeight="1" x14ac:dyDescent="0.2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" customHeight="1" x14ac:dyDescent="0.2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" customHeight="1" x14ac:dyDescent="0.2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" customHeight="1" x14ac:dyDescent="0.2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" customHeight="1" x14ac:dyDescent="0.2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16469.514221669127</v>
      </c>
      <c r="L675" s="256">
        <f>(L647/L612)*J94</f>
        <v>0</v>
      </c>
      <c r="M675" s="231">
        <f t="shared" si="18"/>
        <v>16470</v>
      </c>
      <c r="N675" s="250" t="s">
        <v>601</v>
      </c>
    </row>
    <row r="676" spans="1:14" s="231" customFormat="1" ht="12.6" customHeight="1" x14ac:dyDescent="0.2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" customHeight="1" x14ac:dyDescent="0.2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" customHeight="1" x14ac:dyDescent="0.2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" customHeight="1" x14ac:dyDescent="0.2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" customHeight="1" x14ac:dyDescent="0.2">
      <c r="A680" s="251">
        <v>7010</v>
      </c>
      <c r="B680" s="250" t="s">
        <v>608</v>
      </c>
      <c r="C680" s="256">
        <f>O85</f>
        <v>75674</v>
      </c>
      <c r="D680" s="256">
        <f>(D615/D612)*O90</f>
        <v>57420.589333409916</v>
      </c>
      <c r="E680" s="258">
        <f>(E623/E612)*SUM(C680:D680)</f>
        <v>32337.950074004668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89759</v>
      </c>
      <c r="N680" s="250" t="s">
        <v>609</v>
      </c>
    </row>
    <row r="681" spans="1:14" s="231" customFormat="1" ht="12.6" customHeight="1" x14ac:dyDescent="0.2">
      <c r="A681" s="251">
        <v>7020</v>
      </c>
      <c r="B681" s="250" t="s">
        <v>610</v>
      </c>
      <c r="C681" s="256">
        <f>P85</f>
        <v>5571323</v>
      </c>
      <c r="D681" s="256">
        <f>(D615/D612)*P90</f>
        <v>58798.683477411752</v>
      </c>
      <c r="E681" s="258">
        <f>(E623/E612)*SUM(C681:D681)</f>
        <v>1367948.8762294909</v>
      </c>
      <c r="F681" s="258">
        <f>(F624/F612)*P64</f>
        <v>-10824.532839909452</v>
      </c>
      <c r="G681" s="256">
        <f>(G625/G612)*P91</f>
        <v>0</v>
      </c>
      <c r="H681" s="258">
        <f>(H628/H612)*P60</f>
        <v>3145.2439724510109</v>
      </c>
      <c r="I681" s="256">
        <f>(I629/I612)*P92</f>
        <v>133221.51773793591</v>
      </c>
      <c r="J681" s="256">
        <f>(J630/J612)*P93</f>
        <v>25109.484042935645</v>
      </c>
      <c r="K681" s="256">
        <f>(K644/K612)*P89</f>
        <v>567936.35250162764</v>
      </c>
      <c r="L681" s="256">
        <f>(L647/L612)*P94</f>
        <v>267538.94813964411</v>
      </c>
      <c r="M681" s="231">
        <f t="shared" si="18"/>
        <v>2412875</v>
      </c>
      <c r="N681" s="250" t="s">
        <v>611</v>
      </c>
    </row>
    <row r="682" spans="1:14" s="231" customFormat="1" ht="12.6" customHeight="1" x14ac:dyDescent="0.2">
      <c r="A682" s="251">
        <v>7030</v>
      </c>
      <c r="B682" s="250" t="s">
        <v>612</v>
      </c>
      <c r="C682" s="256">
        <f>Q85</f>
        <v>693708</v>
      </c>
      <c r="D682" s="256">
        <f>(D615/D612)*Q90</f>
        <v>17685.541514690256</v>
      </c>
      <c r="E682" s="258">
        <f>(E623/E612)*SUM(C682:D682)</f>
        <v>172847.06270697823</v>
      </c>
      <c r="F682" s="258">
        <f>(F624/F612)*Q64</f>
        <v>-82.410493590097218</v>
      </c>
      <c r="G682" s="256">
        <f>(G625/G612)*Q91</f>
        <v>0</v>
      </c>
      <c r="H682" s="258">
        <f>(H628/H612)*Q60</f>
        <v>811.83652812274693</v>
      </c>
      <c r="I682" s="256">
        <f>(I629/I612)*Q92</f>
        <v>20944.125737089835</v>
      </c>
      <c r="J682" s="256">
        <f>(J630/J612)*Q93</f>
        <v>12359.189935801414</v>
      </c>
      <c r="K682" s="256">
        <f>(K644/K612)*Q89</f>
        <v>81393.652010509642</v>
      </c>
      <c r="L682" s="256">
        <f>(L647/L612)*Q94</f>
        <v>69055.975529314295</v>
      </c>
      <c r="M682" s="231">
        <f t="shared" si="18"/>
        <v>375015</v>
      </c>
      <c r="N682" s="250" t="s">
        <v>613</v>
      </c>
    </row>
    <row r="683" spans="1:14" s="231" customFormat="1" ht="12.6" customHeight="1" x14ac:dyDescent="0.2">
      <c r="A683" s="251">
        <v>7040</v>
      </c>
      <c r="B683" s="250" t="s">
        <v>118</v>
      </c>
      <c r="C683" s="256">
        <f>R85</f>
        <v>1299462</v>
      </c>
      <c r="D683" s="256">
        <f>(D615/D612)*R90</f>
        <v>0</v>
      </c>
      <c r="E683" s="258">
        <f>(E623/E612)*SUM(C683:D683)</f>
        <v>315729.86918197543</v>
      </c>
      <c r="F683" s="258">
        <f>(F624/F612)*R64</f>
        <v>-318.08967418805798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143688.2063867664</v>
      </c>
      <c r="L683" s="256">
        <f>(L647/L612)*R94</f>
        <v>0</v>
      </c>
      <c r="M683" s="231">
        <f t="shared" si="18"/>
        <v>459100</v>
      </c>
      <c r="N683" s="250" t="s">
        <v>614</v>
      </c>
    </row>
    <row r="684" spans="1:14" s="231" customFormat="1" ht="12.6" customHeight="1" x14ac:dyDescent="0.2">
      <c r="A684" s="251">
        <v>7050</v>
      </c>
      <c r="B684" s="250" t="s">
        <v>615</v>
      </c>
      <c r="C684" s="256">
        <f>S85</f>
        <v>95748</v>
      </c>
      <c r="D684" s="256">
        <f>(D615/D612)*S90</f>
        <v>23718.531433987191</v>
      </c>
      <c r="E684" s="258">
        <f>(E623/E612)*SUM(C684:D684)</f>
        <v>29026.745177063378</v>
      </c>
      <c r="F684" s="258">
        <f>(F624/F612)*S64</f>
        <v>152.09200709641129</v>
      </c>
      <c r="G684" s="256">
        <f>(G625/G612)*S91</f>
        <v>0</v>
      </c>
      <c r="H684" s="258">
        <f>(H628/H612)*S60</f>
        <v>326.22878890822045</v>
      </c>
      <c r="I684" s="256">
        <f>(I629/I612)*S92</f>
        <v>16801.331635247891</v>
      </c>
      <c r="J684" s="256">
        <f>(J630/J612)*S93</f>
        <v>312.88889212869526</v>
      </c>
      <c r="K684" s="256">
        <f>(K644/K612)*S89</f>
        <v>291286.58293648157</v>
      </c>
      <c r="L684" s="256">
        <f>(L647/L612)*S94</f>
        <v>0</v>
      </c>
      <c r="M684" s="231">
        <f t="shared" si="18"/>
        <v>361624</v>
      </c>
      <c r="N684" s="250" t="s">
        <v>616</v>
      </c>
    </row>
    <row r="685" spans="1:14" s="231" customFormat="1" ht="12.6" customHeight="1" x14ac:dyDescent="0.2">
      <c r="A685" s="251">
        <v>7060</v>
      </c>
      <c r="B685" s="250" t="s">
        <v>617</v>
      </c>
      <c r="C685" s="256">
        <f>T85</f>
        <v>137828</v>
      </c>
      <c r="D685" s="256">
        <f>(D615/D612)*T90</f>
        <v>0</v>
      </c>
      <c r="E685" s="258">
        <f>(E623/E612)*SUM(C685:D685)</f>
        <v>33488.025359428219</v>
      </c>
      <c r="F685" s="258">
        <f>(F624/F612)*T64</f>
        <v>-423.73346748813208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17378.560821991381</v>
      </c>
      <c r="L685" s="256">
        <f>(L647/L612)*T94</f>
        <v>0</v>
      </c>
      <c r="M685" s="231">
        <f t="shared" si="18"/>
        <v>50443</v>
      </c>
      <c r="N685" s="250" t="s">
        <v>618</v>
      </c>
    </row>
    <row r="686" spans="1:14" s="231" customFormat="1" ht="12.6" customHeight="1" x14ac:dyDescent="0.2">
      <c r="A686" s="251">
        <v>7070</v>
      </c>
      <c r="B686" s="250" t="s">
        <v>121</v>
      </c>
      <c r="C686" s="256">
        <f>U85</f>
        <v>4530984</v>
      </c>
      <c r="D686" s="256">
        <f>(D615/D612)*U90</f>
        <v>0</v>
      </c>
      <c r="E686" s="258">
        <f>(E623/E612)*SUM(C686:D686)</f>
        <v>1100891.7425716363</v>
      </c>
      <c r="F686" s="258">
        <f>(F624/F612)*U64</f>
        <v>-2499.951464269031</v>
      </c>
      <c r="G686" s="256">
        <f>(G625/G612)*U91</f>
        <v>0</v>
      </c>
      <c r="H686" s="258">
        <f>(H628/H612)*U60</f>
        <v>6063.8709999352423</v>
      </c>
      <c r="I686" s="256">
        <f>(I629/I612)*U92</f>
        <v>34254.769749489424</v>
      </c>
      <c r="J686" s="256">
        <f>(J630/J612)*U93</f>
        <v>130.36805711093825</v>
      </c>
      <c r="K686" s="256">
        <f>(K644/K612)*U89</f>
        <v>672251.83287975122</v>
      </c>
      <c r="L686" s="256">
        <f>(L647/L612)*U94</f>
        <v>0</v>
      </c>
      <c r="M686" s="231">
        <f t="shared" si="18"/>
        <v>1811093</v>
      </c>
      <c r="N686" s="250" t="s">
        <v>619</v>
      </c>
    </row>
    <row r="687" spans="1:14" s="231" customFormat="1" ht="12.6" customHeight="1" x14ac:dyDescent="0.2">
      <c r="A687" s="251">
        <v>7110</v>
      </c>
      <c r="B687" s="250" t="s">
        <v>620</v>
      </c>
      <c r="C687" s="256">
        <f>V85</f>
        <v>249504</v>
      </c>
      <c r="D687" s="256">
        <f>(D615/D612)*V90</f>
        <v>39336.93173267469</v>
      </c>
      <c r="E687" s="258">
        <f>(E623/E612)*SUM(C687:D687)</f>
        <v>70179.5893918847</v>
      </c>
      <c r="F687" s="258">
        <f>(F624/F612)*V64</f>
        <v>-3.7506672177541085</v>
      </c>
      <c r="G687" s="256">
        <f>(G625/G612)*V91</f>
        <v>0</v>
      </c>
      <c r="H687" s="258">
        <f>(H628/H612)*V60</f>
        <v>328.71908500675647</v>
      </c>
      <c r="I687" s="256">
        <f>(I629/I612)*V92</f>
        <v>5984.0359248828099</v>
      </c>
      <c r="J687" s="256">
        <f>(J630/J612)*V93</f>
        <v>860.4513971819664</v>
      </c>
      <c r="K687" s="256">
        <f>(K644/K612)*V89</f>
        <v>41674.230900294126</v>
      </c>
      <c r="L687" s="256">
        <f>(L647/L612)*V94</f>
        <v>0</v>
      </c>
      <c r="M687" s="231">
        <f t="shared" si="18"/>
        <v>158360</v>
      </c>
      <c r="N687" s="250" t="s">
        <v>621</v>
      </c>
    </row>
    <row r="688" spans="1:14" s="231" customFormat="1" ht="12.6" customHeight="1" x14ac:dyDescent="0.2">
      <c r="A688" s="251">
        <v>7120</v>
      </c>
      <c r="B688" s="250" t="s">
        <v>622</v>
      </c>
      <c r="C688" s="256">
        <f>W85</f>
        <v>342717</v>
      </c>
      <c r="D688" s="256">
        <f>(D615/D612)*W90</f>
        <v>0</v>
      </c>
      <c r="E688" s="258">
        <f>(E623/E612)*SUM(C688:D688)</f>
        <v>83269.840577438255</v>
      </c>
      <c r="F688" s="258">
        <f>(F624/F612)*W64</f>
        <v>-24.511100551319537</v>
      </c>
      <c r="G688" s="256">
        <f>(G625/G612)*W91</f>
        <v>0</v>
      </c>
      <c r="H688" s="258">
        <f>(H628/H612)*W60</f>
        <v>460.70477822916627</v>
      </c>
      <c r="I688" s="256">
        <f>(I629/I612)*W92</f>
        <v>6674.5016085231346</v>
      </c>
      <c r="J688" s="256">
        <f>(J630/J612)*W93</f>
        <v>2529.2014136390808</v>
      </c>
      <c r="K688" s="256">
        <f>(K644/K612)*W89</f>
        <v>128687.01044167865</v>
      </c>
      <c r="L688" s="256">
        <f>(L647/L612)*W94</f>
        <v>0</v>
      </c>
      <c r="M688" s="231">
        <f t="shared" si="18"/>
        <v>221597</v>
      </c>
      <c r="N688" s="250" t="s">
        <v>623</v>
      </c>
    </row>
    <row r="689" spans="1:14" s="231" customFormat="1" ht="12.6" customHeight="1" x14ac:dyDescent="0.2">
      <c r="A689" s="251">
        <v>7130</v>
      </c>
      <c r="B689" s="250" t="s">
        <v>624</v>
      </c>
      <c r="C689" s="256">
        <f>X85</f>
        <v>339281</v>
      </c>
      <c r="D689" s="256">
        <f>(D615/D612)*X90</f>
        <v>0</v>
      </c>
      <c r="E689" s="258">
        <f>(E623/E612)*SUM(C689:D689)</f>
        <v>82434.996749369981</v>
      </c>
      <c r="F689" s="258">
        <f>(F624/F612)*X64</f>
        <v>-25.310875178634753</v>
      </c>
      <c r="G689" s="256">
        <f>(G625/G612)*X91</f>
        <v>0</v>
      </c>
      <c r="H689" s="258">
        <f>(H628/H612)*X60</f>
        <v>493.07862751013465</v>
      </c>
      <c r="I689" s="256">
        <f>(I629/I612)*X92</f>
        <v>0</v>
      </c>
      <c r="J689" s="256">
        <f>(J630/J612)*X93</f>
        <v>3259.2754952727028</v>
      </c>
      <c r="K689" s="256">
        <f>(K644/K612)*X89</f>
        <v>370334.40814061771</v>
      </c>
      <c r="L689" s="256">
        <f>(L647/L612)*X94</f>
        <v>0</v>
      </c>
      <c r="M689" s="231">
        <f t="shared" si="18"/>
        <v>456496</v>
      </c>
      <c r="N689" s="250" t="s">
        <v>625</v>
      </c>
    </row>
    <row r="690" spans="1:14" s="231" customFormat="1" ht="12.6" customHeight="1" x14ac:dyDescent="0.2">
      <c r="A690" s="251">
        <v>7140</v>
      </c>
      <c r="B690" s="250" t="s">
        <v>626</v>
      </c>
      <c r="C690" s="256">
        <f>Y85</f>
        <v>5877566</v>
      </c>
      <c r="D690" s="256">
        <f>(D615/D612)*Y90</f>
        <v>66975.375398489326</v>
      </c>
      <c r="E690" s="258">
        <f>(E623/E612)*SUM(C690:D690)</f>
        <v>1444343.3288556382</v>
      </c>
      <c r="F690" s="258">
        <f>(F624/F612)*Y64</f>
        <v>-3478.2137256526617</v>
      </c>
      <c r="G690" s="256">
        <f>(G625/G612)*Y91</f>
        <v>0</v>
      </c>
      <c r="H690" s="258">
        <f>(H628/H612)*Y60</f>
        <v>5550.8700036368191</v>
      </c>
      <c r="I690" s="256">
        <f>(I629/I612)*Y92</f>
        <v>62372.066755509288</v>
      </c>
      <c r="J690" s="256">
        <f>(J630/J612)*Y93</f>
        <v>33453.391518657103</v>
      </c>
      <c r="K690" s="256">
        <f>(K644/K612)*Y89</f>
        <v>590441.5617531382</v>
      </c>
      <c r="L690" s="256">
        <f>(L647/L612)*Y94</f>
        <v>0</v>
      </c>
      <c r="M690" s="231">
        <f t="shared" si="18"/>
        <v>2199658</v>
      </c>
      <c r="N690" s="250" t="s">
        <v>627</v>
      </c>
    </row>
    <row r="691" spans="1:14" s="231" customFormat="1" ht="12.6" customHeight="1" x14ac:dyDescent="0.2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" customHeight="1" x14ac:dyDescent="0.2">
      <c r="A692" s="251">
        <v>7160</v>
      </c>
      <c r="B692" s="250" t="s">
        <v>630</v>
      </c>
      <c r="C692" s="256">
        <f>AA85</f>
        <v>186674</v>
      </c>
      <c r="D692" s="256">
        <f>(D615/D612)*AA90</f>
        <v>3583.0447744047788</v>
      </c>
      <c r="E692" s="258">
        <f>(E623/E612)*SUM(C692:D692)</f>
        <v>46226.693706758691</v>
      </c>
      <c r="F692" s="258">
        <f>(F624/F612)*AA64</f>
        <v>-289.33149458134045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0</v>
      </c>
      <c r="K692" s="256">
        <f>(K644/K612)*AA89</f>
        <v>15421.101352228306</v>
      </c>
      <c r="L692" s="256">
        <f>(L647/L612)*AA94</f>
        <v>0</v>
      </c>
      <c r="M692" s="231">
        <f t="shared" si="18"/>
        <v>64942</v>
      </c>
      <c r="N692" s="250" t="s">
        <v>631</v>
      </c>
    </row>
    <row r="693" spans="1:14" s="231" customFormat="1" ht="12.6" customHeight="1" x14ac:dyDescent="0.2">
      <c r="A693" s="251">
        <v>7170</v>
      </c>
      <c r="B693" s="250" t="s">
        <v>127</v>
      </c>
      <c r="C693" s="256">
        <f>AB85</f>
        <v>6458210</v>
      </c>
      <c r="D693" s="256">
        <f>(D615/D612)*AB90</f>
        <v>0</v>
      </c>
      <c r="E693" s="258">
        <f>(E623/E612)*SUM(C693:D693)</f>
        <v>1569149.2313355261</v>
      </c>
      <c r="F693" s="258">
        <f>(F624/F612)*AB64</f>
        <v>-15408.062678947166</v>
      </c>
      <c r="G693" s="256">
        <f>(G625/G612)*AB91</f>
        <v>0</v>
      </c>
      <c r="H693" s="258">
        <f>(H628/H612)*AB60</f>
        <v>2241.2664886824305</v>
      </c>
      <c r="I693" s="256">
        <f>(I629/I612)*AB92</f>
        <v>12888.692761286053</v>
      </c>
      <c r="J693" s="256">
        <f>(J630/J612)*AB93</f>
        <v>0</v>
      </c>
      <c r="K693" s="256">
        <f>(K644/K612)*AB89</f>
        <v>527998.98663450778</v>
      </c>
      <c r="L693" s="256">
        <f>(L647/L612)*AB94</f>
        <v>0</v>
      </c>
      <c r="M693" s="231">
        <f t="shared" si="18"/>
        <v>2096870</v>
      </c>
      <c r="N693" s="250" t="s">
        <v>632</v>
      </c>
    </row>
    <row r="694" spans="1:14" s="231" customFormat="1" ht="12.6" customHeight="1" x14ac:dyDescent="0.2">
      <c r="A694" s="251">
        <v>7180</v>
      </c>
      <c r="B694" s="250" t="s">
        <v>633</v>
      </c>
      <c r="C694" s="256">
        <f>AC85</f>
        <v>1013871</v>
      </c>
      <c r="D694" s="256">
        <f>(D615/D612)*AC90</f>
        <v>3766.7906602716907</v>
      </c>
      <c r="E694" s="258">
        <f>(E623/E612)*SUM(C694:D694)</f>
        <v>247255.13060004992</v>
      </c>
      <c r="F694" s="258">
        <f>(F624/F612)*AC64</f>
        <v>-304.35254907597329</v>
      </c>
      <c r="G694" s="256">
        <f>(G625/G612)*AC91</f>
        <v>0</v>
      </c>
      <c r="H694" s="258">
        <f>(H628/H612)*AC60</f>
        <v>201.71398398141875</v>
      </c>
      <c r="I694" s="256">
        <f>(I629/I612)*AC92</f>
        <v>18642.573458288756</v>
      </c>
      <c r="J694" s="256">
        <f>(J630/J612)*AC93</f>
        <v>0</v>
      </c>
      <c r="K694" s="256">
        <f>(K644/K612)*AC89</f>
        <v>71296.393755747238</v>
      </c>
      <c r="L694" s="256">
        <f>(L647/L612)*AC94</f>
        <v>0</v>
      </c>
      <c r="M694" s="231">
        <f t="shared" si="18"/>
        <v>340858</v>
      </c>
      <c r="N694" s="250" t="s">
        <v>634</v>
      </c>
    </row>
    <row r="695" spans="1:14" s="231" customFormat="1" ht="12.6" customHeight="1" x14ac:dyDescent="0.2">
      <c r="A695" s="251">
        <v>7190</v>
      </c>
      <c r="B695" s="250" t="s">
        <v>129</v>
      </c>
      <c r="C695" s="256">
        <f>AD85</f>
        <v>405757</v>
      </c>
      <c r="D695" s="256">
        <f>(D615/D612)*AD90</f>
        <v>0</v>
      </c>
      <c r="E695" s="258">
        <f>(E623/E612)*SUM(C695:D695)</f>
        <v>98586.649343859841</v>
      </c>
      <c r="F695" s="258">
        <f>(F624/F612)*AD64</f>
        <v>-0.11031374169865026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37500.400403027706</v>
      </c>
      <c r="L695" s="256">
        <f>(L647/L612)*AD94</f>
        <v>0</v>
      </c>
      <c r="M695" s="231">
        <f t="shared" si="18"/>
        <v>136087</v>
      </c>
      <c r="N695" s="250" t="s">
        <v>635</v>
      </c>
    </row>
    <row r="696" spans="1:14" s="231" customFormat="1" ht="12.6" customHeight="1" x14ac:dyDescent="0.2">
      <c r="A696" s="251">
        <v>7200</v>
      </c>
      <c r="B696" s="250" t="s">
        <v>636</v>
      </c>
      <c r="C696" s="256">
        <f>AE85</f>
        <v>665598</v>
      </c>
      <c r="D696" s="256">
        <f>(D615/D612)*AE90</f>
        <v>0</v>
      </c>
      <c r="E696" s="258">
        <f>(E623/E612)*SUM(C696:D696)</f>
        <v>161720.13453858942</v>
      </c>
      <c r="F696" s="258">
        <f>(F624/F612)*AE64</f>
        <v>-69.598778200040087</v>
      </c>
      <c r="G696" s="256">
        <f>(G625/G612)*AE91</f>
        <v>0</v>
      </c>
      <c r="H696" s="258">
        <f>(H628/H612)*AE60</f>
        <v>1491.6873630230843</v>
      </c>
      <c r="I696" s="256">
        <f>(I629/I612)*AE92</f>
        <v>20713.970509209728</v>
      </c>
      <c r="J696" s="256">
        <f>(J630/J612)*AE93</f>
        <v>0</v>
      </c>
      <c r="K696" s="256">
        <f>(K644/K612)*AE89</f>
        <v>40372.08539249633</v>
      </c>
      <c r="L696" s="256">
        <f>(L647/L612)*AE94</f>
        <v>0</v>
      </c>
      <c r="M696" s="231">
        <f t="shared" si="18"/>
        <v>224228</v>
      </c>
      <c r="N696" s="250" t="s">
        <v>637</v>
      </c>
    </row>
    <row r="697" spans="1:14" s="231" customFormat="1" ht="12.6" customHeight="1" x14ac:dyDescent="0.2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" customHeight="1" x14ac:dyDescent="0.2">
      <c r="A698" s="251">
        <v>7230</v>
      </c>
      <c r="B698" s="250" t="s">
        <v>640</v>
      </c>
      <c r="C698" s="256">
        <f>AG85</f>
        <v>6692075</v>
      </c>
      <c r="D698" s="256">
        <f>(D615/D612)*AG90</f>
        <v>123599.73255980929</v>
      </c>
      <c r="E698" s="258">
        <f>(E623/E612)*SUM(C698:D698)</f>
        <v>1656002.3238063168</v>
      </c>
      <c r="F698" s="258">
        <f>(F624/F612)*AG64</f>
        <v>-1475.5872516671732</v>
      </c>
      <c r="G698" s="256">
        <f>(G625/G612)*AG91</f>
        <v>0</v>
      </c>
      <c r="H698" s="258">
        <f>(H628/H612)*AG60</f>
        <v>4955.6892360867068</v>
      </c>
      <c r="I698" s="256">
        <f>(I629/I612)*AG92</f>
        <v>162911.54213446984</v>
      </c>
      <c r="J698" s="256">
        <f>(J630/J612)*AG93</f>
        <v>78535.584104610214</v>
      </c>
      <c r="K698" s="256">
        <f>(K644/K612)*AG89</f>
        <v>392679.36338835425</v>
      </c>
      <c r="L698" s="256">
        <f>(L647/L612)*AG94</f>
        <v>421538.01013293082</v>
      </c>
      <c r="M698" s="231">
        <f t="shared" si="18"/>
        <v>2838747</v>
      </c>
      <c r="N698" s="250" t="s">
        <v>641</v>
      </c>
    </row>
    <row r="699" spans="1:14" s="231" customFormat="1" ht="12.6" customHeight="1" x14ac:dyDescent="0.2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" customHeight="1" x14ac:dyDescent="0.2">
      <c r="A700" s="251">
        <v>7250</v>
      </c>
      <c r="B700" s="250" t="s">
        <v>643</v>
      </c>
      <c r="C700" s="256">
        <f>AI85</f>
        <v>831752</v>
      </c>
      <c r="D700" s="256">
        <f>(D615/D612)*AI90</f>
        <v>0</v>
      </c>
      <c r="E700" s="258">
        <f>(E623/E612)*SUM(C700:D700)</f>
        <v>202090.51911625458</v>
      </c>
      <c r="F700" s="258">
        <f>(F624/F612)*AI64</f>
        <v>-321.20603739104484</v>
      </c>
      <c r="G700" s="256">
        <f>(G625/G612)*AI91</f>
        <v>97720.960411807187</v>
      </c>
      <c r="H700" s="258">
        <f>(H628/H612)*AI60</f>
        <v>1302.4248595343458</v>
      </c>
      <c r="I700" s="256">
        <f>(I629/I612)*AI92</f>
        <v>47642.132171182377</v>
      </c>
      <c r="J700" s="256">
        <f>(J630/J612)*AI93</f>
        <v>18564.852034218122</v>
      </c>
      <c r="K700" s="256">
        <f>(K644/K612)*AI89</f>
        <v>26497.880804635148</v>
      </c>
      <c r="L700" s="256">
        <f>(L647/L612)*AI94</f>
        <v>110786.12025101652</v>
      </c>
      <c r="M700" s="231">
        <f t="shared" si="18"/>
        <v>504284</v>
      </c>
      <c r="N700" s="250" t="s">
        <v>644</v>
      </c>
    </row>
    <row r="701" spans="1:14" s="231" customFormat="1" ht="12.6" customHeight="1" x14ac:dyDescent="0.2">
      <c r="A701" s="251">
        <v>7260</v>
      </c>
      <c r="B701" s="250" t="s">
        <v>133</v>
      </c>
      <c r="C701" s="256">
        <f>AJ85</f>
        <v>16991467</v>
      </c>
      <c r="D701" s="256">
        <f>(D615/D612)*AJ90</f>
        <v>449932.42585944454</v>
      </c>
      <c r="E701" s="258">
        <f>(E623/E612)*SUM(C701:D701)</f>
        <v>4237731.2757719606</v>
      </c>
      <c r="F701" s="258">
        <f>(F624/F612)*AJ64</f>
        <v>-1655.1075449287127</v>
      </c>
      <c r="G701" s="256">
        <f>(G625/G612)*AJ91</f>
        <v>0</v>
      </c>
      <c r="H701" s="258">
        <f>(H628/H612)*AJ60</f>
        <v>19775.441318474645</v>
      </c>
      <c r="I701" s="256">
        <f>(I629/I612)*AJ92</f>
        <v>395982.06956772594</v>
      </c>
      <c r="J701" s="256">
        <f>(J630/J612)*AJ93</f>
        <v>0</v>
      </c>
      <c r="K701" s="256">
        <f>(K644/K612)*AJ89</f>
        <v>268213.70562114025</v>
      </c>
      <c r="L701" s="256">
        <f>(L647/L612)*AJ94</f>
        <v>0</v>
      </c>
      <c r="M701" s="231">
        <f t="shared" si="18"/>
        <v>5369980</v>
      </c>
      <c r="N701" s="250" t="s">
        <v>645</v>
      </c>
    </row>
    <row r="702" spans="1:14" s="231" customFormat="1" ht="12.6" customHeight="1" x14ac:dyDescent="0.2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647</v>
      </c>
    </row>
    <row r="703" spans="1:14" s="231" customFormat="1" ht="12.6" customHeight="1" x14ac:dyDescent="0.2">
      <c r="A703" s="251">
        <v>7320</v>
      </c>
      <c r="B703" s="250" t="s">
        <v>648</v>
      </c>
      <c r="C703" s="256">
        <f>AL85</f>
        <v>318324</v>
      </c>
      <c r="D703" s="256">
        <f>(D615/D612)*AL90</f>
        <v>0</v>
      </c>
      <c r="E703" s="258">
        <f>(E623/E612)*SUM(C703:D703)</f>
        <v>77343.081119327195</v>
      </c>
      <c r="F703" s="258">
        <f>(F624/F612)*AL64</f>
        <v>-177.57754569940224</v>
      </c>
      <c r="G703" s="256">
        <f>(G625/G612)*AL91</f>
        <v>0</v>
      </c>
      <c r="H703" s="258">
        <f>(H628/H612)*AL60</f>
        <v>709.73438808276967</v>
      </c>
      <c r="I703" s="256">
        <f>(I629/I612)*AL92</f>
        <v>56618.186058506588</v>
      </c>
      <c r="J703" s="256">
        <f>(J630/J612)*AL93</f>
        <v>0</v>
      </c>
      <c r="K703" s="256">
        <f>(K644/K612)*AL89</f>
        <v>32131.702013760314</v>
      </c>
      <c r="L703" s="256">
        <f>(L647/L612)*AL94</f>
        <v>0</v>
      </c>
      <c r="M703" s="231">
        <f t="shared" si="18"/>
        <v>166625</v>
      </c>
      <c r="N703" s="250" t="s">
        <v>649</v>
      </c>
    </row>
    <row r="704" spans="1:14" s="231" customFormat="1" ht="12.6" customHeight="1" x14ac:dyDescent="0.2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" customHeight="1" x14ac:dyDescent="0.2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" customHeight="1" x14ac:dyDescent="0.2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54760.086959174623</v>
      </c>
      <c r="L706" s="256">
        <f>(L647/L612)*AO94</f>
        <v>0</v>
      </c>
      <c r="M706" s="231">
        <f t="shared" si="18"/>
        <v>54760</v>
      </c>
      <c r="N706" s="250" t="s">
        <v>655</v>
      </c>
    </row>
    <row r="707" spans="1:14" s="231" customFormat="1" ht="12.6" customHeight="1" x14ac:dyDescent="0.2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657</v>
      </c>
    </row>
    <row r="708" spans="1:14" s="231" customFormat="1" ht="12.6" customHeight="1" x14ac:dyDescent="0.2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" customHeight="1" x14ac:dyDescent="0.2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" customHeight="1" x14ac:dyDescent="0.2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" customHeight="1" x14ac:dyDescent="0.2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" customHeight="1" x14ac:dyDescent="0.2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" customHeight="1" x14ac:dyDescent="0.2">
      <c r="A713" s="251">
        <v>7490</v>
      </c>
      <c r="B713" s="250" t="s">
        <v>667</v>
      </c>
      <c r="C713" s="256">
        <f>AV85</f>
        <v>1923538</v>
      </c>
      <c r="D713" s="256">
        <f>(D615/D612)*AV90</f>
        <v>9600.7225365461381</v>
      </c>
      <c r="E713" s="258">
        <f>(E623/E612)*SUM(C713:D713)</f>
        <v>469694.10107958125</v>
      </c>
      <c r="F713" s="258">
        <f>(F624/F612)*AV64</f>
        <v>552.99053005292274</v>
      </c>
      <c r="G713" s="256">
        <f>(G625/G612)*AV91</f>
        <v>0</v>
      </c>
      <c r="H713" s="258">
        <f>(H628/H612)*AV60</f>
        <v>3421.6668393885102</v>
      </c>
      <c r="I713" s="256">
        <f>(I629/I612)*AV92</f>
        <v>53357.653663538389</v>
      </c>
      <c r="J713" s="256">
        <f>(J630/J612)*AV93</f>
        <v>6701.0810840005679</v>
      </c>
      <c r="K713" s="256">
        <f>(K644/K612)*AV89</f>
        <v>101111.81117104476</v>
      </c>
      <c r="L713" s="256">
        <f>(L647/L612)*AV94</f>
        <v>0</v>
      </c>
      <c r="M713" s="231">
        <f t="shared" si="18"/>
        <v>644440</v>
      </c>
      <c r="N713" s="252" t="s">
        <v>668</v>
      </c>
    </row>
    <row r="714" spans="1:14" s="231" customFormat="1" ht="12.6" customHeight="1" x14ac:dyDescent="0.2"/>
    <row r="715" spans="1:14" s="231" customFormat="1" ht="12.6" customHeight="1" x14ac:dyDescent="0.2">
      <c r="C715" s="253">
        <f>SUM(C614:C647)+SUM(C668:C713)</f>
        <v>93901607</v>
      </c>
      <c r="D715" s="231">
        <f>SUM(D616:D647)+SUM(D668:D713)</f>
        <v>1599461.9999999998</v>
      </c>
      <c r="E715" s="231">
        <f>SUM(E624:E647)+SUM(E668:E713)</f>
        <v>18355430.496998761</v>
      </c>
      <c r="F715" s="231">
        <f>SUM(F625:F648)+SUM(F668:F713)</f>
        <v>-40561.829639508818</v>
      </c>
      <c r="G715" s="231">
        <f>SUM(G626:G647)+SUM(G668:G713)</f>
        <v>1297166.9422406019</v>
      </c>
      <c r="H715" s="231">
        <f>SUM(H629:H647)+SUM(H668:H713)</f>
        <v>81036.725342461083</v>
      </c>
      <c r="I715" s="231">
        <f>SUM(I630:I647)+SUM(I668:I713)</f>
        <v>1554545.1275115437</v>
      </c>
      <c r="J715" s="231">
        <f>SUM(J631:J647)+SUM(J668:J713)</f>
        <v>354557.56365219527</v>
      </c>
      <c r="K715" s="231">
        <f>SUM(K668:K713)</f>
        <v>4904648.5443263985</v>
      </c>
      <c r="L715" s="231">
        <f>SUM(L668:L713)</f>
        <v>1741227.3584385386</v>
      </c>
      <c r="M715" s="231">
        <f>SUM(M668:M713)</f>
        <v>27434899</v>
      </c>
      <c r="N715" s="250" t="s">
        <v>669</v>
      </c>
    </row>
    <row r="716" spans="1:14" s="231" customFormat="1" ht="12.6" customHeight="1" x14ac:dyDescent="0.2">
      <c r="C716" s="253">
        <f>CE85</f>
        <v>93901607</v>
      </c>
      <c r="D716" s="231">
        <f>D615</f>
        <v>1599462</v>
      </c>
      <c r="E716" s="231">
        <f>E623</f>
        <v>18355430.496998768</v>
      </c>
      <c r="F716" s="231">
        <f>F624</f>
        <v>-40561.829639508818</v>
      </c>
      <c r="G716" s="231">
        <f>G625</f>
        <v>1297166.9422406019</v>
      </c>
      <c r="H716" s="231">
        <f>H628</f>
        <v>81036.725342461054</v>
      </c>
      <c r="I716" s="231">
        <f>I629</f>
        <v>1554545.1275115435</v>
      </c>
      <c r="J716" s="231">
        <f>J630</f>
        <v>354557.56365219527</v>
      </c>
      <c r="K716" s="231">
        <f>K644</f>
        <v>4904648.5443263976</v>
      </c>
      <c r="L716" s="231">
        <f>L647</f>
        <v>1741227.3584385386</v>
      </c>
      <c r="M716" s="231">
        <f>C648</f>
        <v>27434898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F179CA7A-DB0B-4CA8-BD7B-F75AB6EDCC32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style="12" customWidth="1"/>
    <col min="2" max="2" width="55.77734375" style="12" customWidth="1"/>
    <col min="3" max="3" width="22" style="12" customWidth="1"/>
    <col min="4" max="4" width="5.6640625" style="12" customWidth="1"/>
    <col min="5" max="6" width="57.44140625" style="12" customWidth="1"/>
    <col min="7" max="16384" width="57.44140625" style="12"/>
  </cols>
  <sheetData>
    <row r="1" spans="1:3" ht="20.100000000000001" customHeight="1" x14ac:dyDescent="0.25">
      <c r="A1" s="182" t="s">
        <v>872</v>
      </c>
      <c r="B1" s="183"/>
      <c r="C1" s="183"/>
    </row>
    <row r="2" spans="1:3" ht="20.100000000000001" customHeight="1" x14ac:dyDescent="0.25">
      <c r="A2" s="182"/>
      <c r="B2" s="183"/>
      <c r="C2" s="108" t="s">
        <v>873</v>
      </c>
    </row>
    <row r="3" spans="1:3" ht="20.100000000000001" customHeight="1" x14ac:dyDescent="0.25">
      <c r="A3" s="134" t="str">
        <f>"Hospital: "&amp;data!C98</f>
        <v>Hospital: Astria Sunnyside Hospital</v>
      </c>
      <c r="B3" s="184"/>
      <c r="C3" s="156" t="str">
        <f>"FYE: "&amp;data!C96</f>
        <v>FYE: 12/31/2022</v>
      </c>
    </row>
    <row r="4" spans="1:3" ht="20.100000000000001" customHeight="1" x14ac:dyDescent="0.25">
      <c r="A4" s="185"/>
      <c r="B4" s="186" t="s">
        <v>874</v>
      </c>
      <c r="C4" s="187"/>
    </row>
    <row r="5" spans="1:3" ht="20.100000000000001" customHeight="1" x14ac:dyDescent="0.25">
      <c r="A5" s="188">
        <v>1</v>
      </c>
      <c r="B5" s="189" t="s">
        <v>396</v>
      </c>
      <c r="C5" s="189"/>
    </row>
    <row r="6" spans="1:3" ht="20.100000000000001" customHeight="1" x14ac:dyDescent="0.25">
      <c r="A6" s="188">
        <v>2</v>
      </c>
      <c r="B6" s="190" t="s">
        <v>397</v>
      </c>
      <c r="C6" s="190">
        <f>data!C266</f>
        <v>2897040</v>
      </c>
    </row>
    <row r="7" spans="1:3" ht="20.100000000000001" customHeight="1" x14ac:dyDescent="0.25">
      <c r="A7" s="188">
        <v>3</v>
      </c>
      <c r="B7" s="190" t="s">
        <v>398</v>
      </c>
      <c r="C7" s="190">
        <f>data!C267</f>
        <v>0</v>
      </c>
    </row>
    <row r="8" spans="1:3" ht="20.100000000000001" customHeight="1" x14ac:dyDescent="0.25">
      <c r="A8" s="188">
        <v>4</v>
      </c>
      <c r="B8" s="190" t="s">
        <v>399</v>
      </c>
      <c r="C8" s="190">
        <f>data!C268</f>
        <v>75132443</v>
      </c>
    </row>
    <row r="9" spans="1:3" ht="20.100000000000001" customHeight="1" x14ac:dyDescent="0.25">
      <c r="A9" s="188">
        <v>5</v>
      </c>
      <c r="B9" s="190" t="s">
        <v>875</v>
      </c>
      <c r="C9" s="190">
        <f>data!C269</f>
        <v>58467839</v>
      </c>
    </row>
    <row r="10" spans="1:3" ht="20.100000000000001" customHeight="1" x14ac:dyDescent="0.25">
      <c r="A10" s="188">
        <v>6</v>
      </c>
      <c r="B10" s="190" t="s">
        <v>876</v>
      </c>
      <c r="C10" s="190">
        <f>data!C270</f>
        <v>0</v>
      </c>
    </row>
    <row r="11" spans="1:3" ht="20.100000000000001" customHeight="1" x14ac:dyDescent="0.25">
      <c r="A11" s="188">
        <v>7</v>
      </c>
      <c r="B11" s="190" t="s">
        <v>877</v>
      </c>
      <c r="C11" s="190">
        <f>data!C271</f>
        <v>15389455</v>
      </c>
    </row>
    <row r="12" spans="1:3" ht="20.100000000000001" customHeight="1" x14ac:dyDescent="0.25">
      <c r="A12" s="188">
        <v>8</v>
      </c>
      <c r="B12" s="190" t="s">
        <v>403</v>
      </c>
      <c r="C12" s="190">
        <f>data!C272</f>
        <v>0</v>
      </c>
    </row>
    <row r="13" spans="1:3" ht="20.100000000000001" customHeight="1" x14ac:dyDescent="0.25">
      <c r="A13" s="188">
        <v>9</v>
      </c>
      <c r="B13" s="190" t="s">
        <v>404</v>
      </c>
      <c r="C13" s="190">
        <f>data!C273</f>
        <v>2828935</v>
      </c>
    </row>
    <row r="14" spans="1:3" ht="20.100000000000001" customHeight="1" x14ac:dyDescent="0.25">
      <c r="A14" s="188">
        <v>10</v>
      </c>
      <c r="B14" s="190" t="s">
        <v>405</v>
      </c>
      <c r="C14" s="190">
        <f>data!C274</f>
        <v>306230</v>
      </c>
    </row>
    <row r="15" spans="1:3" ht="20.100000000000001" customHeight="1" x14ac:dyDescent="0.25">
      <c r="A15" s="188">
        <v>11</v>
      </c>
      <c r="B15" s="190" t="s">
        <v>878</v>
      </c>
      <c r="C15" s="190">
        <f>data!C275</f>
        <v>0</v>
      </c>
    </row>
    <row r="16" spans="1:3" ht="20.100000000000001" customHeight="1" x14ac:dyDescent="0.25">
      <c r="A16" s="188">
        <v>12</v>
      </c>
      <c r="B16" s="190" t="s">
        <v>879</v>
      </c>
      <c r="C16" s="190">
        <f>data!D276</f>
        <v>38086264</v>
      </c>
    </row>
    <row r="17" spans="1:3" ht="20.100000000000001" customHeight="1" x14ac:dyDescent="0.25">
      <c r="A17" s="188">
        <v>13</v>
      </c>
      <c r="B17" s="190"/>
      <c r="C17" s="190"/>
    </row>
    <row r="18" spans="1:3" ht="20.100000000000001" customHeight="1" x14ac:dyDescent="0.25">
      <c r="A18" s="188">
        <v>14</v>
      </c>
      <c r="B18" s="191" t="s">
        <v>880</v>
      </c>
      <c r="C18" s="189"/>
    </row>
    <row r="19" spans="1:3" ht="20.100000000000001" customHeight="1" x14ac:dyDescent="0.25">
      <c r="A19" s="188">
        <v>15</v>
      </c>
      <c r="B19" s="190" t="s">
        <v>397</v>
      </c>
      <c r="C19" s="190">
        <f>data!C278</f>
        <v>0</v>
      </c>
    </row>
    <row r="20" spans="1:3" ht="20.100000000000001" customHeight="1" x14ac:dyDescent="0.25">
      <c r="A20" s="188">
        <v>16</v>
      </c>
      <c r="B20" s="190" t="s">
        <v>398</v>
      </c>
      <c r="C20" s="190">
        <f>data!C279</f>
        <v>0</v>
      </c>
    </row>
    <row r="21" spans="1:3" ht="20.100000000000001" customHeight="1" x14ac:dyDescent="0.25">
      <c r="A21" s="188">
        <v>17</v>
      </c>
      <c r="B21" s="190" t="s">
        <v>409</v>
      </c>
      <c r="C21" s="190">
        <f>data!C280</f>
        <v>0</v>
      </c>
    </row>
    <row r="22" spans="1:3" ht="20.100000000000001" customHeight="1" x14ac:dyDescent="0.25">
      <c r="A22" s="188">
        <v>18</v>
      </c>
      <c r="B22" s="190" t="s">
        <v>881</v>
      </c>
      <c r="C22" s="190">
        <f>data!D281</f>
        <v>0</v>
      </c>
    </row>
    <row r="23" spans="1:3" ht="20.100000000000001" customHeight="1" x14ac:dyDescent="0.25">
      <c r="A23" s="188">
        <v>19</v>
      </c>
      <c r="B23" s="192"/>
      <c r="C23" s="190"/>
    </row>
    <row r="24" spans="1:3" ht="20.100000000000001" customHeight="1" x14ac:dyDescent="0.25">
      <c r="A24" s="188">
        <v>20</v>
      </c>
      <c r="B24" s="191" t="s">
        <v>882</v>
      </c>
      <c r="C24" s="189"/>
    </row>
    <row r="25" spans="1:3" ht="20.100000000000001" customHeight="1" x14ac:dyDescent="0.25">
      <c r="A25" s="188">
        <v>21</v>
      </c>
      <c r="B25" s="190" t="s">
        <v>366</v>
      </c>
      <c r="C25" s="190">
        <f>data!C283</f>
        <v>5072349</v>
      </c>
    </row>
    <row r="26" spans="1:3" ht="20.100000000000001" customHeight="1" x14ac:dyDescent="0.25">
      <c r="A26" s="188">
        <v>22</v>
      </c>
      <c r="B26" s="190" t="s">
        <v>367</v>
      </c>
      <c r="C26" s="190">
        <f>data!C284</f>
        <v>1430910</v>
      </c>
    </row>
    <row r="27" spans="1:3" ht="20.100000000000001" customHeight="1" x14ac:dyDescent="0.25">
      <c r="A27" s="188">
        <v>23</v>
      </c>
      <c r="B27" s="190" t="s">
        <v>368</v>
      </c>
      <c r="C27" s="190">
        <f>data!C285</f>
        <v>24903609</v>
      </c>
    </row>
    <row r="28" spans="1:3" ht="20.100000000000001" customHeight="1" x14ac:dyDescent="0.25">
      <c r="A28" s="188">
        <v>24</v>
      </c>
      <c r="B28" s="190" t="s">
        <v>883</v>
      </c>
      <c r="C28" s="190">
        <f>data!C286</f>
        <v>2858222</v>
      </c>
    </row>
    <row r="29" spans="1:3" ht="20.100000000000001" customHeight="1" x14ac:dyDescent="0.25">
      <c r="A29" s="188">
        <v>25</v>
      </c>
      <c r="B29" s="190" t="s">
        <v>370</v>
      </c>
      <c r="C29" s="190">
        <f>data!C287</f>
        <v>0</v>
      </c>
    </row>
    <row r="30" spans="1:3" ht="20.100000000000001" customHeight="1" x14ac:dyDescent="0.25">
      <c r="A30" s="188">
        <v>26</v>
      </c>
      <c r="B30" s="190" t="s">
        <v>414</v>
      </c>
      <c r="C30" s="190">
        <f>data!C288</f>
        <v>27629337</v>
      </c>
    </row>
    <row r="31" spans="1:3" ht="20.100000000000001" customHeight="1" x14ac:dyDescent="0.25">
      <c r="A31" s="188">
        <v>27</v>
      </c>
      <c r="B31" s="190" t="s">
        <v>373</v>
      </c>
      <c r="C31" s="190">
        <f>data!C289</f>
        <v>2658937</v>
      </c>
    </row>
    <row r="32" spans="1:3" ht="20.100000000000001" customHeight="1" x14ac:dyDescent="0.25">
      <c r="A32" s="188">
        <v>28</v>
      </c>
      <c r="B32" s="190" t="s">
        <v>374</v>
      </c>
      <c r="C32" s="190">
        <f>data!C290</f>
        <v>65582</v>
      </c>
    </row>
    <row r="33" spans="1:3" ht="20.100000000000001" customHeight="1" x14ac:dyDescent="0.25">
      <c r="A33" s="188">
        <v>29</v>
      </c>
      <c r="B33" s="190" t="s">
        <v>587</v>
      </c>
      <c r="C33" s="190">
        <f>data!C291</f>
        <v>0</v>
      </c>
    </row>
    <row r="34" spans="1:3" ht="20.100000000000001" customHeight="1" x14ac:dyDescent="0.25">
      <c r="A34" s="188">
        <v>30</v>
      </c>
      <c r="B34" s="190" t="s">
        <v>884</v>
      </c>
      <c r="C34" s="190">
        <f>data!C292</f>
        <v>45114408</v>
      </c>
    </row>
    <row r="35" spans="1:3" ht="20.100000000000001" customHeight="1" x14ac:dyDescent="0.25">
      <c r="A35" s="188">
        <v>31</v>
      </c>
      <c r="B35" s="190" t="s">
        <v>885</v>
      </c>
      <c r="C35" s="190">
        <f>data!D293</f>
        <v>19504538</v>
      </c>
    </row>
    <row r="36" spans="1:3" ht="20.100000000000001" customHeight="1" x14ac:dyDescent="0.25">
      <c r="A36" s="188">
        <v>32</v>
      </c>
      <c r="B36" s="192"/>
      <c r="C36" s="190"/>
    </row>
    <row r="37" spans="1:3" ht="20.100000000000001" customHeight="1" x14ac:dyDescent="0.25">
      <c r="A37" s="188">
        <v>33</v>
      </c>
      <c r="B37" s="191" t="s">
        <v>886</v>
      </c>
      <c r="C37" s="189"/>
    </row>
    <row r="38" spans="1:3" ht="20.100000000000001" customHeight="1" x14ac:dyDescent="0.25">
      <c r="A38" s="188">
        <v>34</v>
      </c>
      <c r="B38" s="190" t="s">
        <v>887</v>
      </c>
      <c r="C38" s="190">
        <f>data!C295</f>
        <v>0</v>
      </c>
    </row>
    <row r="39" spans="1:3" ht="20.100000000000001" customHeight="1" x14ac:dyDescent="0.25">
      <c r="A39" s="188">
        <v>35</v>
      </c>
      <c r="B39" s="190" t="s">
        <v>888</v>
      </c>
      <c r="C39" s="190">
        <f>data!C296</f>
        <v>0</v>
      </c>
    </row>
    <row r="40" spans="1:3" ht="20.100000000000001" customHeight="1" x14ac:dyDescent="0.25">
      <c r="A40" s="188">
        <v>36</v>
      </c>
      <c r="B40" s="190" t="s">
        <v>421</v>
      </c>
      <c r="C40" s="190">
        <f>data!C297</f>
        <v>0</v>
      </c>
    </row>
    <row r="41" spans="1:3" ht="20.100000000000001" customHeight="1" x14ac:dyDescent="0.25">
      <c r="A41" s="188">
        <v>37</v>
      </c>
      <c r="B41" s="190" t="s">
        <v>409</v>
      </c>
      <c r="C41" s="190">
        <f>data!C298</f>
        <v>858022</v>
      </c>
    </row>
    <row r="42" spans="1:3" ht="20.100000000000001" customHeight="1" x14ac:dyDescent="0.25">
      <c r="A42" s="188">
        <v>38</v>
      </c>
      <c r="B42" s="190" t="s">
        <v>889</v>
      </c>
      <c r="C42" s="190">
        <f>data!D299</f>
        <v>858022</v>
      </c>
    </row>
    <row r="43" spans="1:3" ht="20.100000000000001" customHeight="1" x14ac:dyDescent="0.25">
      <c r="A43" s="188">
        <v>39</v>
      </c>
      <c r="B43" s="192"/>
      <c r="C43" s="190"/>
    </row>
    <row r="44" spans="1:3" ht="20.100000000000001" customHeight="1" x14ac:dyDescent="0.25">
      <c r="A44" s="188">
        <v>40</v>
      </c>
      <c r="B44" s="191" t="s">
        <v>890</v>
      </c>
      <c r="C44" s="189"/>
    </row>
    <row r="45" spans="1:3" ht="20.100000000000001" customHeight="1" x14ac:dyDescent="0.25">
      <c r="A45" s="188">
        <v>41</v>
      </c>
      <c r="B45" s="190" t="s">
        <v>424</v>
      </c>
      <c r="C45" s="190">
        <f>data!C302</f>
        <v>0</v>
      </c>
    </row>
    <row r="46" spans="1:3" ht="20.100000000000001" customHeight="1" x14ac:dyDescent="0.25">
      <c r="A46" s="188">
        <v>42</v>
      </c>
      <c r="B46" s="190" t="s">
        <v>425</v>
      </c>
      <c r="C46" s="190">
        <f>data!C303</f>
        <v>0</v>
      </c>
    </row>
    <row r="47" spans="1:3" ht="20.100000000000001" customHeight="1" x14ac:dyDescent="0.25">
      <c r="A47" s="188">
        <v>43</v>
      </c>
      <c r="B47" s="190" t="s">
        <v>891</v>
      </c>
      <c r="C47" s="190">
        <f>data!C304</f>
        <v>0</v>
      </c>
    </row>
    <row r="48" spans="1:3" ht="20.100000000000001" customHeight="1" x14ac:dyDescent="0.25">
      <c r="A48" s="188">
        <v>44</v>
      </c>
      <c r="B48" s="190" t="s">
        <v>427</v>
      </c>
      <c r="C48" s="190">
        <f>data!C305</f>
        <v>0</v>
      </c>
    </row>
    <row r="49" spans="1:3" ht="20.100000000000001" customHeight="1" x14ac:dyDescent="0.25">
      <c r="A49" s="188">
        <v>45</v>
      </c>
      <c r="B49" s="190" t="s">
        <v>892</v>
      </c>
      <c r="C49" s="190">
        <f>data!D306</f>
        <v>0</v>
      </c>
    </row>
    <row r="50" spans="1:3" ht="20.100000000000001" customHeight="1" x14ac:dyDescent="0.25">
      <c r="A50" s="193">
        <v>46</v>
      </c>
      <c r="B50" s="194" t="s">
        <v>893</v>
      </c>
      <c r="C50" s="190">
        <f>data!D308</f>
        <v>58448824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82" t="s">
        <v>894</v>
      </c>
      <c r="B53" s="183"/>
      <c r="C53" s="183"/>
    </row>
    <row r="54" spans="1:3" ht="20.100000000000001" customHeight="1" x14ac:dyDescent="0.25">
      <c r="A54" s="182"/>
      <c r="B54" s="183"/>
      <c r="C54" s="108" t="s">
        <v>895</v>
      </c>
    </row>
    <row r="55" spans="1:3" ht="20.100000000000001" customHeight="1" x14ac:dyDescent="0.25">
      <c r="A55" s="134" t="str">
        <f>"Hospital: "&amp;data!C98</f>
        <v>Hospital: Astria Sunnyside Hospital</v>
      </c>
      <c r="B55" s="184"/>
      <c r="C55" s="156" t="str">
        <f>"FYE: "&amp;data!C96</f>
        <v>FYE: 12/31/2022</v>
      </c>
    </row>
    <row r="56" spans="1:3" ht="20.100000000000001" customHeight="1" x14ac:dyDescent="0.25">
      <c r="A56" s="195"/>
      <c r="B56" s="196" t="s">
        <v>896</v>
      </c>
      <c r="C56" s="187"/>
    </row>
    <row r="57" spans="1:3" ht="20.100000000000001" customHeight="1" x14ac:dyDescent="0.25">
      <c r="A57" s="197">
        <v>1</v>
      </c>
      <c r="B57" s="182" t="s">
        <v>431</v>
      </c>
      <c r="C57" s="198"/>
    </row>
    <row r="58" spans="1:3" ht="20.100000000000001" customHeight="1" x14ac:dyDescent="0.25">
      <c r="A58" s="188">
        <v>2</v>
      </c>
      <c r="B58" s="190" t="s">
        <v>432</v>
      </c>
      <c r="C58" s="190">
        <f>data!C314</f>
        <v>0</v>
      </c>
    </row>
    <row r="59" spans="1:3" ht="20.100000000000001" customHeight="1" x14ac:dyDescent="0.25">
      <c r="A59" s="188">
        <v>3</v>
      </c>
      <c r="B59" s="190" t="s">
        <v>897</v>
      </c>
      <c r="C59" s="190">
        <f>data!C315</f>
        <v>5237006</v>
      </c>
    </row>
    <row r="60" spans="1:3" ht="20.100000000000001" customHeight="1" x14ac:dyDescent="0.25">
      <c r="A60" s="188">
        <v>4</v>
      </c>
      <c r="B60" s="190" t="s">
        <v>898</v>
      </c>
      <c r="C60" s="190">
        <f>data!C316</f>
        <v>3056632</v>
      </c>
    </row>
    <row r="61" spans="1:3" ht="20.100000000000001" customHeight="1" x14ac:dyDescent="0.25">
      <c r="A61" s="188">
        <v>5</v>
      </c>
      <c r="B61" s="190" t="s">
        <v>435</v>
      </c>
      <c r="C61" s="190">
        <f>data!C317</f>
        <v>0</v>
      </c>
    </row>
    <row r="62" spans="1:3" ht="20.100000000000001" customHeight="1" x14ac:dyDescent="0.25">
      <c r="A62" s="188">
        <v>6</v>
      </c>
      <c r="B62" s="190" t="s">
        <v>899</v>
      </c>
      <c r="C62" s="190">
        <f>data!C318</f>
        <v>0</v>
      </c>
    </row>
    <row r="63" spans="1:3" ht="20.100000000000001" customHeight="1" x14ac:dyDescent="0.25">
      <c r="A63" s="188">
        <v>7</v>
      </c>
      <c r="B63" s="190" t="s">
        <v>900</v>
      </c>
      <c r="C63" s="190">
        <f>data!C319</f>
        <v>1878006</v>
      </c>
    </row>
    <row r="64" spans="1:3" ht="20.100000000000001" customHeight="1" x14ac:dyDescent="0.25">
      <c r="A64" s="188">
        <v>8</v>
      </c>
      <c r="B64" s="190" t="s">
        <v>438</v>
      </c>
      <c r="C64" s="190">
        <f>data!C320</f>
        <v>0</v>
      </c>
    </row>
    <row r="65" spans="1:3" ht="20.100000000000001" customHeight="1" x14ac:dyDescent="0.25">
      <c r="A65" s="188">
        <v>9</v>
      </c>
      <c r="B65" s="190" t="s">
        <v>439</v>
      </c>
      <c r="C65" s="190">
        <f>data!C321</f>
        <v>0</v>
      </c>
    </row>
    <row r="66" spans="1:3" ht="20.100000000000001" customHeight="1" x14ac:dyDescent="0.25">
      <c r="A66" s="188">
        <v>10</v>
      </c>
      <c r="B66" s="190" t="s">
        <v>440</v>
      </c>
      <c r="C66" s="190">
        <f>data!C322</f>
        <v>1345960</v>
      </c>
    </row>
    <row r="67" spans="1:3" ht="20.100000000000001" customHeight="1" x14ac:dyDescent="0.25">
      <c r="A67" s="188">
        <v>11</v>
      </c>
      <c r="B67" s="190" t="s">
        <v>901</v>
      </c>
      <c r="C67" s="190">
        <f>data!C323</f>
        <v>500032</v>
      </c>
    </row>
    <row r="68" spans="1:3" ht="20.100000000000001" customHeight="1" x14ac:dyDescent="0.25">
      <c r="A68" s="188">
        <v>12</v>
      </c>
      <c r="B68" s="190" t="s">
        <v>902</v>
      </c>
      <c r="C68" s="190">
        <f>data!D324</f>
        <v>12017636</v>
      </c>
    </row>
    <row r="69" spans="1:3" ht="20.100000000000001" customHeight="1" x14ac:dyDescent="0.25">
      <c r="A69" s="188">
        <v>13</v>
      </c>
      <c r="B69" s="192"/>
      <c r="C69" s="190"/>
    </row>
    <row r="70" spans="1:3" ht="20.100000000000001" customHeight="1" x14ac:dyDescent="0.25">
      <c r="A70" s="188">
        <v>14</v>
      </c>
      <c r="B70" s="191" t="s">
        <v>903</v>
      </c>
      <c r="C70" s="189"/>
    </row>
    <row r="71" spans="1:3" ht="20.100000000000001" customHeight="1" x14ac:dyDescent="0.25">
      <c r="A71" s="188">
        <v>15</v>
      </c>
      <c r="B71" s="190" t="s">
        <v>444</v>
      </c>
      <c r="C71" s="190">
        <f>data!C326</f>
        <v>0</v>
      </c>
    </row>
    <row r="72" spans="1:3" ht="20.100000000000001" customHeight="1" x14ac:dyDescent="0.25">
      <c r="A72" s="188">
        <v>16</v>
      </c>
      <c r="B72" s="190" t="s">
        <v>904</v>
      </c>
      <c r="C72" s="190">
        <f>data!C327</f>
        <v>0</v>
      </c>
    </row>
    <row r="73" spans="1:3" ht="20.100000000000001" customHeight="1" x14ac:dyDescent="0.25">
      <c r="A73" s="188">
        <v>17</v>
      </c>
      <c r="B73" s="190" t="s">
        <v>446</v>
      </c>
      <c r="C73" s="190">
        <f>data!C328</f>
        <v>0</v>
      </c>
    </row>
    <row r="74" spans="1:3" ht="20.100000000000001" customHeight="1" x14ac:dyDescent="0.25">
      <c r="A74" s="188">
        <v>18</v>
      </c>
      <c r="B74" s="190" t="s">
        <v>905</v>
      </c>
      <c r="C74" s="190">
        <f>data!D329</f>
        <v>0</v>
      </c>
    </row>
    <row r="75" spans="1:3" ht="20.100000000000001" customHeight="1" x14ac:dyDescent="0.25">
      <c r="A75" s="188">
        <v>19</v>
      </c>
      <c r="B75" s="192"/>
      <c r="C75" s="190"/>
    </row>
    <row r="76" spans="1:3" ht="20.100000000000001" customHeight="1" x14ac:dyDescent="0.25">
      <c r="A76" s="188">
        <v>20</v>
      </c>
      <c r="B76" s="191" t="s">
        <v>448</v>
      </c>
      <c r="C76" s="189"/>
    </row>
    <row r="77" spans="1:3" ht="20.100000000000001" customHeight="1" x14ac:dyDescent="0.25">
      <c r="A77" s="188">
        <v>21</v>
      </c>
      <c r="B77" s="190" t="s">
        <v>449</v>
      </c>
      <c r="C77" s="190">
        <f>data!C331</f>
        <v>0</v>
      </c>
    </row>
    <row r="78" spans="1:3" ht="20.100000000000001" customHeight="1" x14ac:dyDescent="0.25">
      <c r="A78" s="188">
        <v>22</v>
      </c>
      <c r="B78" s="190" t="s">
        <v>906</v>
      </c>
      <c r="C78" s="190">
        <f>data!C332</f>
        <v>0</v>
      </c>
    </row>
    <row r="79" spans="1:3" ht="20.100000000000001" customHeight="1" x14ac:dyDescent="0.25">
      <c r="A79" s="188">
        <v>23</v>
      </c>
      <c r="B79" s="190" t="s">
        <v>451</v>
      </c>
      <c r="C79" s="190">
        <f>data!C333</f>
        <v>0</v>
      </c>
    </row>
    <row r="80" spans="1:3" ht="20.100000000000001" customHeight="1" x14ac:dyDescent="0.25">
      <c r="A80" s="188">
        <v>24</v>
      </c>
      <c r="B80" s="190" t="s">
        <v>907</v>
      </c>
      <c r="C80" s="190">
        <f>data!C334</f>
        <v>2605417</v>
      </c>
    </row>
    <row r="81" spans="1:3" ht="20.100000000000001" customHeight="1" x14ac:dyDescent="0.25">
      <c r="A81" s="188">
        <v>25</v>
      </c>
      <c r="B81" s="190" t="s">
        <v>453</v>
      </c>
      <c r="C81" s="190">
        <f>data!C335</f>
        <v>0</v>
      </c>
    </row>
    <row r="82" spans="1:3" ht="20.100000000000001" customHeight="1" x14ac:dyDescent="0.25">
      <c r="A82" s="188">
        <v>26</v>
      </c>
      <c r="B82" s="190" t="s">
        <v>908</v>
      </c>
      <c r="C82" s="190">
        <f>data!C336</f>
        <v>0</v>
      </c>
    </row>
    <row r="83" spans="1:3" ht="20.100000000000001" customHeight="1" x14ac:dyDescent="0.25">
      <c r="A83" s="188">
        <v>27</v>
      </c>
      <c r="B83" s="190" t="s">
        <v>455</v>
      </c>
      <c r="C83" s="190">
        <f>data!C337</f>
        <v>0</v>
      </c>
    </row>
    <row r="84" spans="1:3" ht="20.100000000000001" customHeight="1" x14ac:dyDescent="0.25">
      <c r="A84" s="188">
        <v>28</v>
      </c>
      <c r="B84" s="190" t="s">
        <v>456</v>
      </c>
      <c r="C84" s="190">
        <f>data!C338</f>
        <v>0</v>
      </c>
    </row>
    <row r="85" spans="1:3" ht="20.100000000000001" customHeight="1" x14ac:dyDescent="0.25">
      <c r="A85" s="188">
        <v>29</v>
      </c>
      <c r="B85" s="190" t="s">
        <v>587</v>
      </c>
      <c r="C85" s="190">
        <f>data!D339</f>
        <v>2605417</v>
      </c>
    </row>
    <row r="86" spans="1:3" ht="20.100000000000001" customHeight="1" x14ac:dyDescent="0.25">
      <c r="A86" s="188">
        <v>30</v>
      </c>
      <c r="B86" s="190" t="s">
        <v>909</v>
      </c>
      <c r="C86" s="190">
        <f>data!D340</f>
        <v>500032</v>
      </c>
    </row>
    <row r="87" spans="1:3" ht="20.100000000000001" customHeight="1" x14ac:dyDescent="0.25">
      <c r="A87" s="188">
        <v>31</v>
      </c>
      <c r="B87" s="190" t="s">
        <v>910</v>
      </c>
      <c r="C87" s="190">
        <f>data!D341</f>
        <v>2105385</v>
      </c>
    </row>
    <row r="88" spans="1:3" ht="20.100000000000001" customHeight="1" x14ac:dyDescent="0.25">
      <c r="A88" s="188">
        <v>32</v>
      </c>
      <c r="B88" s="192"/>
      <c r="C88" s="190"/>
    </row>
    <row r="89" spans="1:3" ht="20.100000000000001" customHeight="1" x14ac:dyDescent="0.25">
      <c r="A89" s="188">
        <v>33</v>
      </c>
      <c r="B89" s="199" t="s">
        <v>911</v>
      </c>
      <c r="C89" s="190">
        <f>data!C343</f>
        <v>44325803</v>
      </c>
    </row>
    <row r="90" spans="1:3" ht="20.100000000000001" customHeight="1" x14ac:dyDescent="0.25">
      <c r="A90" s="188">
        <v>34</v>
      </c>
      <c r="B90" s="190"/>
      <c r="C90" s="190"/>
    </row>
    <row r="91" spans="1:3" ht="20.100000000000001" customHeight="1" x14ac:dyDescent="0.25">
      <c r="A91" s="188">
        <v>35</v>
      </c>
      <c r="B91" s="191" t="s">
        <v>912</v>
      </c>
      <c r="C91" s="189"/>
    </row>
    <row r="92" spans="1:3" ht="20.100000000000001" customHeight="1" x14ac:dyDescent="0.25">
      <c r="A92" s="188">
        <v>36</v>
      </c>
      <c r="B92" s="190" t="s">
        <v>460</v>
      </c>
      <c r="C92" s="190">
        <f>data!C345</f>
        <v>0</v>
      </c>
    </row>
    <row r="93" spans="1:3" ht="20.100000000000001" customHeight="1" x14ac:dyDescent="0.25">
      <c r="A93" s="188">
        <v>37</v>
      </c>
      <c r="B93" s="192"/>
      <c r="C93" s="190"/>
    </row>
    <row r="94" spans="1:3" ht="20.100000000000001" customHeight="1" x14ac:dyDescent="0.25">
      <c r="A94" s="188">
        <v>38</v>
      </c>
      <c r="B94" s="190" t="s">
        <v>461</v>
      </c>
      <c r="C94" s="190">
        <f>data!C346</f>
        <v>0</v>
      </c>
    </row>
    <row r="95" spans="1:3" ht="20.100000000000001" customHeight="1" x14ac:dyDescent="0.25">
      <c r="A95" s="188">
        <v>39</v>
      </c>
      <c r="B95" s="192"/>
      <c r="C95" s="190"/>
    </row>
    <row r="96" spans="1:3" ht="20.100000000000001" customHeight="1" x14ac:dyDescent="0.25">
      <c r="A96" s="188">
        <v>40</v>
      </c>
      <c r="B96" s="190" t="s">
        <v>913</v>
      </c>
      <c r="C96" s="190">
        <f>data!C347</f>
        <v>0</v>
      </c>
    </row>
    <row r="97" spans="1:3" ht="20.100000000000001" customHeight="1" x14ac:dyDescent="0.25">
      <c r="A97" s="188">
        <v>41</v>
      </c>
      <c r="B97" s="192"/>
      <c r="C97" s="190"/>
    </row>
    <row r="98" spans="1:3" ht="20.100000000000001" customHeight="1" x14ac:dyDescent="0.25">
      <c r="A98" s="188">
        <v>42</v>
      </c>
      <c r="B98" s="190" t="s">
        <v>914</v>
      </c>
      <c r="C98" s="190">
        <f>data!C348</f>
        <v>0</v>
      </c>
    </row>
    <row r="99" spans="1:3" ht="20.100000000000001" customHeight="1" x14ac:dyDescent="0.25">
      <c r="A99" s="188">
        <v>43</v>
      </c>
      <c r="B99" s="190" t="s">
        <v>915</v>
      </c>
      <c r="C99" s="190"/>
    </row>
    <row r="100" spans="1:3" ht="20.100000000000001" customHeight="1" x14ac:dyDescent="0.25">
      <c r="A100" s="188">
        <v>44</v>
      </c>
      <c r="B100" s="192"/>
      <c r="C100" s="190"/>
    </row>
    <row r="101" spans="1:3" ht="20.100000000000001" customHeight="1" x14ac:dyDescent="0.25">
      <c r="A101" s="188">
        <v>45</v>
      </c>
      <c r="B101" s="190" t="s">
        <v>916</v>
      </c>
      <c r="C101" s="190">
        <f>data!C349</f>
        <v>0</v>
      </c>
    </row>
    <row r="102" spans="1:3" ht="20.100000000000001" customHeight="1" x14ac:dyDescent="0.25">
      <c r="A102" s="188">
        <v>46</v>
      </c>
      <c r="B102" s="190" t="s">
        <v>917</v>
      </c>
      <c r="C102" s="190">
        <f>data!C343+data!C345+data!C346+data!C347+data!C348-data!C349</f>
        <v>44325803</v>
      </c>
    </row>
    <row r="103" spans="1:3" ht="20.100000000000001" customHeight="1" x14ac:dyDescent="0.25">
      <c r="A103" s="188">
        <v>47</v>
      </c>
      <c r="B103" s="190" t="s">
        <v>918</v>
      </c>
      <c r="C103" s="190">
        <f>data!D352</f>
        <v>58448824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82" t="s">
        <v>919</v>
      </c>
      <c r="B106" s="183"/>
      <c r="C106" s="183"/>
    </row>
    <row r="107" spans="1:3" ht="20.100000000000001" customHeight="1" x14ac:dyDescent="0.25">
      <c r="A107" s="184"/>
      <c r="C107" s="108" t="s">
        <v>920</v>
      </c>
    </row>
    <row r="108" spans="1:3" ht="20.100000000000001" customHeight="1" x14ac:dyDescent="0.25">
      <c r="A108" s="134" t="str">
        <f>"Hospital: "&amp;data!C98</f>
        <v>Hospital: Astria Sunnyside Hospital</v>
      </c>
      <c r="B108" s="184"/>
      <c r="C108" s="156" t="str">
        <f>"FYE: "&amp;data!C96</f>
        <v>FYE: 12/31/2022</v>
      </c>
    </row>
    <row r="109" spans="1:3" ht="20.100000000000001" customHeight="1" x14ac:dyDescent="0.25">
      <c r="A109" s="185"/>
      <c r="B109" s="200"/>
      <c r="C109" s="201"/>
    </row>
    <row r="110" spans="1:3" ht="20.100000000000001" customHeight="1" x14ac:dyDescent="0.25">
      <c r="A110" s="188">
        <v>1</v>
      </c>
      <c r="B110" s="191" t="s">
        <v>921</v>
      </c>
      <c r="C110" s="189"/>
    </row>
    <row r="111" spans="1:3" ht="20.100000000000001" customHeight="1" x14ac:dyDescent="0.25">
      <c r="A111" s="188">
        <v>2</v>
      </c>
      <c r="B111" s="190" t="s">
        <v>469</v>
      </c>
      <c r="C111" s="190">
        <f>data!C358</f>
        <v>90713958</v>
      </c>
    </row>
    <row r="112" spans="1:3" ht="20.100000000000001" customHeight="1" x14ac:dyDescent="0.25">
      <c r="A112" s="188">
        <v>3</v>
      </c>
      <c r="B112" s="190" t="s">
        <v>470</v>
      </c>
      <c r="C112" s="190">
        <f>data!C359</f>
        <v>194345357</v>
      </c>
    </row>
    <row r="113" spans="1:3" ht="20.100000000000001" customHeight="1" x14ac:dyDescent="0.25">
      <c r="A113" s="188">
        <v>4</v>
      </c>
      <c r="B113" s="190" t="s">
        <v>922</v>
      </c>
      <c r="C113" s="190">
        <f>data!D360</f>
        <v>285059315</v>
      </c>
    </row>
    <row r="114" spans="1:3" ht="20.100000000000001" customHeight="1" x14ac:dyDescent="0.25">
      <c r="A114" s="188">
        <v>5</v>
      </c>
      <c r="B114" s="192"/>
      <c r="C114" s="190"/>
    </row>
    <row r="115" spans="1:3" ht="20.100000000000001" customHeight="1" x14ac:dyDescent="0.25">
      <c r="A115" s="188">
        <v>6</v>
      </c>
      <c r="B115" s="191" t="s">
        <v>923</v>
      </c>
      <c r="C115" s="189"/>
    </row>
    <row r="116" spans="1:3" ht="20.100000000000001" customHeight="1" x14ac:dyDescent="0.25">
      <c r="A116" s="188">
        <v>7</v>
      </c>
      <c r="B116" s="202" t="s">
        <v>924</v>
      </c>
      <c r="C116" s="203">
        <f>data!C362</f>
        <v>5965953</v>
      </c>
    </row>
    <row r="117" spans="1:3" ht="20.100000000000001" customHeight="1" x14ac:dyDescent="0.25">
      <c r="A117" s="188">
        <v>8</v>
      </c>
      <c r="B117" s="190" t="s">
        <v>473</v>
      </c>
      <c r="C117" s="203">
        <f>data!C363</f>
        <v>172562672</v>
      </c>
    </row>
    <row r="118" spans="1:3" ht="20.100000000000001" customHeight="1" x14ac:dyDescent="0.25">
      <c r="A118" s="188">
        <v>9</v>
      </c>
      <c r="B118" s="190" t="s">
        <v>925</v>
      </c>
      <c r="C118" s="203">
        <f>data!C364</f>
        <v>3753852</v>
      </c>
    </row>
    <row r="119" spans="1:3" ht="20.100000000000001" customHeight="1" x14ac:dyDescent="0.25">
      <c r="A119" s="188">
        <v>10</v>
      </c>
      <c r="B119" s="190" t="s">
        <v>926</v>
      </c>
      <c r="C119" s="203">
        <f>data!C365</f>
        <v>0</v>
      </c>
    </row>
    <row r="120" spans="1:3" ht="20.100000000000001" customHeight="1" x14ac:dyDescent="0.25">
      <c r="A120" s="188">
        <v>11</v>
      </c>
      <c r="B120" s="190" t="s">
        <v>870</v>
      </c>
      <c r="C120" s="203">
        <f>data!D366</f>
        <v>182282477</v>
      </c>
    </row>
    <row r="121" spans="1:3" ht="20.100000000000001" customHeight="1" x14ac:dyDescent="0.25">
      <c r="A121" s="188">
        <v>12</v>
      </c>
      <c r="B121" s="190" t="s">
        <v>927</v>
      </c>
      <c r="C121" s="203">
        <f>data!D367</f>
        <v>102776838</v>
      </c>
    </row>
    <row r="122" spans="1:3" ht="20.100000000000001" customHeight="1" x14ac:dyDescent="0.25">
      <c r="A122" s="188">
        <v>13</v>
      </c>
      <c r="B122" s="192"/>
      <c r="C122" s="190"/>
    </row>
    <row r="123" spans="1:3" ht="20.100000000000001" customHeight="1" x14ac:dyDescent="0.25">
      <c r="A123" s="188">
        <v>14</v>
      </c>
      <c r="B123" s="191" t="s">
        <v>477</v>
      </c>
      <c r="C123" s="189"/>
    </row>
    <row r="124" spans="1:3" ht="20.100000000000001" customHeight="1" x14ac:dyDescent="0.25">
      <c r="A124" s="188">
        <v>15</v>
      </c>
      <c r="B124" s="204" t="s">
        <v>478</v>
      </c>
      <c r="C124" s="205"/>
    </row>
    <row r="125" spans="1:3" ht="20.100000000000001" customHeight="1" x14ac:dyDescent="0.25">
      <c r="A125" s="209" t="s">
        <v>928</v>
      </c>
      <c r="B125" s="206" t="s">
        <v>479</v>
      </c>
      <c r="C125" s="205">
        <f>data!C370</f>
        <v>0</v>
      </c>
    </row>
    <row r="126" spans="1:3" ht="20.100000000000001" customHeight="1" x14ac:dyDescent="0.25">
      <c r="A126" s="209" t="s">
        <v>929</v>
      </c>
      <c r="B126" s="206" t="s">
        <v>480</v>
      </c>
      <c r="C126" s="205">
        <f>data!C371</f>
        <v>412915</v>
      </c>
    </row>
    <row r="127" spans="1:3" ht="20.100000000000001" customHeight="1" x14ac:dyDescent="0.25">
      <c r="A127" s="209" t="s">
        <v>930</v>
      </c>
      <c r="B127" s="206" t="s">
        <v>481</v>
      </c>
      <c r="C127" s="205">
        <f>data!C372</f>
        <v>0</v>
      </c>
    </row>
    <row r="128" spans="1:3" ht="20.100000000000001" customHeight="1" x14ac:dyDescent="0.25">
      <c r="A128" s="209" t="s">
        <v>931</v>
      </c>
      <c r="B128" s="206" t="s">
        <v>482</v>
      </c>
      <c r="C128" s="205">
        <f>data!C373</f>
        <v>0</v>
      </c>
    </row>
    <row r="129" spans="1:3" ht="20.100000000000001" customHeight="1" x14ac:dyDescent="0.25">
      <c r="A129" s="209" t="s">
        <v>932</v>
      </c>
      <c r="B129" s="206" t="s">
        <v>483</v>
      </c>
      <c r="C129" s="205">
        <f>data!C374</f>
        <v>4926</v>
      </c>
    </row>
    <row r="130" spans="1:3" ht="20.100000000000001" customHeight="1" x14ac:dyDescent="0.25">
      <c r="A130" s="209" t="s">
        <v>933</v>
      </c>
      <c r="B130" s="206" t="s">
        <v>484</v>
      </c>
      <c r="C130" s="205">
        <f>data!C375</f>
        <v>0</v>
      </c>
    </row>
    <row r="131" spans="1:3" ht="20.100000000000001" customHeight="1" x14ac:dyDescent="0.25">
      <c r="A131" s="209" t="s">
        <v>934</v>
      </c>
      <c r="B131" s="206" t="s">
        <v>485</v>
      </c>
      <c r="C131" s="205">
        <f>data!C376</f>
        <v>0</v>
      </c>
    </row>
    <row r="132" spans="1:3" ht="20.100000000000001" customHeight="1" x14ac:dyDescent="0.25">
      <c r="A132" s="209" t="s">
        <v>935</v>
      </c>
      <c r="B132" s="206" t="s">
        <v>486</v>
      </c>
      <c r="C132" s="205">
        <f>data!C377</f>
        <v>0</v>
      </c>
    </row>
    <row r="133" spans="1:3" ht="20.100000000000001" customHeight="1" x14ac:dyDescent="0.25">
      <c r="A133" s="209" t="s">
        <v>936</v>
      </c>
      <c r="B133" s="206" t="s">
        <v>487</v>
      </c>
      <c r="C133" s="205">
        <f>data!C378</f>
        <v>0</v>
      </c>
    </row>
    <row r="134" spans="1:3" ht="20.100000000000001" customHeight="1" x14ac:dyDescent="0.25">
      <c r="A134" s="209" t="s">
        <v>937</v>
      </c>
      <c r="B134" s="206" t="s">
        <v>488</v>
      </c>
      <c r="C134" s="205">
        <f>data!C379</f>
        <v>174506</v>
      </c>
    </row>
    <row r="135" spans="1:3" ht="20.100000000000001" customHeight="1" x14ac:dyDescent="0.25">
      <c r="A135" s="209" t="s">
        <v>938</v>
      </c>
      <c r="B135" s="206" t="s">
        <v>489</v>
      </c>
      <c r="C135" s="205">
        <f>data!C380</f>
        <v>116928</v>
      </c>
    </row>
    <row r="136" spans="1:3" ht="20.100000000000001" customHeight="1" x14ac:dyDescent="0.25">
      <c r="A136" s="188">
        <v>16</v>
      </c>
      <c r="B136" s="190" t="s">
        <v>491</v>
      </c>
      <c r="C136" s="205">
        <f>data!C381</f>
        <v>0</v>
      </c>
    </row>
    <row r="137" spans="1:3" ht="20.100000000000001" customHeight="1" x14ac:dyDescent="0.25">
      <c r="A137" s="188">
        <v>17</v>
      </c>
      <c r="B137" s="190" t="s">
        <v>939</v>
      </c>
      <c r="C137" s="203">
        <f>data!D383</f>
        <v>709275</v>
      </c>
    </row>
    <row r="138" spans="1:3" ht="20.100000000000001" customHeight="1" x14ac:dyDescent="0.25">
      <c r="A138" s="188">
        <v>18</v>
      </c>
      <c r="B138" s="190" t="s">
        <v>940</v>
      </c>
      <c r="C138" s="203">
        <f>data!D384</f>
        <v>103486113</v>
      </c>
    </row>
    <row r="139" spans="1:3" ht="20.100000000000001" customHeight="1" x14ac:dyDescent="0.25">
      <c r="A139" s="188">
        <v>19</v>
      </c>
      <c r="B139" s="192"/>
      <c r="C139" s="190"/>
    </row>
    <row r="140" spans="1:3" ht="20.100000000000001" customHeight="1" x14ac:dyDescent="0.25">
      <c r="A140" s="188">
        <v>20</v>
      </c>
      <c r="B140" s="191" t="s">
        <v>941</v>
      </c>
      <c r="C140" s="189"/>
    </row>
    <row r="141" spans="1:3" ht="20.100000000000001" customHeight="1" x14ac:dyDescent="0.25">
      <c r="A141" s="188">
        <v>21</v>
      </c>
      <c r="B141" s="190" t="s">
        <v>495</v>
      </c>
      <c r="C141" s="203">
        <f>data!C389</f>
        <v>30739422</v>
      </c>
    </row>
    <row r="142" spans="1:3" ht="20.100000000000001" customHeight="1" x14ac:dyDescent="0.25">
      <c r="A142" s="188">
        <v>22</v>
      </c>
      <c r="B142" s="190" t="s">
        <v>9</v>
      </c>
      <c r="C142" s="203">
        <f>data!C390</f>
        <v>7911474</v>
      </c>
    </row>
    <row r="143" spans="1:3" ht="20.100000000000001" customHeight="1" x14ac:dyDescent="0.25">
      <c r="A143" s="188">
        <v>23</v>
      </c>
      <c r="B143" s="190" t="s">
        <v>249</v>
      </c>
      <c r="C143" s="203">
        <f>data!C391</f>
        <v>1936519</v>
      </c>
    </row>
    <row r="144" spans="1:3" ht="20.100000000000001" customHeight="1" x14ac:dyDescent="0.25">
      <c r="A144" s="188">
        <v>24</v>
      </c>
      <c r="B144" s="190" t="s">
        <v>250</v>
      </c>
      <c r="C144" s="203">
        <f>data!C392</f>
        <v>13249903</v>
      </c>
    </row>
    <row r="145" spans="1:3" ht="20.100000000000001" customHeight="1" x14ac:dyDescent="0.25">
      <c r="A145" s="188">
        <v>25</v>
      </c>
      <c r="B145" s="190" t="s">
        <v>942</v>
      </c>
      <c r="C145" s="203">
        <f>data!C393</f>
        <v>843535</v>
      </c>
    </row>
    <row r="146" spans="1:3" ht="20.100000000000001" customHeight="1" x14ac:dyDescent="0.25">
      <c r="A146" s="188">
        <v>26</v>
      </c>
      <c r="B146" s="190" t="s">
        <v>943</v>
      </c>
      <c r="C146" s="203">
        <f>data!C394</f>
        <v>10902800</v>
      </c>
    </row>
    <row r="147" spans="1:3" ht="20.100000000000001" customHeight="1" x14ac:dyDescent="0.25">
      <c r="A147" s="188">
        <v>27</v>
      </c>
      <c r="B147" s="190" t="s">
        <v>11</v>
      </c>
      <c r="C147" s="203">
        <f>data!C395</f>
        <v>2265107</v>
      </c>
    </row>
    <row r="148" spans="1:3" ht="20.100000000000001" customHeight="1" x14ac:dyDescent="0.25">
      <c r="A148" s="188">
        <v>28</v>
      </c>
      <c r="B148" s="190" t="s">
        <v>944</v>
      </c>
      <c r="C148" s="203">
        <f>data!C396</f>
        <v>1004913</v>
      </c>
    </row>
    <row r="149" spans="1:3" ht="20.100000000000001" customHeight="1" x14ac:dyDescent="0.25">
      <c r="A149" s="188">
        <v>29</v>
      </c>
      <c r="B149" s="190" t="s">
        <v>500</v>
      </c>
      <c r="C149" s="203">
        <f>data!C397</f>
        <v>1919362</v>
      </c>
    </row>
    <row r="150" spans="1:3" ht="20.100000000000001" customHeight="1" x14ac:dyDescent="0.25">
      <c r="A150" s="188">
        <v>30</v>
      </c>
      <c r="B150" s="190" t="s">
        <v>945</v>
      </c>
      <c r="C150" s="203">
        <f>data!C398</f>
        <v>1006692</v>
      </c>
    </row>
    <row r="151" spans="1:3" ht="20.100000000000001" customHeight="1" x14ac:dyDescent="0.25">
      <c r="A151" s="188">
        <v>31</v>
      </c>
      <c r="B151" s="190" t="s">
        <v>502</v>
      </c>
      <c r="C151" s="203">
        <f>data!C399</f>
        <v>4629848</v>
      </c>
    </row>
    <row r="152" spans="1:3" ht="20.100000000000001" customHeight="1" x14ac:dyDescent="0.25">
      <c r="A152" s="188">
        <v>32</v>
      </c>
      <c r="B152" s="190" t="s">
        <v>254</v>
      </c>
      <c r="C152" s="203"/>
    </row>
    <row r="153" spans="1:3" ht="20.100000000000001" customHeight="1" x14ac:dyDescent="0.25">
      <c r="A153" s="209" t="s">
        <v>946</v>
      </c>
      <c r="B153" s="207" t="s">
        <v>255</v>
      </c>
      <c r="C153" s="203">
        <f>data!C401</f>
        <v>484051</v>
      </c>
    </row>
    <row r="154" spans="1:3" ht="20.100000000000001" customHeight="1" x14ac:dyDescent="0.25">
      <c r="A154" s="209" t="s">
        <v>947</v>
      </c>
      <c r="B154" s="207" t="s">
        <v>256</v>
      </c>
      <c r="C154" s="203">
        <f>data!C402</f>
        <v>6490162</v>
      </c>
    </row>
    <row r="155" spans="1:3" ht="20.100000000000001" customHeight="1" x14ac:dyDescent="0.25">
      <c r="A155" s="209" t="s">
        <v>948</v>
      </c>
      <c r="B155" s="207" t="s">
        <v>949</v>
      </c>
      <c r="C155" s="203">
        <f>data!C403</f>
        <v>0</v>
      </c>
    </row>
    <row r="156" spans="1:3" ht="20.100000000000001" customHeight="1" x14ac:dyDescent="0.25">
      <c r="A156" s="209" t="s">
        <v>950</v>
      </c>
      <c r="B156" s="207" t="s">
        <v>258</v>
      </c>
      <c r="C156" s="203">
        <f>data!C404</f>
        <v>0</v>
      </c>
    </row>
    <row r="157" spans="1:3" ht="20.100000000000001" customHeight="1" x14ac:dyDescent="0.25">
      <c r="A157" s="209" t="s">
        <v>951</v>
      </c>
      <c r="B157" s="207" t="s">
        <v>259</v>
      </c>
      <c r="C157" s="203">
        <f>data!C405</f>
        <v>261643</v>
      </c>
    </row>
    <row r="158" spans="1:3" ht="20.100000000000001" customHeight="1" x14ac:dyDescent="0.25">
      <c r="A158" s="209" t="s">
        <v>952</v>
      </c>
      <c r="B158" s="207" t="s">
        <v>260</v>
      </c>
      <c r="C158" s="203">
        <f>data!C406</f>
        <v>153705</v>
      </c>
    </row>
    <row r="159" spans="1:3" ht="20.100000000000001" customHeight="1" x14ac:dyDescent="0.25">
      <c r="A159" s="209" t="s">
        <v>953</v>
      </c>
      <c r="B159" s="207" t="s">
        <v>261</v>
      </c>
      <c r="C159" s="203">
        <f>data!C407</f>
        <v>917085</v>
      </c>
    </row>
    <row r="160" spans="1:3" ht="20.100000000000001" customHeight="1" x14ac:dyDescent="0.25">
      <c r="A160" s="209" t="s">
        <v>954</v>
      </c>
      <c r="B160" s="207" t="s">
        <v>262</v>
      </c>
      <c r="C160" s="203">
        <f>data!C408</f>
        <v>494921</v>
      </c>
    </row>
    <row r="161" spans="1:3" ht="20.100000000000001" customHeight="1" x14ac:dyDescent="0.25">
      <c r="A161" s="209" t="s">
        <v>955</v>
      </c>
      <c r="B161" s="207" t="s">
        <v>263</v>
      </c>
      <c r="C161" s="203">
        <f>data!C409</f>
        <v>14501192</v>
      </c>
    </row>
    <row r="162" spans="1:3" ht="20.100000000000001" customHeight="1" x14ac:dyDescent="0.25">
      <c r="A162" s="209" t="s">
        <v>956</v>
      </c>
      <c r="B162" s="207" t="s">
        <v>264</v>
      </c>
      <c r="C162" s="203">
        <f>data!C410</f>
        <v>0</v>
      </c>
    </row>
    <row r="163" spans="1:3" ht="20.100000000000001" customHeight="1" x14ac:dyDescent="0.25">
      <c r="A163" s="209" t="s">
        <v>957</v>
      </c>
      <c r="B163" s="207" t="s">
        <v>265</v>
      </c>
      <c r="C163" s="203">
        <f>data!C411</f>
        <v>0</v>
      </c>
    </row>
    <row r="164" spans="1:3" ht="20.100000000000001" customHeight="1" x14ac:dyDescent="0.25">
      <c r="A164" s="209" t="s">
        <v>958</v>
      </c>
      <c r="B164" s="207" t="s">
        <v>266</v>
      </c>
      <c r="C164" s="203">
        <f>data!C412</f>
        <v>0</v>
      </c>
    </row>
    <row r="165" spans="1:3" ht="20.100000000000001" customHeight="1" x14ac:dyDescent="0.25">
      <c r="A165" s="209" t="s">
        <v>959</v>
      </c>
      <c r="B165" s="207" t="s">
        <v>267</v>
      </c>
      <c r="C165" s="203">
        <f>data!C413</f>
        <v>0</v>
      </c>
    </row>
    <row r="166" spans="1:3" ht="20.100000000000001" customHeight="1" x14ac:dyDescent="0.25">
      <c r="A166" s="209" t="s">
        <v>960</v>
      </c>
      <c r="B166" s="207" t="s">
        <v>961</v>
      </c>
      <c r="C166" s="203">
        <f>data!C414</f>
        <v>738483</v>
      </c>
    </row>
    <row r="167" spans="1:3" ht="20.100000000000001" customHeight="1" x14ac:dyDescent="0.25">
      <c r="A167" s="188">
        <v>34</v>
      </c>
      <c r="B167" s="190" t="s">
        <v>962</v>
      </c>
      <c r="C167" s="203">
        <f>data!D416</f>
        <v>100450817</v>
      </c>
    </row>
    <row r="168" spans="1:3" ht="20.100000000000001" customHeight="1" x14ac:dyDescent="0.25">
      <c r="A168" s="188">
        <v>35</v>
      </c>
      <c r="B168" s="190" t="s">
        <v>963</v>
      </c>
      <c r="C168" s="203">
        <f>data!D417</f>
        <v>3035296</v>
      </c>
    </row>
    <row r="169" spans="1:3" ht="20.100000000000001" customHeight="1" x14ac:dyDescent="0.25">
      <c r="A169" s="188">
        <v>36</v>
      </c>
      <c r="B169" s="192"/>
      <c r="C169" s="190"/>
    </row>
    <row r="170" spans="1:3" ht="20.100000000000001" customHeight="1" x14ac:dyDescent="0.25">
      <c r="A170" s="188">
        <v>37</v>
      </c>
      <c r="B170" s="190" t="s">
        <v>964</v>
      </c>
      <c r="C170" s="203">
        <f>data!D420</f>
        <v>-58043</v>
      </c>
    </row>
    <row r="171" spans="1:3" ht="20.100000000000001" customHeight="1" x14ac:dyDescent="0.25">
      <c r="A171" s="188">
        <v>38</v>
      </c>
      <c r="B171" s="192"/>
      <c r="C171" s="190"/>
    </row>
    <row r="172" spans="1:3" ht="20.100000000000001" customHeight="1" x14ac:dyDescent="0.25">
      <c r="A172" s="188">
        <v>39</v>
      </c>
      <c r="B172" s="190" t="s">
        <v>965</v>
      </c>
      <c r="C172" s="190">
        <f>data!D421</f>
        <v>2977253</v>
      </c>
    </row>
    <row r="173" spans="1:3" ht="20.100000000000001" customHeight="1" x14ac:dyDescent="0.25">
      <c r="A173" s="188">
        <v>40</v>
      </c>
      <c r="B173" s="192"/>
      <c r="C173" s="190"/>
    </row>
    <row r="174" spans="1:3" ht="20.100000000000001" customHeight="1" x14ac:dyDescent="0.25">
      <c r="A174" s="188">
        <v>41</v>
      </c>
      <c r="B174" s="190" t="s">
        <v>966</v>
      </c>
      <c r="C174" s="203">
        <f>data!C422</f>
        <v>-446826</v>
      </c>
    </row>
    <row r="175" spans="1:3" ht="20.100000000000001" customHeight="1" x14ac:dyDescent="0.25">
      <c r="A175" s="188">
        <v>42</v>
      </c>
      <c r="B175" s="190" t="s">
        <v>967</v>
      </c>
      <c r="C175" s="203">
        <f>data!C423</f>
        <v>0</v>
      </c>
    </row>
    <row r="176" spans="1:3" ht="20.100000000000001" customHeight="1" x14ac:dyDescent="0.25">
      <c r="A176" s="188">
        <v>43</v>
      </c>
      <c r="B176" s="192"/>
      <c r="C176" s="190"/>
    </row>
    <row r="177" spans="1:3" ht="20.100000000000001" customHeight="1" x14ac:dyDescent="0.25">
      <c r="A177" s="188">
        <v>44</v>
      </c>
      <c r="B177" s="190" t="s">
        <v>968</v>
      </c>
      <c r="C177" s="203">
        <f>data!D424</f>
        <v>2530427</v>
      </c>
    </row>
    <row r="178" spans="1:3" ht="20.100000000000001" customHeight="1" x14ac:dyDescent="0.25">
      <c r="A178" s="193">
        <v>45</v>
      </c>
      <c r="B178" s="192" t="s">
        <v>969</v>
      </c>
      <c r="C178" s="190"/>
    </row>
    <row r="179" spans="1:3" ht="20.100000000000001" customHeight="1" x14ac:dyDescent="0.2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77734375" defaultRowHeight="20.100000000000001" customHeight="1" x14ac:dyDescent="0.2"/>
  <cols>
    <col min="1" max="1" width="5.77734375" style="282" customWidth="1"/>
    <col min="2" max="2" width="22.44140625" style="282" customWidth="1"/>
    <col min="3" max="8" width="13.77734375" style="282" customWidth="1"/>
    <col min="9" max="9" width="15.77734375" style="282" customWidth="1"/>
    <col min="10" max="10" width="8.77734375" style="282" customWidth="1"/>
    <col min="11" max="16384" width="8.77734375" style="282"/>
  </cols>
  <sheetData>
    <row r="1" spans="1:9" ht="20.100000000000001" customHeight="1" x14ac:dyDescent="0.2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00000000000001" customHeight="1" x14ac:dyDescent="0.2">
      <c r="A2" s="283"/>
      <c r="I2" s="284" t="s">
        <v>971</v>
      </c>
    </row>
    <row r="3" spans="1:9" ht="20.100000000000001" customHeight="1" x14ac:dyDescent="0.2">
      <c r="A3" s="283"/>
      <c r="I3" s="283"/>
    </row>
    <row r="4" spans="1:9" ht="20.100000000000001" customHeight="1" x14ac:dyDescent="0.2">
      <c r="A4" s="285" t="str">
        <f>"Hospital: "&amp;data!C98</f>
        <v>Hospital: Astria Sunnyside Hospital</v>
      </c>
      <c r="G4" s="286"/>
      <c r="H4" s="285" t="str">
        <f>"FYE: "&amp;data!C96</f>
        <v>FYE: 12/31/2022</v>
      </c>
    </row>
    <row r="5" spans="1:9" ht="20.100000000000001" customHeight="1" x14ac:dyDescent="0.2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00000000000001" customHeight="1" x14ac:dyDescent="0.2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00000000000001" customHeight="1" x14ac:dyDescent="0.2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00000000000001" customHeight="1" x14ac:dyDescent="0.2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00000000000001" customHeight="1" x14ac:dyDescent="0.2">
      <c r="A9" s="279">
        <v>4</v>
      </c>
      <c r="B9" s="287" t="s">
        <v>246</v>
      </c>
      <c r="C9" s="287">
        <f>data!C59</f>
        <v>1806</v>
      </c>
      <c r="D9" s="287">
        <f>data!D59</f>
        <v>0</v>
      </c>
      <c r="E9" s="287">
        <f>data!E59</f>
        <v>4444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00000000000001" customHeight="1" x14ac:dyDescent="0.2">
      <c r="A10" s="279">
        <v>5</v>
      </c>
      <c r="B10" s="287" t="s">
        <v>247</v>
      </c>
      <c r="C10" s="294">
        <f>data!C60</f>
        <v>12.21</v>
      </c>
      <c r="D10" s="294">
        <f>data!D60</f>
        <v>0</v>
      </c>
      <c r="E10" s="294">
        <f>data!E60</f>
        <v>28.97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00000000000001" customHeight="1" x14ac:dyDescent="0.2">
      <c r="A11" s="279">
        <v>6</v>
      </c>
      <c r="B11" s="287" t="s">
        <v>248</v>
      </c>
      <c r="C11" s="287">
        <f>data!C61</f>
        <v>1163489</v>
      </c>
      <c r="D11" s="287">
        <f>data!D61</f>
        <v>0</v>
      </c>
      <c r="E11" s="287">
        <f>data!E61</f>
        <v>2649250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00000000000001" customHeight="1" x14ac:dyDescent="0.2">
      <c r="A12" s="279">
        <v>7</v>
      </c>
      <c r="B12" s="287" t="s">
        <v>9</v>
      </c>
      <c r="C12" s="287">
        <f>data!C62</f>
        <v>305387</v>
      </c>
      <c r="D12" s="287">
        <f>data!D62</f>
        <v>0</v>
      </c>
      <c r="E12" s="287">
        <f>data!E62</f>
        <v>714398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00000000000001" customHeight="1" x14ac:dyDescent="0.2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00000000000001" customHeight="1" x14ac:dyDescent="0.2">
      <c r="A14" s="279">
        <v>9</v>
      </c>
      <c r="B14" s="287" t="s">
        <v>250</v>
      </c>
      <c r="C14" s="287">
        <f>data!C64</f>
        <v>120779</v>
      </c>
      <c r="D14" s="287">
        <f>data!D64</f>
        <v>0</v>
      </c>
      <c r="E14" s="287">
        <f>data!E64</f>
        <v>276823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00000000000001" customHeight="1" x14ac:dyDescent="0.2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00000000000001" customHeight="1" x14ac:dyDescent="0.2">
      <c r="A16" s="279">
        <v>11</v>
      </c>
      <c r="B16" s="287" t="s">
        <v>498</v>
      </c>
      <c r="C16" s="287">
        <f>data!C66</f>
        <v>14326</v>
      </c>
      <c r="D16" s="287">
        <f>data!D66</f>
        <v>0</v>
      </c>
      <c r="E16" s="287">
        <f>data!E66</f>
        <v>1069144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00000000000001" customHeight="1" x14ac:dyDescent="0.2">
      <c r="A17" s="279">
        <v>12</v>
      </c>
      <c r="B17" s="287" t="s">
        <v>11</v>
      </c>
      <c r="C17" s="287">
        <f>data!C67</f>
        <v>45102</v>
      </c>
      <c r="D17" s="287">
        <f>data!D67</f>
        <v>0</v>
      </c>
      <c r="E17" s="287">
        <f>data!E67</f>
        <v>395303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00000000000001" customHeight="1" x14ac:dyDescent="0.2">
      <c r="A18" s="279">
        <v>13</v>
      </c>
      <c r="B18" s="287" t="s">
        <v>977</v>
      </c>
      <c r="C18" s="287">
        <f>data!C68</f>
        <v>8276</v>
      </c>
      <c r="D18" s="287">
        <f>data!D68</f>
        <v>0</v>
      </c>
      <c r="E18" s="287">
        <f>data!E68</f>
        <v>113791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00000000000001" customHeight="1" x14ac:dyDescent="0.2">
      <c r="A19" s="279">
        <v>14</v>
      </c>
      <c r="B19" s="287" t="s">
        <v>978</v>
      </c>
      <c r="C19" s="287">
        <f>data!C69</f>
        <v>2071993</v>
      </c>
      <c r="D19" s="287">
        <f>data!D69</f>
        <v>0</v>
      </c>
      <c r="E19" s="287">
        <f>data!E69</f>
        <v>2817587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00000000000001" customHeight="1" x14ac:dyDescent="0.2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00000000000001" customHeight="1" x14ac:dyDescent="0.2">
      <c r="A21" s="279">
        <v>16</v>
      </c>
      <c r="B21" s="295" t="s">
        <v>979</v>
      </c>
      <c r="C21" s="287">
        <f>data!C85</f>
        <v>3729352</v>
      </c>
      <c r="D21" s="287">
        <f>data!D85</f>
        <v>0</v>
      </c>
      <c r="E21" s="287">
        <f>data!E85</f>
        <v>8036296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00000000000001" customHeight="1" x14ac:dyDescent="0.2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00000000000001" customHeight="1" x14ac:dyDescent="0.2">
      <c r="A23" s="279">
        <v>18</v>
      </c>
      <c r="B23" s="287" t="s">
        <v>980</v>
      </c>
      <c r="C23" s="295">
        <f>+data!M668</f>
        <v>1720608</v>
      </c>
      <c r="D23" s="295">
        <f>+data!M669</f>
        <v>0</v>
      </c>
      <c r="E23" s="295">
        <f>+data!M670</f>
        <v>4659980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00000000000001" customHeight="1" x14ac:dyDescent="0.2">
      <c r="A24" s="279">
        <v>19</v>
      </c>
      <c r="B24" s="295" t="s">
        <v>981</v>
      </c>
      <c r="C24" s="287">
        <f>data!C87</f>
        <v>8267064</v>
      </c>
      <c r="D24" s="287">
        <f>data!D87</f>
        <v>0</v>
      </c>
      <c r="E24" s="287">
        <f>data!E87</f>
        <v>14114320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00000000000001" customHeight="1" x14ac:dyDescent="0.2">
      <c r="A25" s="279">
        <v>20</v>
      </c>
      <c r="B25" s="295" t="s">
        <v>982</v>
      </c>
      <c r="C25" s="287">
        <f>data!C88</f>
        <v>15792</v>
      </c>
      <c r="D25" s="287">
        <f>data!D88</f>
        <v>0</v>
      </c>
      <c r="E25" s="287">
        <f>data!E88</f>
        <v>1729876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2">
      <c r="A26" s="279">
        <v>21</v>
      </c>
      <c r="B26" s="295" t="s">
        <v>983</v>
      </c>
      <c r="C26" s="287">
        <f>data!C89</f>
        <v>8282856</v>
      </c>
      <c r="D26" s="287">
        <f>data!D89</f>
        <v>0</v>
      </c>
      <c r="E26" s="287">
        <f>data!E89</f>
        <v>15844196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00000000000001" customHeight="1" x14ac:dyDescent="0.2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00000000000001" customHeight="1" x14ac:dyDescent="0.2">
      <c r="A28" s="279">
        <v>22</v>
      </c>
      <c r="B28" s="287" t="s">
        <v>985</v>
      </c>
      <c r="C28" s="287">
        <f>data!C90</f>
        <v>2235</v>
      </c>
      <c r="D28" s="287">
        <f>data!D90</f>
        <v>0</v>
      </c>
      <c r="E28" s="287">
        <f>data!E90</f>
        <v>19589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00000000000001" customHeight="1" x14ac:dyDescent="0.2">
      <c r="A29" s="279">
        <v>23</v>
      </c>
      <c r="B29" s="287" t="s">
        <v>986</v>
      </c>
      <c r="C29" s="287">
        <f>data!C91</f>
        <v>4522</v>
      </c>
      <c r="D29" s="287">
        <f>data!D91</f>
        <v>0</v>
      </c>
      <c r="E29" s="287">
        <f>data!E91</f>
        <v>19069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00000000000001" customHeight="1" x14ac:dyDescent="0.2">
      <c r="A30" s="279">
        <v>24</v>
      </c>
      <c r="B30" s="287" t="s">
        <v>987</v>
      </c>
      <c r="C30" s="287">
        <f>data!C92</f>
        <v>2315</v>
      </c>
      <c r="D30" s="287">
        <f>data!D92</f>
        <v>0</v>
      </c>
      <c r="E30" s="287">
        <f>data!E92</f>
        <v>9100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00000000000001" customHeight="1" x14ac:dyDescent="0.2">
      <c r="A31" s="279">
        <v>25</v>
      </c>
      <c r="B31" s="287" t="s">
        <v>988</v>
      </c>
      <c r="C31" s="287">
        <f>data!C93</f>
        <v>53368.26</v>
      </c>
      <c r="D31" s="287">
        <f>data!D93</f>
        <v>0</v>
      </c>
      <c r="E31" s="287">
        <f>data!E93</f>
        <v>133209.44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00000000000001" customHeight="1" x14ac:dyDescent="0.2">
      <c r="A32" s="279">
        <v>26</v>
      </c>
      <c r="B32" s="287" t="s">
        <v>279</v>
      </c>
      <c r="C32" s="294">
        <f>data!C94</f>
        <v>12.21</v>
      </c>
      <c r="D32" s="294">
        <f>data!D94</f>
        <v>0</v>
      </c>
      <c r="E32" s="294">
        <f>data!E94</f>
        <v>28.97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00000000000001" customHeight="1" x14ac:dyDescent="0.2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00000000000001" customHeight="1" x14ac:dyDescent="0.2">
      <c r="A34" s="283"/>
      <c r="I34" s="284" t="s">
        <v>989</v>
      </c>
    </row>
    <row r="35" spans="1:9" ht="20.100000000000001" customHeight="1" x14ac:dyDescent="0.2">
      <c r="A35" s="283"/>
      <c r="I35" s="283"/>
    </row>
    <row r="36" spans="1:9" ht="20.100000000000001" customHeight="1" x14ac:dyDescent="0.2">
      <c r="A36" s="285" t="str">
        <f>"Hospital: "&amp;data!C98</f>
        <v>Hospital: Astria Sunnyside Hospital</v>
      </c>
      <c r="G36" s="286"/>
      <c r="H36" s="285" t="str">
        <f>"FYE: "&amp;data!C96</f>
        <v>FYE: 12/31/2022</v>
      </c>
    </row>
    <row r="37" spans="1:9" ht="20.100000000000001" customHeight="1" x14ac:dyDescent="0.2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00000000000001" customHeight="1" x14ac:dyDescent="0.2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00000000000001" customHeight="1" x14ac:dyDescent="0.2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00000000000001" customHeight="1" x14ac:dyDescent="0.2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00000000000001" customHeight="1" x14ac:dyDescent="0.2">
      <c r="A41" s="279">
        <v>4</v>
      </c>
      <c r="B41" s="287" t="s">
        <v>246</v>
      </c>
      <c r="C41" s="287">
        <f>data!J59</f>
        <v>322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235</v>
      </c>
      <c r="I41" s="287">
        <f>data!P59</f>
        <v>155238</v>
      </c>
    </row>
    <row r="42" spans="1:9" ht="20.100000000000001" customHeight="1" x14ac:dyDescent="0.2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12.63</v>
      </c>
    </row>
    <row r="43" spans="1:9" ht="20.100000000000001" customHeight="1" x14ac:dyDescent="0.2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971581</v>
      </c>
    </row>
    <row r="44" spans="1:9" ht="20.100000000000001" customHeight="1" x14ac:dyDescent="0.2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253026</v>
      </c>
    </row>
    <row r="45" spans="1:9" ht="20.100000000000001" customHeight="1" x14ac:dyDescent="0.2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1987</v>
      </c>
    </row>
    <row r="46" spans="1:9" ht="20.100000000000001" customHeight="1" x14ac:dyDescent="0.2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3532499</v>
      </c>
    </row>
    <row r="47" spans="1:9" ht="20.100000000000001" customHeight="1" x14ac:dyDescent="0.2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00000000000001" customHeight="1" x14ac:dyDescent="0.2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394516</v>
      </c>
    </row>
    <row r="49" spans="1:11" ht="20.100000000000001" customHeight="1" x14ac:dyDescent="0.2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75674</v>
      </c>
      <c r="I49" s="287">
        <f>data!P67</f>
        <v>77491</v>
      </c>
    </row>
    <row r="50" spans="1:11" ht="20.100000000000001" customHeight="1" x14ac:dyDescent="0.2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10928</v>
      </c>
    </row>
    <row r="51" spans="1:11" ht="20.100000000000001" customHeight="1" x14ac:dyDescent="0.2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329295</v>
      </c>
    </row>
    <row r="52" spans="1:11" ht="20.100000000000001" customHeight="1" x14ac:dyDescent="0.2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00000000000001" customHeight="1" x14ac:dyDescent="0.2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75674</v>
      </c>
      <c r="I53" s="287">
        <f>data!P85</f>
        <v>5571323</v>
      </c>
    </row>
    <row r="54" spans="1:11" ht="20.100000000000001" customHeight="1" x14ac:dyDescent="0.2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00000000000001" customHeight="1" x14ac:dyDescent="0.2">
      <c r="A55" s="279">
        <v>18</v>
      </c>
      <c r="B55" s="287" t="s">
        <v>980</v>
      </c>
      <c r="C55" s="295">
        <f>+data!M675</f>
        <v>16470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89759</v>
      </c>
      <c r="I55" s="295">
        <f>+data!M681</f>
        <v>2412875</v>
      </c>
    </row>
    <row r="56" spans="1:11" ht="20.100000000000001" customHeight="1" x14ac:dyDescent="0.2">
      <c r="A56" s="279">
        <v>19</v>
      </c>
      <c r="B56" s="295" t="s">
        <v>981</v>
      </c>
      <c r="C56" s="287">
        <f>data!J87</f>
        <v>878576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10850315</v>
      </c>
    </row>
    <row r="57" spans="1:11" ht="20.100000000000001" customHeight="1" x14ac:dyDescent="0.2">
      <c r="A57" s="279">
        <v>20</v>
      </c>
      <c r="B57" s="295" t="s">
        <v>982</v>
      </c>
      <c r="C57" s="287">
        <f>data!J88</f>
        <v>78636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22158278</v>
      </c>
    </row>
    <row r="58" spans="1:11" ht="20.100000000000001" customHeight="1" x14ac:dyDescent="0.2">
      <c r="A58" s="279">
        <v>21</v>
      </c>
      <c r="B58" s="295" t="s">
        <v>983</v>
      </c>
      <c r="C58" s="287">
        <f>data!J89</f>
        <v>957212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33008593</v>
      </c>
    </row>
    <row r="59" spans="1:11" ht="20.100000000000001" customHeight="1" x14ac:dyDescent="0.2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00000000000001" customHeight="1" x14ac:dyDescent="0.2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3750</v>
      </c>
      <c r="I60" s="287">
        <f>data!P90</f>
        <v>3840</v>
      </c>
      <c r="K60" s="298"/>
    </row>
    <row r="61" spans="1:11" ht="20.100000000000001" customHeight="1" x14ac:dyDescent="0.2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00000000000001" customHeight="1" x14ac:dyDescent="0.2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3473</v>
      </c>
    </row>
    <row r="63" spans="1:11" ht="20.100000000000001" customHeight="1" x14ac:dyDescent="0.2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27120.65</v>
      </c>
    </row>
    <row r="64" spans="1:11" ht="20.100000000000001" customHeight="1" x14ac:dyDescent="0.2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12.63</v>
      </c>
    </row>
    <row r="65" spans="1:9" ht="20.100000000000001" customHeight="1" x14ac:dyDescent="0.2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00000000000001" customHeight="1" x14ac:dyDescent="0.2">
      <c r="D66" s="283"/>
      <c r="I66" s="284" t="s">
        <v>992</v>
      </c>
    </row>
    <row r="67" spans="1:9" ht="20.100000000000001" customHeight="1" x14ac:dyDescent="0.2">
      <c r="A67" s="283"/>
    </row>
    <row r="68" spans="1:9" ht="20.100000000000001" customHeight="1" x14ac:dyDescent="0.2">
      <c r="A68" s="285" t="str">
        <f>"Hospital: "&amp;data!C98</f>
        <v>Hospital: Astria Sunnyside Hospital</v>
      </c>
      <c r="G68" s="286"/>
      <c r="H68" s="285" t="str">
        <f>"FYE: "&amp;data!C96</f>
        <v>FYE: 12/31/2022</v>
      </c>
    </row>
    <row r="69" spans="1:9" ht="20.100000000000001" customHeight="1" x14ac:dyDescent="0.2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00000000000001" customHeight="1" x14ac:dyDescent="0.2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00000000000001" customHeight="1" x14ac:dyDescent="0.2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00000000000001" customHeight="1" x14ac:dyDescent="0.2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00000000000001" customHeight="1" x14ac:dyDescent="0.2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171757</v>
      </c>
      <c r="H73" s="287">
        <f>data!V59</f>
        <v>1033</v>
      </c>
      <c r="I73" s="287">
        <f>data!W59</f>
        <v>1341</v>
      </c>
    </row>
    <row r="74" spans="1:9" ht="20.100000000000001" customHeight="1" x14ac:dyDescent="0.2">
      <c r="A74" s="279">
        <v>5</v>
      </c>
      <c r="B74" s="287" t="s">
        <v>247</v>
      </c>
      <c r="C74" s="294">
        <f>data!Q60</f>
        <v>3.26</v>
      </c>
      <c r="D74" s="294">
        <f>data!R60</f>
        <v>0</v>
      </c>
      <c r="E74" s="294">
        <f>data!S60</f>
        <v>1.31</v>
      </c>
      <c r="F74" s="294">
        <f>data!T60</f>
        <v>0</v>
      </c>
      <c r="G74" s="294">
        <f>data!U60</f>
        <v>24.35</v>
      </c>
      <c r="H74" s="294">
        <f>data!V60</f>
        <v>1.32</v>
      </c>
      <c r="I74" s="294">
        <f>data!W60</f>
        <v>1.85</v>
      </c>
    </row>
    <row r="75" spans="1:9" ht="20.100000000000001" customHeight="1" x14ac:dyDescent="0.2">
      <c r="A75" s="279">
        <v>6</v>
      </c>
      <c r="B75" s="287" t="s">
        <v>248</v>
      </c>
      <c r="C75" s="287">
        <f>data!Q61</f>
        <v>472268</v>
      </c>
      <c r="D75" s="287">
        <f>data!R61</f>
        <v>0</v>
      </c>
      <c r="E75" s="287">
        <f>data!S61</f>
        <v>77438</v>
      </c>
      <c r="F75" s="287">
        <f>data!T61</f>
        <v>0</v>
      </c>
      <c r="G75" s="287">
        <f>data!U61</f>
        <v>1556537</v>
      </c>
      <c r="H75" s="287">
        <f>data!V61</f>
        <v>146534</v>
      </c>
      <c r="I75" s="287">
        <f>data!W61</f>
        <v>173249</v>
      </c>
    </row>
    <row r="76" spans="1:9" ht="20.100000000000001" customHeight="1" x14ac:dyDescent="0.2">
      <c r="A76" s="279">
        <v>7</v>
      </c>
      <c r="B76" s="287" t="s">
        <v>9</v>
      </c>
      <c r="C76" s="287">
        <f>data!Q62</f>
        <v>130897</v>
      </c>
      <c r="D76" s="287">
        <f>data!R62</f>
        <v>0</v>
      </c>
      <c r="E76" s="287">
        <f>data!S62</f>
        <v>16890</v>
      </c>
      <c r="F76" s="287">
        <f>data!T62</f>
        <v>0</v>
      </c>
      <c r="G76" s="287">
        <f>data!U62</f>
        <v>414419</v>
      </c>
      <c r="H76" s="287">
        <f>data!V62</f>
        <v>39323</v>
      </c>
      <c r="I76" s="287">
        <f>data!W62</f>
        <v>44486</v>
      </c>
    </row>
    <row r="77" spans="1:9" ht="20.100000000000001" customHeight="1" x14ac:dyDescent="0.2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60118</v>
      </c>
      <c r="H77" s="287">
        <f>data!V63</f>
        <v>0</v>
      </c>
      <c r="I77" s="287">
        <f>data!W63</f>
        <v>0</v>
      </c>
    </row>
    <row r="78" spans="1:9" ht="20.100000000000001" customHeight="1" x14ac:dyDescent="0.2">
      <c r="A78" s="279">
        <v>9</v>
      </c>
      <c r="B78" s="287" t="s">
        <v>250</v>
      </c>
      <c r="C78" s="287">
        <f>data!Q64</f>
        <v>26894</v>
      </c>
      <c r="D78" s="287">
        <f>data!R64</f>
        <v>103806</v>
      </c>
      <c r="E78" s="287">
        <f>data!S64</f>
        <v>-49634</v>
      </c>
      <c r="F78" s="287">
        <f>data!T64</f>
        <v>138282</v>
      </c>
      <c r="G78" s="287">
        <f>data!U64</f>
        <v>815839</v>
      </c>
      <c r="H78" s="287">
        <f>data!V64</f>
        <v>1224</v>
      </c>
      <c r="I78" s="287">
        <f>data!W64</f>
        <v>7999</v>
      </c>
    </row>
    <row r="79" spans="1:9" ht="20.100000000000001" customHeight="1" x14ac:dyDescent="0.2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120</v>
      </c>
      <c r="H79" s="287">
        <f>data!V65</f>
        <v>0</v>
      </c>
      <c r="I79" s="287">
        <f>data!W65</f>
        <v>0</v>
      </c>
    </row>
    <row r="80" spans="1:9" ht="20.100000000000001" customHeight="1" x14ac:dyDescent="0.2">
      <c r="A80" s="279">
        <v>11</v>
      </c>
      <c r="B80" s="287" t="s">
        <v>498</v>
      </c>
      <c r="C80" s="287">
        <f>data!Q66</f>
        <v>808</v>
      </c>
      <c r="D80" s="287">
        <f>data!R66</f>
        <v>1191621</v>
      </c>
      <c r="E80" s="287">
        <f>data!S66</f>
        <v>22180</v>
      </c>
      <c r="F80" s="287">
        <f>data!T66</f>
        <v>0</v>
      </c>
      <c r="G80" s="287">
        <f>data!U66</f>
        <v>79933</v>
      </c>
      <c r="H80" s="287">
        <f>data!V66</f>
        <v>9649</v>
      </c>
      <c r="I80" s="287">
        <f>data!W66</f>
        <v>115657</v>
      </c>
    </row>
    <row r="81" spans="1:9" ht="20.100000000000001" customHeight="1" x14ac:dyDescent="0.2">
      <c r="A81" s="279">
        <v>12</v>
      </c>
      <c r="B81" s="287" t="s">
        <v>11</v>
      </c>
      <c r="C81" s="287">
        <f>data!Q67</f>
        <v>23308</v>
      </c>
      <c r="D81" s="287">
        <f>data!R67</f>
        <v>0</v>
      </c>
      <c r="E81" s="287">
        <f>data!S67</f>
        <v>31259</v>
      </c>
      <c r="F81" s="287">
        <f>data!T67</f>
        <v>0</v>
      </c>
      <c r="G81" s="287">
        <f>data!U67</f>
        <v>0</v>
      </c>
      <c r="H81" s="287">
        <f>data!V67</f>
        <v>51842</v>
      </c>
      <c r="I81" s="287">
        <f>data!W67</f>
        <v>0</v>
      </c>
    </row>
    <row r="82" spans="1:9" ht="20.100000000000001" customHeight="1" x14ac:dyDescent="0.2">
      <c r="A82" s="279">
        <v>13</v>
      </c>
      <c r="B82" s="287" t="s">
        <v>977</v>
      </c>
      <c r="C82" s="287">
        <f>data!Q68</f>
        <v>2124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-2548</v>
      </c>
      <c r="H82" s="287">
        <f>data!V68</f>
        <v>0</v>
      </c>
      <c r="I82" s="287">
        <f>data!W68</f>
        <v>0</v>
      </c>
    </row>
    <row r="83" spans="1:9" ht="20.100000000000001" customHeight="1" x14ac:dyDescent="0.2">
      <c r="A83" s="279">
        <v>14</v>
      </c>
      <c r="B83" s="287" t="s">
        <v>978</v>
      </c>
      <c r="C83" s="287">
        <f>data!Q69</f>
        <v>37409</v>
      </c>
      <c r="D83" s="287">
        <f>data!R69</f>
        <v>4035</v>
      </c>
      <c r="E83" s="287">
        <f>data!S69</f>
        <v>-2385</v>
      </c>
      <c r="F83" s="287">
        <f>data!T69</f>
        <v>-454</v>
      </c>
      <c r="G83" s="287">
        <f>data!U69</f>
        <v>1606566</v>
      </c>
      <c r="H83" s="287">
        <f>data!V69</f>
        <v>932</v>
      </c>
      <c r="I83" s="287">
        <f>data!W69</f>
        <v>1326</v>
      </c>
    </row>
    <row r="84" spans="1:9" ht="20.100000000000001" customHeight="1" x14ac:dyDescent="0.2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00000000000001" customHeight="1" x14ac:dyDescent="0.2">
      <c r="A85" s="279">
        <v>16</v>
      </c>
      <c r="B85" s="295" t="s">
        <v>979</v>
      </c>
      <c r="C85" s="287">
        <f>data!Q85</f>
        <v>693708</v>
      </c>
      <c r="D85" s="287">
        <f>data!R85</f>
        <v>1299462</v>
      </c>
      <c r="E85" s="287">
        <f>data!S85</f>
        <v>95748</v>
      </c>
      <c r="F85" s="287">
        <f>data!T85</f>
        <v>137828</v>
      </c>
      <c r="G85" s="287">
        <f>data!U85</f>
        <v>4530984</v>
      </c>
      <c r="H85" s="287">
        <f>data!V85</f>
        <v>249504</v>
      </c>
      <c r="I85" s="287">
        <f>data!W85</f>
        <v>342717</v>
      </c>
    </row>
    <row r="86" spans="1:9" ht="20.100000000000001" customHeight="1" x14ac:dyDescent="0.2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00000000000001" customHeight="1" x14ac:dyDescent="0.2">
      <c r="A87" s="279">
        <v>18</v>
      </c>
      <c r="B87" s="287" t="s">
        <v>980</v>
      </c>
      <c r="C87" s="295">
        <f>+data!M682</f>
        <v>375015</v>
      </c>
      <c r="D87" s="295">
        <f>+data!M683</f>
        <v>459100</v>
      </c>
      <c r="E87" s="295">
        <f>+data!M684</f>
        <v>361624</v>
      </c>
      <c r="F87" s="295">
        <f>+data!M685</f>
        <v>50443</v>
      </c>
      <c r="G87" s="295">
        <f>+data!M686</f>
        <v>1811093</v>
      </c>
      <c r="H87" s="295">
        <f>+data!M687</f>
        <v>158360</v>
      </c>
      <c r="I87" s="295">
        <f>+data!M688</f>
        <v>221597</v>
      </c>
    </row>
    <row r="88" spans="1:9" ht="20.100000000000001" customHeight="1" x14ac:dyDescent="0.2">
      <c r="A88" s="279">
        <v>19</v>
      </c>
      <c r="B88" s="295" t="s">
        <v>981</v>
      </c>
      <c r="C88" s="287">
        <f>data!Q87</f>
        <v>1294634</v>
      </c>
      <c r="D88" s="287">
        <f>data!R87</f>
        <v>2421810</v>
      </c>
      <c r="E88" s="287">
        <f>data!S87</f>
        <v>9179423</v>
      </c>
      <c r="F88" s="287">
        <f>data!T87</f>
        <v>939520</v>
      </c>
      <c r="G88" s="287">
        <f>data!U87</f>
        <v>9953126</v>
      </c>
      <c r="H88" s="287">
        <f>data!V87</f>
        <v>1256079</v>
      </c>
      <c r="I88" s="287">
        <f>data!W87</f>
        <v>773411</v>
      </c>
    </row>
    <row r="89" spans="1:9" ht="20.100000000000001" customHeight="1" x14ac:dyDescent="0.2">
      <c r="A89" s="279">
        <v>20</v>
      </c>
      <c r="B89" s="295" t="s">
        <v>982</v>
      </c>
      <c r="C89" s="287">
        <f>data!Q88</f>
        <v>3435984</v>
      </c>
      <c r="D89" s="287">
        <f>data!R88</f>
        <v>5929382</v>
      </c>
      <c r="E89" s="287">
        <f>data!S88</f>
        <v>7750221</v>
      </c>
      <c r="F89" s="287">
        <f>data!T88</f>
        <v>70526</v>
      </c>
      <c r="G89" s="287">
        <f>data!U88</f>
        <v>29118307</v>
      </c>
      <c r="H89" s="287">
        <f>data!V88</f>
        <v>1166037</v>
      </c>
      <c r="I89" s="287">
        <f>data!W88</f>
        <v>6705908</v>
      </c>
    </row>
    <row r="90" spans="1:9" ht="20.100000000000001" customHeight="1" x14ac:dyDescent="0.2">
      <c r="A90" s="279">
        <v>21</v>
      </c>
      <c r="B90" s="295" t="s">
        <v>983</v>
      </c>
      <c r="C90" s="287">
        <f>data!Q89</f>
        <v>4730618</v>
      </c>
      <c r="D90" s="287">
        <f>data!R89</f>
        <v>8351192</v>
      </c>
      <c r="E90" s="287">
        <f>data!S89</f>
        <v>16929644</v>
      </c>
      <c r="F90" s="287">
        <f>data!T89</f>
        <v>1010046</v>
      </c>
      <c r="G90" s="287">
        <f>data!U89</f>
        <v>39071433</v>
      </c>
      <c r="H90" s="287">
        <f>data!V89</f>
        <v>2422116</v>
      </c>
      <c r="I90" s="287">
        <f>data!W89</f>
        <v>7479319</v>
      </c>
    </row>
    <row r="91" spans="1:9" ht="20.100000000000001" customHeight="1" x14ac:dyDescent="0.2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00000000000001" customHeight="1" x14ac:dyDescent="0.2">
      <c r="A92" s="279">
        <v>22</v>
      </c>
      <c r="B92" s="287" t="s">
        <v>985</v>
      </c>
      <c r="C92" s="287">
        <f>data!Q90</f>
        <v>1155</v>
      </c>
      <c r="D92" s="287">
        <f>data!R90</f>
        <v>0</v>
      </c>
      <c r="E92" s="287">
        <f>data!S90</f>
        <v>1549</v>
      </c>
      <c r="F92" s="287">
        <f>data!T90</f>
        <v>0</v>
      </c>
      <c r="G92" s="287">
        <f>data!U90</f>
        <v>0</v>
      </c>
      <c r="H92" s="287">
        <f>data!V90</f>
        <v>2569</v>
      </c>
      <c r="I92" s="287">
        <f>data!W90</f>
        <v>0</v>
      </c>
    </row>
    <row r="93" spans="1:9" ht="20.100000000000001" customHeight="1" x14ac:dyDescent="0.2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00000000000001" customHeight="1" x14ac:dyDescent="0.2">
      <c r="A94" s="279">
        <v>24</v>
      </c>
      <c r="B94" s="287" t="s">
        <v>987</v>
      </c>
      <c r="C94" s="287">
        <f>data!Q92</f>
        <v>546</v>
      </c>
      <c r="D94" s="287">
        <f>data!R92</f>
        <v>0</v>
      </c>
      <c r="E94" s="287">
        <f>data!S92</f>
        <v>438</v>
      </c>
      <c r="F94" s="287">
        <f>data!T92</f>
        <v>0</v>
      </c>
      <c r="G94" s="287">
        <f>data!U92</f>
        <v>893</v>
      </c>
      <c r="H94" s="287">
        <f>data!V92</f>
        <v>156</v>
      </c>
      <c r="I94" s="287">
        <f>data!W92</f>
        <v>174</v>
      </c>
    </row>
    <row r="95" spans="1:9" ht="20.100000000000001" customHeight="1" x14ac:dyDescent="0.2">
      <c r="A95" s="279">
        <v>25</v>
      </c>
      <c r="B95" s="287" t="s">
        <v>988</v>
      </c>
      <c r="C95" s="287">
        <f>data!Q93</f>
        <v>13349.11</v>
      </c>
      <c r="D95" s="287">
        <f>data!R93</f>
        <v>0</v>
      </c>
      <c r="E95" s="287">
        <f>data!S93</f>
        <v>337.95</v>
      </c>
      <c r="F95" s="287">
        <f>data!T93</f>
        <v>0</v>
      </c>
      <c r="G95" s="287">
        <f>data!U93</f>
        <v>140.81</v>
      </c>
      <c r="H95" s="287">
        <f>data!V93</f>
        <v>929.37</v>
      </c>
      <c r="I95" s="287">
        <f>data!W93</f>
        <v>2731.78</v>
      </c>
    </row>
    <row r="96" spans="1:9" ht="20.100000000000001" customHeight="1" x14ac:dyDescent="0.2">
      <c r="A96" s="279">
        <v>26</v>
      </c>
      <c r="B96" s="287" t="s">
        <v>279</v>
      </c>
      <c r="C96" s="294">
        <f>data!Q94</f>
        <v>3.26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00000000000001" customHeight="1" x14ac:dyDescent="0.2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00000000000001" customHeight="1" x14ac:dyDescent="0.2">
      <c r="D98" s="283"/>
      <c r="I98" s="284" t="s">
        <v>997</v>
      </c>
    </row>
    <row r="99" spans="1:9" ht="20.100000000000001" customHeight="1" x14ac:dyDescent="0.2">
      <c r="A99" s="283"/>
    </row>
    <row r="100" spans="1:9" ht="20.100000000000001" customHeight="1" x14ac:dyDescent="0.2">
      <c r="A100" s="285" t="str">
        <f>"Hospital: "&amp;data!C98</f>
        <v>Hospital: Astria Sunnyside Hospital</v>
      </c>
      <c r="G100" s="286"/>
      <c r="H100" s="285" t="str">
        <f>"FYE: "&amp;data!C96</f>
        <v>FYE: 12/31/2022</v>
      </c>
    </row>
    <row r="101" spans="1:9" ht="20.100000000000001" customHeight="1" x14ac:dyDescent="0.2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00000000000001" customHeight="1" x14ac:dyDescent="0.2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00000000000001" customHeight="1" x14ac:dyDescent="0.2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00000000000001" customHeight="1" x14ac:dyDescent="0.2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00000000000001" customHeight="1" x14ac:dyDescent="0.2">
      <c r="A105" s="279">
        <v>4</v>
      </c>
      <c r="B105" s="287" t="s">
        <v>246</v>
      </c>
      <c r="C105" s="287">
        <f>data!X59</f>
        <v>8769</v>
      </c>
      <c r="D105" s="287">
        <f>data!Y59</f>
        <v>20835</v>
      </c>
      <c r="E105" s="287">
        <f>data!Z59</f>
        <v>0</v>
      </c>
      <c r="F105" s="287">
        <f>data!AA59</f>
        <v>539</v>
      </c>
      <c r="G105" s="299"/>
      <c r="H105" s="287">
        <f>data!AC59</f>
        <v>16502</v>
      </c>
      <c r="I105" s="287">
        <f>data!AD59</f>
        <v>0</v>
      </c>
    </row>
    <row r="106" spans="1:9" ht="20.100000000000001" customHeight="1" x14ac:dyDescent="0.2">
      <c r="A106" s="279">
        <v>5</v>
      </c>
      <c r="B106" s="287" t="s">
        <v>247</v>
      </c>
      <c r="C106" s="294">
        <f>data!X60</f>
        <v>1.98</v>
      </c>
      <c r="D106" s="294">
        <f>data!Y60</f>
        <v>22.29</v>
      </c>
      <c r="E106" s="294">
        <f>data!Z60</f>
        <v>0</v>
      </c>
      <c r="F106" s="294">
        <f>data!AA60</f>
        <v>0</v>
      </c>
      <c r="G106" s="294">
        <f>data!AB60</f>
        <v>9</v>
      </c>
      <c r="H106" s="294">
        <f>data!AC60</f>
        <v>0.81</v>
      </c>
      <c r="I106" s="294">
        <f>data!AD60</f>
        <v>0</v>
      </c>
    </row>
    <row r="107" spans="1:9" ht="20.100000000000001" customHeight="1" x14ac:dyDescent="0.2">
      <c r="A107" s="279">
        <v>6</v>
      </c>
      <c r="B107" s="287" t="s">
        <v>248</v>
      </c>
      <c r="C107" s="287">
        <f>data!X61</f>
        <v>193111</v>
      </c>
      <c r="D107" s="287">
        <f>data!Y61</f>
        <v>2825976</v>
      </c>
      <c r="E107" s="287">
        <f>data!Z61</f>
        <v>0</v>
      </c>
      <c r="F107" s="287">
        <f>data!AA61</f>
        <v>25737</v>
      </c>
      <c r="G107" s="287">
        <f>data!AB61</f>
        <v>833630</v>
      </c>
      <c r="H107" s="287">
        <f>data!AC61</f>
        <v>0</v>
      </c>
      <c r="I107" s="287">
        <f>data!AD61</f>
        <v>0</v>
      </c>
    </row>
    <row r="108" spans="1:9" ht="20.100000000000001" customHeight="1" x14ac:dyDescent="0.2">
      <c r="A108" s="279">
        <v>7</v>
      </c>
      <c r="B108" s="287" t="s">
        <v>9</v>
      </c>
      <c r="C108" s="287">
        <f>data!X62</f>
        <v>51930</v>
      </c>
      <c r="D108" s="287">
        <f>data!Y62</f>
        <v>718469</v>
      </c>
      <c r="E108" s="287">
        <f>data!Z62</f>
        <v>0</v>
      </c>
      <c r="F108" s="287">
        <f>data!AA62</f>
        <v>2683</v>
      </c>
      <c r="G108" s="287">
        <f>data!AB62</f>
        <v>219684</v>
      </c>
      <c r="H108" s="287">
        <f>data!AC62</f>
        <v>0</v>
      </c>
      <c r="I108" s="287">
        <f>data!AD62</f>
        <v>0</v>
      </c>
    </row>
    <row r="109" spans="1:9" ht="20.100000000000001" customHeight="1" x14ac:dyDescent="0.2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00000000000001" customHeight="1" x14ac:dyDescent="0.2">
      <c r="A110" s="279">
        <v>9</v>
      </c>
      <c r="B110" s="287" t="s">
        <v>250</v>
      </c>
      <c r="C110" s="287">
        <f>data!X64</f>
        <v>8260</v>
      </c>
      <c r="D110" s="287">
        <f>data!Y64</f>
        <v>1135087</v>
      </c>
      <c r="E110" s="287">
        <f>data!Z64</f>
        <v>0</v>
      </c>
      <c r="F110" s="287">
        <f>data!AA64</f>
        <v>94421</v>
      </c>
      <c r="G110" s="287">
        <f>data!AB64</f>
        <v>5028297</v>
      </c>
      <c r="H110" s="287">
        <f>data!AC64</f>
        <v>99323</v>
      </c>
      <c r="I110" s="287">
        <f>data!AD64</f>
        <v>36</v>
      </c>
    </row>
    <row r="111" spans="1:9" ht="20.100000000000001" customHeight="1" x14ac:dyDescent="0.2">
      <c r="A111" s="279">
        <v>10</v>
      </c>
      <c r="B111" s="287" t="s">
        <v>497</v>
      </c>
      <c r="C111" s="287">
        <f>data!X65</f>
        <v>0</v>
      </c>
      <c r="D111" s="287">
        <f>data!Y65</f>
        <v>5322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00000000000001" customHeight="1" x14ac:dyDescent="0.2">
      <c r="A112" s="279">
        <v>11</v>
      </c>
      <c r="B112" s="287" t="s">
        <v>498</v>
      </c>
      <c r="C112" s="287">
        <f>data!X66</f>
        <v>85756</v>
      </c>
      <c r="D112" s="287">
        <f>data!Y66</f>
        <v>1005162</v>
      </c>
      <c r="E112" s="287">
        <f>data!Z66</f>
        <v>0</v>
      </c>
      <c r="F112" s="287">
        <f>data!AA66</f>
        <v>59111</v>
      </c>
      <c r="G112" s="287">
        <f>data!AB66</f>
        <v>208317</v>
      </c>
      <c r="H112" s="287">
        <f>data!AC66</f>
        <v>851154</v>
      </c>
      <c r="I112" s="287">
        <f>data!AD66</f>
        <v>405721</v>
      </c>
    </row>
    <row r="113" spans="1:9" ht="20.100000000000001" customHeight="1" x14ac:dyDescent="0.2">
      <c r="A113" s="279">
        <v>12</v>
      </c>
      <c r="B113" s="287" t="s">
        <v>11</v>
      </c>
      <c r="C113" s="287">
        <f>data!X67</f>
        <v>0</v>
      </c>
      <c r="D113" s="287">
        <f>data!Y67</f>
        <v>88267</v>
      </c>
      <c r="E113" s="287">
        <f>data!Z67</f>
        <v>0</v>
      </c>
      <c r="F113" s="287">
        <f>data!AA67</f>
        <v>4722</v>
      </c>
      <c r="G113" s="287">
        <f>data!AB67</f>
        <v>0</v>
      </c>
      <c r="H113" s="287">
        <f>data!AC67</f>
        <v>4964</v>
      </c>
      <c r="I113" s="287">
        <f>data!AD67</f>
        <v>0</v>
      </c>
    </row>
    <row r="114" spans="1:9" ht="20.100000000000001" customHeight="1" x14ac:dyDescent="0.2">
      <c r="A114" s="279">
        <v>13</v>
      </c>
      <c r="B114" s="287" t="s">
        <v>977</v>
      </c>
      <c r="C114" s="287">
        <f>data!X68</f>
        <v>0</v>
      </c>
      <c r="D114" s="287">
        <f>data!Y68</f>
        <v>16202</v>
      </c>
      <c r="E114" s="287">
        <f>data!Z68</f>
        <v>0</v>
      </c>
      <c r="F114" s="287">
        <f>data!AA68</f>
        <v>0</v>
      </c>
      <c r="G114" s="287">
        <f>data!AB68</f>
        <v>101428</v>
      </c>
      <c r="H114" s="287">
        <f>data!AC68</f>
        <v>41496</v>
      </c>
      <c r="I114" s="287">
        <f>data!AD68</f>
        <v>0</v>
      </c>
    </row>
    <row r="115" spans="1:9" ht="20.100000000000001" customHeight="1" x14ac:dyDescent="0.2">
      <c r="A115" s="279">
        <v>14</v>
      </c>
      <c r="B115" s="287" t="s">
        <v>978</v>
      </c>
      <c r="C115" s="287">
        <f>data!X69</f>
        <v>224</v>
      </c>
      <c r="D115" s="287">
        <f>data!Y69</f>
        <v>83081</v>
      </c>
      <c r="E115" s="287">
        <f>data!Z69</f>
        <v>0</v>
      </c>
      <c r="F115" s="287">
        <f>data!AA69</f>
        <v>0</v>
      </c>
      <c r="G115" s="287">
        <f>data!AB69</f>
        <v>66854</v>
      </c>
      <c r="H115" s="287">
        <f>data!AC69</f>
        <v>16934</v>
      </c>
      <c r="I115" s="287">
        <f>data!AD69</f>
        <v>0</v>
      </c>
    </row>
    <row r="116" spans="1:9" ht="20.100000000000001" customHeight="1" x14ac:dyDescent="0.2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00000000000001" customHeight="1" x14ac:dyDescent="0.2">
      <c r="A117" s="279">
        <v>16</v>
      </c>
      <c r="B117" s="295" t="s">
        <v>979</v>
      </c>
      <c r="C117" s="287">
        <f>data!X85</f>
        <v>339281</v>
      </c>
      <c r="D117" s="287">
        <f>data!Y85</f>
        <v>5877566</v>
      </c>
      <c r="E117" s="287">
        <f>data!Z85</f>
        <v>0</v>
      </c>
      <c r="F117" s="287">
        <f>data!AA85</f>
        <v>186674</v>
      </c>
      <c r="G117" s="287">
        <f>data!AB85</f>
        <v>6458210</v>
      </c>
      <c r="H117" s="287">
        <f>data!AC85</f>
        <v>1013871</v>
      </c>
      <c r="I117" s="287">
        <f>data!AD85</f>
        <v>405757</v>
      </c>
    </row>
    <row r="118" spans="1:9" ht="20.100000000000001" customHeight="1" x14ac:dyDescent="0.2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00000000000001" customHeight="1" x14ac:dyDescent="0.2">
      <c r="A119" s="279">
        <v>18</v>
      </c>
      <c r="B119" s="287" t="s">
        <v>980</v>
      </c>
      <c r="C119" s="295">
        <f>+data!M689</f>
        <v>456496</v>
      </c>
      <c r="D119" s="295">
        <f>+data!M690</f>
        <v>2199658</v>
      </c>
      <c r="E119" s="295">
        <f>+data!M691</f>
        <v>0</v>
      </c>
      <c r="F119" s="295">
        <f>+data!M692</f>
        <v>64942</v>
      </c>
      <c r="G119" s="295">
        <f>+data!M693</f>
        <v>2096870</v>
      </c>
      <c r="H119" s="295">
        <f>+data!M694</f>
        <v>340858</v>
      </c>
      <c r="I119" s="295">
        <f>+data!M695</f>
        <v>136087</v>
      </c>
    </row>
    <row r="120" spans="1:9" ht="20.100000000000001" customHeight="1" x14ac:dyDescent="0.2">
      <c r="A120" s="279">
        <v>19</v>
      </c>
      <c r="B120" s="295" t="s">
        <v>981</v>
      </c>
      <c r="C120" s="287">
        <f>data!X87</f>
        <v>4315419</v>
      </c>
      <c r="D120" s="287">
        <f>data!Y87</f>
        <v>7920906</v>
      </c>
      <c r="E120" s="287">
        <f>data!Z87</f>
        <v>0</v>
      </c>
      <c r="F120" s="287">
        <f>data!AA87</f>
        <v>106566</v>
      </c>
      <c r="G120" s="287">
        <f>data!AB87</f>
        <v>7277101</v>
      </c>
      <c r="H120" s="287">
        <f>data!AC87</f>
        <v>2386189</v>
      </c>
      <c r="I120" s="287">
        <f>data!AD87</f>
        <v>2046479</v>
      </c>
    </row>
    <row r="121" spans="1:9" ht="20.100000000000001" customHeight="1" x14ac:dyDescent="0.2">
      <c r="A121" s="279">
        <v>20</v>
      </c>
      <c r="B121" s="295" t="s">
        <v>982</v>
      </c>
      <c r="C121" s="287">
        <f>data!X88</f>
        <v>17208503</v>
      </c>
      <c r="D121" s="287">
        <f>data!Y88</f>
        <v>26395695</v>
      </c>
      <c r="E121" s="287">
        <f>data!Z88</f>
        <v>0</v>
      </c>
      <c r="F121" s="287">
        <f>data!AA88</f>
        <v>789712</v>
      </c>
      <c r="G121" s="287">
        <f>data!AB88</f>
        <v>23410323</v>
      </c>
      <c r="H121" s="287">
        <f>data!AC88</f>
        <v>1757574</v>
      </c>
      <c r="I121" s="287">
        <f>data!AD88</f>
        <v>133053</v>
      </c>
    </row>
    <row r="122" spans="1:9" ht="20.100000000000001" customHeight="1" x14ac:dyDescent="0.2">
      <c r="A122" s="279">
        <v>21</v>
      </c>
      <c r="B122" s="295" t="s">
        <v>983</v>
      </c>
      <c r="C122" s="287">
        <f>data!X89</f>
        <v>21523922</v>
      </c>
      <c r="D122" s="287">
        <f>data!Y89</f>
        <v>34316601</v>
      </c>
      <c r="E122" s="287">
        <f>data!Z89</f>
        <v>0</v>
      </c>
      <c r="F122" s="287">
        <f>data!AA89</f>
        <v>896278</v>
      </c>
      <c r="G122" s="287">
        <f>data!AB89</f>
        <v>30687424</v>
      </c>
      <c r="H122" s="287">
        <f>data!AC89</f>
        <v>4143763</v>
      </c>
      <c r="I122" s="287">
        <f>data!AD89</f>
        <v>2179532</v>
      </c>
    </row>
    <row r="123" spans="1:9" ht="20.100000000000001" customHeight="1" x14ac:dyDescent="0.2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00000000000001" customHeight="1" x14ac:dyDescent="0.2">
      <c r="A124" s="279">
        <v>22</v>
      </c>
      <c r="B124" s="287" t="s">
        <v>985</v>
      </c>
      <c r="C124" s="287">
        <f>data!X90</f>
        <v>0</v>
      </c>
      <c r="D124" s="287">
        <f>data!Y90</f>
        <v>4374</v>
      </c>
      <c r="E124" s="287">
        <f>data!Z90</f>
        <v>0</v>
      </c>
      <c r="F124" s="287">
        <f>data!AA90</f>
        <v>234</v>
      </c>
      <c r="G124" s="287">
        <f>data!AB90</f>
        <v>0</v>
      </c>
      <c r="H124" s="287">
        <f>data!AC90</f>
        <v>246</v>
      </c>
      <c r="I124" s="287">
        <f>data!AD90</f>
        <v>0</v>
      </c>
    </row>
    <row r="125" spans="1:9" ht="20.100000000000001" customHeight="1" x14ac:dyDescent="0.2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00000000000001" customHeight="1" x14ac:dyDescent="0.2">
      <c r="A126" s="279">
        <v>24</v>
      </c>
      <c r="B126" s="287" t="s">
        <v>987</v>
      </c>
      <c r="C126" s="287">
        <f>data!X92</f>
        <v>0</v>
      </c>
      <c r="D126" s="287">
        <f>data!Y92</f>
        <v>1626</v>
      </c>
      <c r="E126" s="287">
        <f>data!Z92</f>
        <v>0</v>
      </c>
      <c r="F126" s="287">
        <f>data!AA92</f>
        <v>0</v>
      </c>
      <c r="G126" s="287">
        <f>data!AB92</f>
        <v>336</v>
      </c>
      <c r="H126" s="287">
        <f>data!AC92</f>
        <v>486</v>
      </c>
      <c r="I126" s="287">
        <f>data!AD92</f>
        <v>0</v>
      </c>
    </row>
    <row r="127" spans="1:9" ht="20.100000000000001" customHeight="1" x14ac:dyDescent="0.2">
      <c r="A127" s="279">
        <v>25</v>
      </c>
      <c r="B127" s="287" t="s">
        <v>988</v>
      </c>
      <c r="C127" s="287">
        <f>data!X93</f>
        <v>3520.33</v>
      </c>
      <c r="D127" s="287">
        <f>data!Y93</f>
        <v>36132.869999999995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00000000000001" customHeight="1" x14ac:dyDescent="0.2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00000000000001" customHeight="1" x14ac:dyDescent="0.2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00000000000001" customHeight="1" x14ac:dyDescent="0.2">
      <c r="D130" s="283"/>
      <c r="I130" s="284" t="s">
        <v>1001</v>
      </c>
    </row>
    <row r="131" spans="1:14" ht="20.100000000000001" customHeight="1" x14ac:dyDescent="0.2">
      <c r="A131" s="283"/>
    </row>
    <row r="132" spans="1:14" ht="20.100000000000001" customHeight="1" x14ac:dyDescent="0.2">
      <c r="A132" s="285" t="str">
        <f>"Hospital: "&amp;data!C98</f>
        <v>Hospital: Astria Sunnyside Hospital</v>
      </c>
      <c r="G132" s="286"/>
      <c r="H132" s="285" t="str">
        <f>"FYE: "&amp;data!C96</f>
        <v>FYE: 12/31/2022</v>
      </c>
    </row>
    <row r="133" spans="1:14" ht="20.100000000000001" customHeight="1" x14ac:dyDescent="0.2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00000000000001" customHeight="1" x14ac:dyDescent="0.2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00000000000001" customHeight="1" x14ac:dyDescent="0.2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00000000000001" customHeight="1" x14ac:dyDescent="0.2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00000000000001" customHeight="1" x14ac:dyDescent="0.25">
      <c r="A137" s="279">
        <v>4</v>
      </c>
      <c r="B137" s="287" t="s">
        <v>246</v>
      </c>
      <c r="C137" s="287">
        <f>data!AE59</f>
        <v>14005</v>
      </c>
      <c r="D137" s="287">
        <f>data!AF59</f>
        <v>0</v>
      </c>
      <c r="E137" s="287">
        <f>data!AG59</f>
        <v>15437</v>
      </c>
      <c r="F137" s="287">
        <f>data!AH59</f>
        <v>0</v>
      </c>
      <c r="G137" s="287">
        <f>data!AI59</f>
        <v>3121</v>
      </c>
      <c r="H137" s="287">
        <f>data!AJ59</f>
        <v>48164</v>
      </c>
      <c r="I137" s="287">
        <f>data!AK59</f>
        <v>0</v>
      </c>
      <c r="K137" s="298"/>
      <c r="L137" s="300"/>
      <c r="M137" s="300"/>
      <c r="N137" s="300"/>
    </row>
    <row r="138" spans="1:14" ht="20.100000000000001" customHeight="1" x14ac:dyDescent="0.2">
      <c r="A138" s="279">
        <v>5</v>
      </c>
      <c r="B138" s="287" t="s">
        <v>247</v>
      </c>
      <c r="C138" s="294">
        <f>data!AE60</f>
        <v>5.99</v>
      </c>
      <c r="D138" s="294">
        <f>data!AF60</f>
        <v>0</v>
      </c>
      <c r="E138" s="294">
        <f>data!AG60</f>
        <v>19.899999999999999</v>
      </c>
      <c r="F138" s="294">
        <f>data!AH60</f>
        <v>0</v>
      </c>
      <c r="G138" s="294">
        <f>data!AI60</f>
        <v>5.23</v>
      </c>
      <c r="H138" s="294">
        <f>data!AJ60</f>
        <v>79.41</v>
      </c>
      <c r="I138" s="294">
        <f>data!AK60</f>
        <v>0</v>
      </c>
    </row>
    <row r="139" spans="1:14" ht="20.100000000000001" customHeight="1" x14ac:dyDescent="0.2">
      <c r="A139" s="279">
        <v>6</v>
      </c>
      <c r="B139" s="287" t="s">
        <v>248</v>
      </c>
      <c r="C139" s="287">
        <f>data!AE61</f>
        <v>456390</v>
      </c>
      <c r="D139" s="287">
        <f>data!AF61</f>
        <v>0</v>
      </c>
      <c r="E139" s="287">
        <f>data!AG61</f>
        <v>2774242</v>
      </c>
      <c r="F139" s="287">
        <f>data!AH61</f>
        <v>0</v>
      </c>
      <c r="G139" s="287">
        <f>data!AI61</f>
        <v>573040</v>
      </c>
      <c r="H139" s="287">
        <f>data!AJ61</f>
        <v>9502912</v>
      </c>
      <c r="I139" s="287">
        <f>data!AK61</f>
        <v>0</v>
      </c>
    </row>
    <row r="140" spans="1:14" ht="20.100000000000001" customHeight="1" x14ac:dyDescent="0.2">
      <c r="A140" s="279">
        <v>7</v>
      </c>
      <c r="B140" s="287" t="s">
        <v>9</v>
      </c>
      <c r="C140" s="287">
        <f>data!AE62</f>
        <v>119149</v>
      </c>
      <c r="D140" s="287">
        <f>data!AF62</f>
        <v>0</v>
      </c>
      <c r="E140" s="287">
        <f>data!AG62</f>
        <v>718719</v>
      </c>
      <c r="F140" s="287">
        <f>data!AH62</f>
        <v>0</v>
      </c>
      <c r="G140" s="287">
        <f>data!AI62</f>
        <v>152119</v>
      </c>
      <c r="H140" s="287">
        <f>data!AJ62</f>
        <v>2270095</v>
      </c>
      <c r="I140" s="287">
        <f>data!AK62</f>
        <v>0</v>
      </c>
    </row>
    <row r="141" spans="1:14" ht="20.100000000000001" customHeight="1" x14ac:dyDescent="0.2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861582</v>
      </c>
      <c r="F141" s="287">
        <f>data!AH63</f>
        <v>0</v>
      </c>
      <c r="G141" s="287">
        <f>data!AI63</f>
        <v>0</v>
      </c>
      <c r="H141" s="287">
        <f>data!AJ63</f>
        <v>429262</v>
      </c>
      <c r="I141" s="287">
        <f>data!AK63</f>
        <v>0</v>
      </c>
    </row>
    <row r="142" spans="1:14" ht="20.100000000000001" customHeight="1" x14ac:dyDescent="0.2">
      <c r="A142" s="279">
        <v>9</v>
      </c>
      <c r="B142" s="287" t="s">
        <v>250</v>
      </c>
      <c r="C142" s="287">
        <f>data!AE64</f>
        <v>22713</v>
      </c>
      <c r="D142" s="287">
        <f>data!AF64</f>
        <v>0</v>
      </c>
      <c r="E142" s="287">
        <f>data!AG64</f>
        <v>481546</v>
      </c>
      <c r="F142" s="287">
        <f>data!AH64</f>
        <v>0</v>
      </c>
      <c r="G142" s="287">
        <f>data!AI64</f>
        <v>104823</v>
      </c>
      <c r="H142" s="287">
        <f>data!AJ64</f>
        <v>540131</v>
      </c>
      <c r="I142" s="287">
        <f>data!AK64</f>
        <v>0</v>
      </c>
    </row>
    <row r="143" spans="1:14" ht="20.100000000000001" customHeight="1" x14ac:dyDescent="0.2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177839</v>
      </c>
      <c r="I143" s="287">
        <f>data!AK65</f>
        <v>0</v>
      </c>
    </row>
    <row r="144" spans="1:14" ht="20.100000000000001" customHeight="1" x14ac:dyDescent="0.2">
      <c r="A144" s="279">
        <v>11</v>
      </c>
      <c r="B144" s="287" t="s">
        <v>498</v>
      </c>
      <c r="C144" s="287">
        <f>data!AE66</f>
        <v>14623</v>
      </c>
      <c r="D144" s="287">
        <f>data!AF66</f>
        <v>0</v>
      </c>
      <c r="E144" s="287">
        <f>data!AG66</f>
        <v>1188384</v>
      </c>
      <c r="F144" s="287">
        <f>data!AH66</f>
        <v>0</v>
      </c>
      <c r="G144" s="287">
        <f>data!AI66</f>
        <v>0</v>
      </c>
      <c r="H144" s="287">
        <f>data!AJ66</f>
        <v>2840510</v>
      </c>
      <c r="I144" s="287">
        <f>data!AK66</f>
        <v>0</v>
      </c>
    </row>
    <row r="145" spans="1:9" ht="20.100000000000001" customHeight="1" x14ac:dyDescent="0.2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162892</v>
      </c>
      <c r="F145" s="287">
        <f>data!AH67</f>
        <v>0</v>
      </c>
      <c r="G145" s="287">
        <f>data!AI67</f>
        <v>0</v>
      </c>
      <c r="H145" s="287">
        <f>data!AJ67</f>
        <v>592964</v>
      </c>
      <c r="I145" s="287">
        <f>data!AK67</f>
        <v>0</v>
      </c>
    </row>
    <row r="146" spans="1:9" ht="20.100000000000001" customHeight="1" x14ac:dyDescent="0.2">
      <c r="A146" s="279">
        <v>13</v>
      </c>
      <c r="B146" s="287" t="s">
        <v>977</v>
      </c>
      <c r="C146" s="287">
        <f>data!AE68</f>
        <v>36307</v>
      </c>
      <c r="D146" s="287">
        <f>data!AF68</f>
        <v>0</v>
      </c>
      <c r="E146" s="287">
        <f>data!AG68</f>
        <v>8542</v>
      </c>
      <c r="F146" s="287">
        <f>data!AH68</f>
        <v>0</v>
      </c>
      <c r="G146" s="287">
        <f>data!AI68</f>
        <v>0</v>
      </c>
      <c r="H146" s="287">
        <f>data!AJ68</f>
        <v>408810</v>
      </c>
      <c r="I146" s="287">
        <f>data!AK68</f>
        <v>0</v>
      </c>
    </row>
    <row r="147" spans="1:9" ht="20.100000000000001" customHeight="1" x14ac:dyDescent="0.2">
      <c r="A147" s="279">
        <v>14</v>
      </c>
      <c r="B147" s="287" t="s">
        <v>978</v>
      </c>
      <c r="C147" s="287">
        <f>data!AE69</f>
        <v>16416</v>
      </c>
      <c r="D147" s="287">
        <f>data!AF69</f>
        <v>0</v>
      </c>
      <c r="E147" s="287">
        <f>data!AG69</f>
        <v>496168</v>
      </c>
      <c r="F147" s="287">
        <f>data!AH69</f>
        <v>0</v>
      </c>
      <c r="G147" s="287">
        <f>data!AI69</f>
        <v>1770</v>
      </c>
      <c r="H147" s="287">
        <f>data!AJ69</f>
        <v>228944</v>
      </c>
      <c r="I147" s="287">
        <f>data!AK69</f>
        <v>0</v>
      </c>
    </row>
    <row r="148" spans="1:9" ht="20.100000000000001" customHeight="1" x14ac:dyDescent="0.2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00000000000001" customHeight="1" x14ac:dyDescent="0.2">
      <c r="A149" s="279">
        <v>16</v>
      </c>
      <c r="B149" s="295" t="s">
        <v>979</v>
      </c>
      <c r="C149" s="287">
        <f>data!AE85</f>
        <v>665598</v>
      </c>
      <c r="D149" s="287">
        <f>data!AF85</f>
        <v>0</v>
      </c>
      <c r="E149" s="287">
        <f>data!AG85</f>
        <v>6692075</v>
      </c>
      <c r="F149" s="287">
        <f>data!AH85</f>
        <v>0</v>
      </c>
      <c r="G149" s="287">
        <f>data!AI85</f>
        <v>831752</v>
      </c>
      <c r="H149" s="287">
        <f>data!AJ85</f>
        <v>16991467</v>
      </c>
      <c r="I149" s="287">
        <f>data!AK85</f>
        <v>0</v>
      </c>
    </row>
    <row r="150" spans="1:9" ht="20.100000000000001" customHeight="1" x14ac:dyDescent="0.2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00000000000001" customHeight="1" x14ac:dyDescent="0.2">
      <c r="A151" s="279">
        <v>18</v>
      </c>
      <c r="B151" s="287" t="s">
        <v>980</v>
      </c>
      <c r="C151" s="295">
        <f>+data!M696</f>
        <v>224228</v>
      </c>
      <c r="D151" s="295">
        <f>+data!M697</f>
        <v>0</v>
      </c>
      <c r="E151" s="295">
        <f>+data!M698</f>
        <v>2838747</v>
      </c>
      <c r="F151" s="295">
        <f>+data!M699</f>
        <v>0</v>
      </c>
      <c r="G151" s="295">
        <f>+data!M700</f>
        <v>504284</v>
      </c>
      <c r="H151" s="295">
        <f>+data!M701</f>
        <v>5369980</v>
      </c>
      <c r="I151" s="295">
        <f>+data!M702</f>
        <v>0</v>
      </c>
    </row>
    <row r="152" spans="1:9" ht="20.100000000000001" customHeight="1" x14ac:dyDescent="0.2">
      <c r="A152" s="279">
        <v>19</v>
      </c>
      <c r="B152" s="295" t="s">
        <v>981</v>
      </c>
      <c r="C152" s="287">
        <f>data!AE87</f>
        <v>360194</v>
      </c>
      <c r="D152" s="287">
        <f>data!AF87</f>
        <v>0</v>
      </c>
      <c r="E152" s="287">
        <f>data!AG87</f>
        <v>1831546</v>
      </c>
      <c r="F152" s="287">
        <f>data!AH87</f>
        <v>0</v>
      </c>
      <c r="G152" s="287">
        <f>data!AI87</f>
        <v>17833</v>
      </c>
      <c r="H152" s="287">
        <f>data!AJ87</f>
        <v>1380111</v>
      </c>
      <c r="I152" s="287">
        <f>data!AK87</f>
        <v>0</v>
      </c>
    </row>
    <row r="153" spans="1:9" ht="20.100000000000001" customHeight="1" x14ac:dyDescent="0.2">
      <c r="A153" s="279">
        <v>20</v>
      </c>
      <c r="B153" s="295" t="s">
        <v>982</v>
      </c>
      <c r="C153" s="287">
        <f>data!AE88</f>
        <v>1986241</v>
      </c>
      <c r="D153" s="287">
        <f>data!AF88</f>
        <v>0</v>
      </c>
      <c r="E153" s="287">
        <f>data!AG88</f>
        <v>20991070</v>
      </c>
      <c r="F153" s="287">
        <f>data!AH88</f>
        <v>0</v>
      </c>
      <c r="G153" s="287">
        <f>data!AI88</f>
        <v>1522230</v>
      </c>
      <c r="H153" s="287">
        <f>data!AJ88</f>
        <v>14208532</v>
      </c>
      <c r="I153" s="287">
        <f>data!AK88</f>
        <v>0</v>
      </c>
    </row>
    <row r="154" spans="1:9" ht="20.100000000000001" customHeight="1" x14ac:dyDescent="0.2">
      <c r="A154" s="279">
        <v>21</v>
      </c>
      <c r="B154" s="295" t="s">
        <v>983</v>
      </c>
      <c r="C154" s="287">
        <f>data!AE89</f>
        <v>2346435</v>
      </c>
      <c r="D154" s="287">
        <f>data!AF89</f>
        <v>0</v>
      </c>
      <c r="E154" s="287">
        <f>data!AG89</f>
        <v>22822616</v>
      </c>
      <c r="F154" s="287">
        <f>data!AH89</f>
        <v>0</v>
      </c>
      <c r="G154" s="287">
        <f>data!AI89</f>
        <v>1540063</v>
      </c>
      <c r="H154" s="287">
        <f>data!AJ89</f>
        <v>15588643</v>
      </c>
      <c r="I154" s="287">
        <f>data!AK89</f>
        <v>0</v>
      </c>
    </row>
    <row r="155" spans="1:9" ht="20.100000000000001" customHeight="1" x14ac:dyDescent="0.2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00000000000001" customHeight="1" x14ac:dyDescent="0.2">
      <c r="A156" s="279">
        <v>22</v>
      </c>
      <c r="B156" s="287" t="s">
        <v>985</v>
      </c>
      <c r="C156" s="287">
        <f>data!AE90</f>
        <v>0</v>
      </c>
      <c r="D156" s="287">
        <f>data!AF90</f>
        <v>0</v>
      </c>
      <c r="E156" s="287">
        <f>data!AG90</f>
        <v>8072</v>
      </c>
      <c r="F156" s="287">
        <f>data!AH90</f>
        <v>0</v>
      </c>
      <c r="G156" s="287">
        <f>data!AI90</f>
        <v>0</v>
      </c>
      <c r="H156" s="287">
        <f>data!AJ90</f>
        <v>29384</v>
      </c>
      <c r="I156" s="287">
        <f>data!AK90</f>
        <v>0</v>
      </c>
    </row>
    <row r="157" spans="1:9" ht="20.100000000000001" customHeight="1" x14ac:dyDescent="0.2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1922</v>
      </c>
      <c r="H157" s="287">
        <f>data!AJ91</f>
        <v>0</v>
      </c>
      <c r="I157" s="287">
        <f>data!AK91</f>
        <v>0</v>
      </c>
    </row>
    <row r="158" spans="1:9" ht="20.100000000000001" customHeight="1" x14ac:dyDescent="0.2">
      <c r="A158" s="279">
        <v>24</v>
      </c>
      <c r="B158" s="287" t="s">
        <v>987</v>
      </c>
      <c r="C158" s="287">
        <f>data!AE92</f>
        <v>540</v>
      </c>
      <c r="D158" s="287">
        <f>data!AF92</f>
        <v>0</v>
      </c>
      <c r="E158" s="287">
        <f>data!AG92</f>
        <v>4247</v>
      </c>
      <c r="F158" s="287">
        <f>data!AH92</f>
        <v>0</v>
      </c>
      <c r="G158" s="287">
        <f>data!AI92</f>
        <v>1242</v>
      </c>
      <c r="H158" s="287">
        <f>data!AJ92</f>
        <v>10323</v>
      </c>
      <c r="I158" s="287">
        <f>data!AK92</f>
        <v>0</v>
      </c>
    </row>
    <row r="159" spans="1:9" ht="20.100000000000001" customHeight="1" x14ac:dyDescent="0.2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84825.96</v>
      </c>
      <c r="F159" s="287">
        <f>data!AH93</f>
        <v>0</v>
      </c>
      <c r="G159" s="287">
        <f>data!AI93</f>
        <v>20051.82</v>
      </c>
      <c r="H159" s="287">
        <f>data!AJ93</f>
        <v>0</v>
      </c>
      <c r="I159" s="287">
        <f>data!AK93</f>
        <v>0</v>
      </c>
    </row>
    <row r="160" spans="1:9" ht="20.100000000000001" customHeight="1" x14ac:dyDescent="0.2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19.899999999999999</v>
      </c>
      <c r="F160" s="294">
        <f>data!AH94</f>
        <v>0</v>
      </c>
      <c r="G160" s="294">
        <f>data!AI94</f>
        <v>5.23</v>
      </c>
      <c r="H160" s="294">
        <f>data!AJ94</f>
        <v>0</v>
      </c>
      <c r="I160" s="294">
        <f>data!AK94</f>
        <v>0</v>
      </c>
    </row>
    <row r="161" spans="1:9" ht="20.100000000000001" customHeight="1" x14ac:dyDescent="0.2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00000000000001" customHeight="1" x14ac:dyDescent="0.2">
      <c r="D162" s="283"/>
      <c r="I162" s="284" t="s">
        <v>1004</v>
      </c>
    </row>
    <row r="163" spans="1:9" ht="20.100000000000001" customHeight="1" x14ac:dyDescent="0.2">
      <c r="A163" s="283"/>
    </row>
    <row r="164" spans="1:9" ht="20.100000000000001" customHeight="1" x14ac:dyDescent="0.2">
      <c r="A164" s="285" t="str">
        <f>"Hospital: "&amp;data!C98</f>
        <v>Hospital: Astria Sunnyside Hospital</v>
      </c>
      <c r="G164" s="286"/>
      <c r="H164" s="285" t="str">
        <f>"FYE: "&amp;data!C96</f>
        <v>FYE: 12/31/2022</v>
      </c>
    </row>
    <row r="165" spans="1:9" ht="20.100000000000001" customHeight="1" x14ac:dyDescent="0.2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00000000000001" customHeight="1" x14ac:dyDescent="0.2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00000000000001" customHeight="1" x14ac:dyDescent="0.2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00000000000001" customHeight="1" x14ac:dyDescent="0.2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00000000000001" customHeight="1" x14ac:dyDescent="0.2">
      <c r="A169" s="279">
        <v>4</v>
      </c>
      <c r="B169" s="287" t="s">
        <v>246</v>
      </c>
      <c r="C169" s="287">
        <f>data!AL59</f>
        <v>7165</v>
      </c>
      <c r="D169" s="287">
        <f>data!AM59</f>
        <v>0</v>
      </c>
      <c r="E169" s="287">
        <f>data!AN59</f>
        <v>0</v>
      </c>
      <c r="F169" s="287">
        <f>data!AO59</f>
        <v>10224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00000000000001" customHeight="1" x14ac:dyDescent="0.2">
      <c r="A170" s="279">
        <v>5</v>
      </c>
      <c r="B170" s="287" t="s">
        <v>247</v>
      </c>
      <c r="C170" s="294">
        <f>data!AL60</f>
        <v>2.85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00000000000001" customHeight="1" x14ac:dyDescent="0.2">
      <c r="A171" s="279">
        <v>6</v>
      </c>
      <c r="B171" s="287" t="s">
        <v>248</v>
      </c>
      <c r="C171" s="287">
        <f>data!AL61</f>
        <v>177174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00000000000001" customHeight="1" x14ac:dyDescent="0.2">
      <c r="A172" s="279">
        <v>7</v>
      </c>
      <c r="B172" s="287" t="s">
        <v>9</v>
      </c>
      <c r="C172" s="287">
        <f>data!AL62</f>
        <v>51291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00000000000001" customHeight="1" x14ac:dyDescent="0.2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00000000000001" customHeight="1" x14ac:dyDescent="0.2">
      <c r="A174" s="279">
        <v>9</v>
      </c>
      <c r="B174" s="287" t="s">
        <v>250</v>
      </c>
      <c r="C174" s="287">
        <f>data!AL64</f>
        <v>57951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00000000000001" customHeight="1" x14ac:dyDescent="0.2">
      <c r="A175" s="279">
        <v>10</v>
      </c>
      <c r="B175" s="287" t="s">
        <v>497</v>
      </c>
      <c r="C175" s="287">
        <f>data!AL65</f>
        <v>5863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00000000000001" customHeight="1" x14ac:dyDescent="0.2">
      <c r="A176" s="279">
        <v>11</v>
      </c>
      <c r="B176" s="287" t="s">
        <v>498</v>
      </c>
      <c r="C176" s="287">
        <f>data!AL66</f>
        <v>3014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00000000000001" customHeight="1" x14ac:dyDescent="0.2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00000000000001" customHeight="1" x14ac:dyDescent="0.2">
      <c r="A178" s="279">
        <v>13</v>
      </c>
      <c r="B178" s="287" t="s">
        <v>977</v>
      </c>
      <c r="C178" s="287">
        <f>data!AL68</f>
        <v>16325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00000000000001" customHeight="1" x14ac:dyDescent="0.2">
      <c r="A179" s="279">
        <v>14</v>
      </c>
      <c r="B179" s="287" t="s">
        <v>978</v>
      </c>
      <c r="C179" s="287">
        <f>data!AL69</f>
        <v>6706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00000000000001" customHeight="1" x14ac:dyDescent="0.2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00000000000001" customHeight="1" x14ac:dyDescent="0.2">
      <c r="A181" s="279">
        <v>16</v>
      </c>
      <c r="B181" s="295" t="s">
        <v>979</v>
      </c>
      <c r="C181" s="287">
        <f>data!AL85</f>
        <v>318324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00000000000001" customHeight="1" x14ac:dyDescent="0.2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00000000000001" customHeight="1" x14ac:dyDescent="0.2">
      <c r="A183" s="279">
        <v>18</v>
      </c>
      <c r="B183" s="287" t="s">
        <v>980</v>
      </c>
      <c r="C183" s="295">
        <f>+data!M703</f>
        <v>166625</v>
      </c>
      <c r="D183" s="295">
        <f>+data!M704</f>
        <v>0</v>
      </c>
      <c r="E183" s="295">
        <f>+data!M705</f>
        <v>0</v>
      </c>
      <c r="F183" s="295">
        <f>+data!M706</f>
        <v>54760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spans="1:9" ht="20.100000000000001" customHeight="1" x14ac:dyDescent="0.2">
      <c r="A184" s="279">
        <v>19</v>
      </c>
      <c r="B184" s="295" t="s">
        <v>981</v>
      </c>
      <c r="C184" s="287">
        <f>data!AL87</f>
        <v>131237</v>
      </c>
      <c r="D184" s="287">
        <f>data!AM87</f>
        <v>0</v>
      </c>
      <c r="E184" s="287">
        <f>data!AN87</f>
        <v>0</v>
      </c>
      <c r="F184" s="287">
        <f>data!AO87</f>
        <v>2826972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00000000000001" customHeight="1" x14ac:dyDescent="0.2">
      <c r="A185" s="279">
        <v>20</v>
      </c>
      <c r="B185" s="295" t="s">
        <v>982</v>
      </c>
      <c r="C185" s="287">
        <f>data!AL88</f>
        <v>1736265</v>
      </c>
      <c r="D185" s="287">
        <f>data!AM88</f>
        <v>0</v>
      </c>
      <c r="E185" s="287">
        <f>data!AN88</f>
        <v>0</v>
      </c>
      <c r="F185" s="287">
        <f>data!AO88</f>
        <v>355697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00000000000001" customHeight="1" x14ac:dyDescent="0.2">
      <c r="A186" s="279">
        <v>21</v>
      </c>
      <c r="B186" s="295" t="s">
        <v>983</v>
      </c>
      <c r="C186" s="287">
        <f>data!AL89</f>
        <v>1867502</v>
      </c>
      <c r="D186" s="287">
        <f>data!AM89</f>
        <v>0</v>
      </c>
      <c r="E186" s="287">
        <f>data!AN89</f>
        <v>0</v>
      </c>
      <c r="F186" s="287">
        <f>data!AO89</f>
        <v>3182669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00000000000001" customHeight="1" x14ac:dyDescent="0.2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00000000000001" customHeight="1" x14ac:dyDescent="0.2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00000000000001" customHeight="1" x14ac:dyDescent="0.2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00000000000001" customHeight="1" x14ac:dyDescent="0.2">
      <c r="A190" s="279">
        <v>24</v>
      </c>
      <c r="B190" s="287" t="s">
        <v>987</v>
      </c>
      <c r="C190" s="287">
        <f>data!AL92</f>
        <v>1476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00000000000001" customHeight="1" x14ac:dyDescent="0.2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00000000000001" customHeight="1" x14ac:dyDescent="0.2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00000000000001" customHeight="1" x14ac:dyDescent="0.2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00000000000001" customHeight="1" x14ac:dyDescent="0.2">
      <c r="D194" s="283"/>
      <c r="I194" s="284" t="s">
        <v>1008</v>
      </c>
    </row>
    <row r="195" spans="1:9" ht="20.100000000000001" customHeight="1" x14ac:dyDescent="0.2">
      <c r="A195" s="283"/>
    </row>
    <row r="196" spans="1:9" ht="20.100000000000001" customHeight="1" x14ac:dyDescent="0.2">
      <c r="A196" s="285" t="str">
        <f>"Hospital: "&amp;data!C98</f>
        <v>Hospital: Astria Sunnyside Hospital</v>
      </c>
      <c r="G196" s="286"/>
      <c r="H196" s="285" t="str">
        <f>"FYE: "&amp;data!C96</f>
        <v>FYE: 12/31/2022</v>
      </c>
    </row>
    <row r="197" spans="1:9" ht="20.100000000000001" customHeight="1" x14ac:dyDescent="0.2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00000000000001" customHeight="1" x14ac:dyDescent="0.2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00000000000001" customHeight="1" x14ac:dyDescent="0.2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00000000000001" customHeight="1" x14ac:dyDescent="0.2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00000000000001" customHeight="1" x14ac:dyDescent="0.2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25513</v>
      </c>
    </row>
    <row r="202" spans="1:9" ht="20.100000000000001" customHeight="1" x14ac:dyDescent="0.2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13.739999999999998</v>
      </c>
      <c r="G202" s="294">
        <f>data!AW60</f>
        <v>0</v>
      </c>
      <c r="H202" s="294">
        <f>data!AX60</f>
        <v>0</v>
      </c>
      <c r="I202" s="294">
        <f>data!AY60</f>
        <v>7.81</v>
      </c>
    </row>
    <row r="203" spans="1:9" ht="20.100000000000001" customHeight="1" x14ac:dyDescent="0.2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1050548</v>
      </c>
      <c r="G203" s="287">
        <f>data!AW61</f>
        <v>0</v>
      </c>
      <c r="H203" s="287">
        <f>data!AX61</f>
        <v>0</v>
      </c>
      <c r="I203" s="287">
        <f>data!AY61</f>
        <v>290995</v>
      </c>
    </row>
    <row r="204" spans="1:9" ht="20.100000000000001" customHeight="1" x14ac:dyDescent="0.2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276700</v>
      </c>
      <c r="G204" s="287">
        <f>data!AW62</f>
        <v>0</v>
      </c>
      <c r="H204" s="287">
        <f>data!AX62</f>
        <v>0</v>
      </c>
      <c r="I204" s="287">
        <f>data!AY62</f>
        <v>119902</v>
      </c>
    </row>
    <row r="205" spans="1:9" ht="20.100000000000001" customHeight="1" x14ac:dyDescent="0.2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447799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00000000000001" customHeight="1" x14ac:dyDescent="0.2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-180464</v>
      </c>
      <c r="G206" s="287">
        <f>data!AW64</f>
        <v>0</v>
      </c>
      <c r="H206" s="287">
        <f>data!AX64</f>
        <v>0</v>
      </c>
      <c r="I206" s="287">
        <f>data!AY64</f>
        <v>450205</v>
      </c>
    </row>
    <row r="207" spans="1:9" ht="20.100000000000001" customHeight="1" x14ac:dyDescent="0.2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3741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00000000000001" customHeight="1" x14ac:dyDescent="0.2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311893</v>
      </c>
      <c r="G208" s="287">
        <f>data!AW66</f>
        <v>0</v>
      </c>
      <c r="H208" s="287">
        <f>data!AX66</f>
        <v>0</v>
      </c>
      <c r="I208" s="287">
        <f>data!AY66</f>
        <v>26277</v>
      </c>
    </row>
    <row r="209" spans="1:9" ht="20.100000000000001" customHeight="1" x14ac:dyDescent="0.2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12653</v>
      </c>
      <c r="G209" s="287">
        <f>data!AW67</f>
        <v>0</v>
      </c>
      <c r="H209" s="287">
        <f>data!AX67</f>
        <v>0</v>
      </c>
      <c r="I209" s="287">
        <f>data!AY67</f>
        <v>63284</v>
      </c>
    </row>
    <row r="210" spans="1:9" ht="20.100000000000001" customHeight="1" x14ac:dyDescent="0.2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268</v>
      </c>
      <c r="G210" s="287">
        <f>data!AW68</f>
        <v>0</v>
      </c>
      <c r="H210" s="287">
        <f>data!AX68</f>
        <v>0</v>
      </c>
      <c r="I210" s="287">
        <f>data!AY68</f>
        <v>795</v>
      </c>
    </row>
    <row r="211" spans="1:9" ht="20.100000000000001" customHeight="1" x14ac:dyDescent="0.2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400</v>
      </c>
      <c r="G211" s="287">
        <f>data!AW69</f>
        <v>0</v>
      </c>
      <c r="H211" s="287">
        <f>data!AX69</f>
        <v>0</v>
      </c>
      <c r="I211" s="287">
        <f>data!AY69</f>
        <v>45236</v>
      </c>
    </row>
    <row r="212" spans="1:9" ht="20.100000000000001" customHeight="1" x14ac:dyDescent="0.2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00000000000001" customHeight="1" x14ac:dyDescent="0.2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1923538</v>
      </c>
      <c r="G213" s="287">
        <f>data!AW85</f>
        <v>0</v>
      </c>
      <c r="H213" s="287">
        <f>data!AX85</f>
        <v>0</v>
      </c>
      <c r="I213" s="287">
        <f>data!AY85</f>
        <v>996694</v>
      </c>
    </row>
    <row r="214" spans="1:9" ht="20.100000000000001" customHeight="1" x14ac:dyDescent="0.2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00000000000001" customHeight="1" x14ac:dyDescent="0.2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644440</v>
      </c>
      <c r="G215" s="301"/>
      <c r="H215" s="287"/>
      <c r="I215" s="287"/>
    </row>
    <row r="216" spans="1:9" ht="20.100000000000001" customHeight="1" x14ac:dyDescent="0.2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185127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00000000000001" customHeight="1" x14ac:dyDescent="0.2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5691515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00000000000001" customHeight="1" x14ac:dyDescent="0.2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5876642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00000000000001" customHeight="1" x14ac:dyDescent="0.2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00000000000001" customHeight="1" x14ac:dyDescent="0.2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627</v>
      </c>
      <c r="G220" s="287">
        <f>data!AW90</f>
        <v>0</v>
      </c>
      <c r="H220" s="287">
        <f>data!AX90</f>
        <v>0</v>
      </c>
      <c r="I220" s="287">
        <f>data!AY90</f>
        <v>3136</v>
      </c>
    </row>
    <row r="221" spans="1:9" ht="20.100000000000001" customHeight="1" x14ac:dyDescent="0.2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>
        <f>IF(data!AY77&gt;0,data!AY77,"")</f>
        <v>9406</v>
      </c>
    </row>
    <row r="222" spans="1:9" ht="20.100000000000001" customHeight="1" x14ac:dyDescent="0.2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1391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00000000000001" customHeight="1" x14ac:dyDescent="0.2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7237.8099999999995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00000000000001" customHeight="1" x14ac:dyDescent="0.2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00000000000001" customHeight="1" x14ac:dyDescent="0.2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00000000000001" customHeight="1" x14ac:dyDescent="0.2">
      <c r="D226" s="283"/>
      <c r="I226" s="284" t="s">
        <v>1011</v>
      </c>
    </row>
    <row r="227" spans="1:9" ht="20.100000000000001" customHeight="1" x14ac:dyDescent="0.2">
      <c r="A227" s="283"/>
    </row>
    <row r="228" spans="1:9" ht="20.100000000000001" customHeight="1" x14ac:dyDescent="0.2">
      <c r="A228" s="285" t="str">
        <f>"Hospital: "&amp;data!C98</f>
        <v>Hospital: Astria Sunnyside Hospital</v>
      </c>
      <c r="G228" s="286"/>
      <c r="H228" s="285" t="str">
        <f>"FYE: "&amp;data!C96</f>
        <v>FYE: 12/31/2022</v>
      </c>
    </row>
    <row r="229" spans="1:9" ht="20.100000000000001" customHeight="1" x14ac:dyDescent="0.2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00000000000001" customHeight="1" x14ac:dyDescent="0.2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00000000000001" customHeight="1" x14ac:dyDescent="0.2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00000000000001" customHeight="1" x14ac:dyDescent="0.2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00000000000001" customHeight="1" x14ac:dyDescent="0.2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112246</v>
      </c>
      <c r="I233" s="299"/>
    </row>
    <row r="234" spans="1:9" ht="20.100000000000001" customHeight="1" x14ac:dyDescent="0.2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3.03</v>
      </c>
      <c r="H234" s="294">
        <f>data!BE60</f>
        <v>3.66</v>
      </c>
      <c r="I234" s="294">
        <f>data!BF60</f>
        <v>19.48</v>
      </c>
    </row>
    <row r="235" spans="1:9" ht="20.100000000000001" customHeight="1" x14ac:dyDescent="0.2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94651</v>
      </c>
      <c r="F235" s="287">
        <f>data!BC61</f>
        <v>0</v>
      </c>
      <c r="G235" s="287">
        <f>data!BD61</f>
        <v>232209</v>
      </c>
      <c r="H235" s="287">
        <f>data!BE61</f>
        <v>259236</v>
      </c>
      <c r="I235" s="287">
        <f>data!BF61</f>
        <v>731884</v>
      </c>
    </row>
    <row r="236" spans="1:9" ht="20.100000000000001" customHeight="1" x14ac:dyDescent="0.2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27485</v>
      </c>
      <c r="F236" s="287">
        <f>data!BC62</f>
        <v>0</v>
      </c>
      <c r="G236" s="287">
        <f>data!BD62</f>
        <v>58280</v>
      </c>
      <c r="H236" s="287">
        <f>data!BE62</f>
        <v>64163</v>
      </c>
      <c r="I236" s="287">
        <f>data!BF62</f>
        <v>194913</v>
      </c>
    </row>
    <row r="237" spans="1:9" ht="20.100000000000001" customHeight="1" x14ac:dyDescent="0.2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00000000000001" customHeight="1" x14ac:dyDescent="0.2">
      <c r="A238" s="279">
        <v>9</v>
      </c>
      <c r="B238" s="287" t="s">
        <v>250</v>
      </c>
      <c r="C238" s="287">
        <f>data!AZ64</f>
        <v>0</v>
      </c>
      <c r="D238" s="287">
        <f>data!BA64</f>
        <v>-66</v>
      </c>
      <c r="E238" s="287">
        <f>data!BB64</f>
        <v>981</v>
      </c>
      <c r="F238" s="287">
        <f>data!BC64</f>
        <v>0</v>
      </c>
      <c r="G238" s="287">
        <f>data!BD64</f>
        <v>-45581</v>
      </c>
      <c r="H238" s="287">
        <f>data!BE64</f>
        <v>20275</v>
      </c>
      <c r="I238" s="287">
        <f>data!BF64</f>
        <v>128297</v>
      </c>
    </row>
    <row r="239" spans="1:9" ht="20.100000000000001" customHeight="1" x14ac:dyDescent="0.2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479968</v>
      </c>
      <c r="I239" s="287">
        <f>data!BF65</f>
        <v>0</v>
      </c>
    </row>
    <row r="240" spans="1:9" ht="20.100000000000001" customHeight="1" x14ac:dyDescent="0.2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-1827</v>
      </c>
      <c r="H240" s="287">
        <f>data!BE66</f>
        <v>294149</v>
      </c>
      <c r="I240" s="287">
        <f>data!BF66</f>
        <v>170627</v>
      </c>
    </row>
    <row r="241" spans="1:9" ht="20.100000000000001" customHeight="1" x14ac:dyDescent="0.2">
      <c r="A241" s="279">
        <v>12</v>
      </c>
      <c r="B241" s="287" t="s">
        <v>11</v>
      </c>
      <c r="C241" s="287">
        <f>data!AZ67</f>
        <v>0</v>
      </c>
      <c r="D241" s="287">
        <f>data!BA67</f>
        <v>13460</v>
      </c>
      <c r="E241" s="287">
        <f>data!BB67</f>
        <v>1957</v>
      </c>
      <c r="F241" s="287">
        <f>data!BC67</f>
        <v>0</v>
      </c>
      <c r="G241" s="287">
        <f>data!BD67</f>
        <v>0</v>
      </c>
      <c r="H241" s="287">
        <f>data!BE67</f>
        <v>157181</v>
      </c>
      <c r="I241" s="287">
        <f>data!BF67</f>
        <v>2240</v>
      </c>
    </row>
    <row r="242" spans="1:9" ht="20.100000000000001" customHeight="1" x14ac:dyDescent="0.2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48717</v>
      </c>
      <c r="I242" s="287">
        <f>data!BF68</f>
        <v>0</v>
      </c>
    </row>
    <row r="243" spans="1:9" ht="20.100000000000001" customHeight="1" x14ac:dyDescent="0.2">
      <c r="A243" s="279">
        <v>14</v>
      </c>
      <c r="B243" s="287" t="s">
        <v>978</v>
      </c>
      <c r="C243" s="287">
        <f>data!AZ69</f>
        <v>0</v>
      </c>
      <c r="D243" s="287">
        <f>data!BA69</f>
        <v>261643</v>
      </c>
      <c r="E243" s="287">
        <f>data!BB69</f>
        <v>30</v>
      </c>
      <c r="F243" s="287">
        <f>data!BC69</f>
        <v>0</v>
      </c>
      <c r="G243" s="287">
        <f>data!BD69</f>
        <v>-275714</v>
      </c>
      <c r="H243" s="287">
        <f>data!BE69</f>
        <v>275773</v>
      </c>
      <c r="I243" s="287">
        <f>data!BF69</f>
        <v>17423</v>
      </c>
    </row>
    <row r="244" spans="1:9" ht="20.100000000000001" customHeight="1" x14ac:dyDescent="0.2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00000000000001" customHeight="1" x14ac:dyDescent="0.2">
      <c r="A245" s="279">
        <v>16</v>
      </c>
      <c r="B245" s="295" t="s">
        <v>979</v>
      </c>
      <c r="C245" s="287">
        <f>data!AZ85</f>
        <v>0</v>
      </c>
      <c r="D245" s="287">
        <f>data!BA85</f>
        <v>275037</v>
      </c>
      <c r="E245" s="287">
        <f>data!BB85</f>
        <v>125104</v>
      </c>
      <c r="F245" s="287">
        <f>data!BC85</f>
        <v>0</v>
      </c>
      <c r="G245" s="287">
        <f>data!BD85</f>
        <v>-32633</v>
      </c>
      <c r="H245" s="287">
        <f>data!BE85</f>
        <v>1599462</v>
      </c>
      <c r="I245" s="287">
        <f>data!BF85</f>
        <v>1245384</v>
      </c>
    </row>
    <row r="246" spans="1:9" ht="20.100000000000001" customHeight="1" x14ac:dyDescent="0.2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00000000000001" customHeight="1" x14ac:dyDescent="0.2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00000000000001" customHeight="1" x14ac:dyDescent="0.2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00000000000001" customHeight="1" x14ac:dyDescent="0.2">
      <c r="A249" s="279">
        <v>20</v>
      </c>
      <c r="B249" s="295" t="s">
        <v>982</v>
      </c>
      <c r="C249" s="302" t="str">
        <f>IF(data!AZ74&gt;0,data!AZ74,"")</f>
        <v/>
      </c>
      <c r="D249" s="302">
        <f>IF(data!BA74&gt;0,data!BA74,"")</f>
        <v>261643</v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00000000000001" customHeight="1" x14ac:dyDescent="0.2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00000000000001" customHeight="1" x14ac:dyDescent="0.2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00000000000001" customHeight="1" x14ac:dyDescent="0.2">
      <c r="A252" s="279">
        <v>22</v>
      </c>
      <c r="B252" s="287" t="s">
        <v>985</v>
      </c>
      <c r="C252" s="303">
        <f>data!AZ90</f>
        <v>0</v>
      </c>
      <c r="D252" s="303">
        <f>data!BA90</f>
        <v>667</v>
      </c>
      <c r="E252" s="303">
        <f>data!BB90</f>
        <v>97</v>
      </c>
      <c r="F252" s="303">
        <f>data!BC90</f>
        <v>0</v>
      </c>
      <c r="G252" s="303">
        <f>data!BD90</f>
        <v>0</v>
      </c>
      <c r="H252" s="303">
        <f>data!BE90</f>
        <v>7789</v>
      </c>
      <c r="I252" s="303">
        <f>data!BF90</f>
        <v>111</v>
      </c>
    </row>
    <row r="253" spans="1:9" ht="20.100000000000001" customHeight="1" x14ac:dyDescent="0.2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>
        <f>IF(data!BD77&gt;0,data!BD77,"")</f>
        <v>772</v>
      </c>
      <c r="H253" s="302">
        <f>IF(data!BE77&gt;0,data!BE77,"")</f>
        <v>273554</v>
      </c>
      <c r="I253" s="303">
        <f>data!BF91</f>
        <v>0</v>
      </c>
    </row>
    <row r="254" spans="1:9" ht="20.100000000000001" customHeight="1" x14ac:dyDescent="0.2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00000000000001" customHeight="1" x14ac:dyDescent="0.2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00000000000001" customHeight="1" x14ac:dyDescent="0.2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00000000000001" customHeight="1" x14ac:dyDescent="0.2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00000000000001" customHeight="1" x14ac:dyDescent="0.2">
      <c r="D258" s="283"/>
      <c r="I258" s="284" t="s">
        <v>1016</v>
      </c>
    </row>
    <row r="259" spans="1:9" ht="20.100000000000001" customHeight="1" x14ac:dyDescent="0.2">
      <c r="A259" s="283"/>
    </row>
    <row r="260" spans="1:9" ht="20.100000000000001" customHeight="1" x14ac:dyDescent="0.2">
      <c r="A260" s="285" t="str">
        <f>"Hospital: "&amp;data!C98</f>
        <v>Hospital: Astria Sunnyside Hospital</v>
      </c>
      <c r="G260" s="286"/>
      <c r="H260" s="285" t="str">
        <f>"FYE: "&amp;data!C96</f>
        <v>FYE: 12/31/2022</v>
      </c>
    </row>
    <row r="261" spans="1:9" ht="20.100000000000001" customHeight="1" x14ac:dyDescent="0.2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00000000000001" customHeight="1" x14ac:dyDescent="0.2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00000000000001" customHeight="1" x14ac:dyDescent="0.2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00000000000001" customHeight="1" x14ac:dyDescent="0.2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00000000000001" customHeight="1" x14ac:dyDescent="0.2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00000000000001" customHeight="1" x14ac:dyDescent="0.2">
      <c r="A266" s="279">
        <v>5</v>
      </c>
      <c r="B266" s="287" t="s">
        <v>247</v>
      </c>
      <c r="C266" s="294">
        <f>data!BG60</f>
        <v>0</v>
      </c>
      <c r="D266" s="294">
        <f>data!BH60</f>
        <v>16.82</v>
      </c>
      <c r="E266" s="294">
        <f>data!BI60</f>
        <v>0.84</v>
      </c>
      <c r="F266" s="294">
        <f>data!BJ60</f>
        <v>4.51</v>
      </c>
      <c r="G266" s="294">
        <f>data!BK60</f>
        <v>12.84</v>
      </c>
      <c r="H266" s="294">
        <f>data!BL60</f>
        <v>19.010000000000002</v>
      </c>
      <c r="I266" s="294">
        <f>data!BM60</f>
        <v>0</v>
      </c>
    </row>
    <row r="267" spans="1:9" ht="20.100000000000001" customHeight="1" x14ac:dyDescent="0.2">
      <c r="A267" s="279">
        <v>6</v>
      </c>
      <c r="B267" s="287" t="s">
        <v>248</v>
      </c>
      <c r="C267" s="287">
        <f>data!BG61</f>
        <v>0</v>
      </c>
      <c r="D267" s="287">
        <f>data!BH61</f>
        <v>1062520</v>
      </c>
      <c r="E267" s="287">
        <f>data!BI61</f>
        <v>110768</v>
      </c>
      <c r="F267" s="287">
        <f>data!BJ61</f>
        <v>302735</v>
      </c>
      <c r="G267" s="287">
        <f>data!BK61</f>
        <v>0</v>
      </c>
      <c r="H267" s="287">
        <f>data!BL61</f>
        <v>884290</v>
      </c>
      <c r="I267" s="287">
        <f>data!BM61</f>
        <v>0</v>
      </c>
    </row>
    <row r="268" spans="1:9" ht="20.100000000000001" customHeight="1" x14ac:dyDescent="0.2">
      <c r="A268" s="279">
        <v>7</v>
      </c>
      <c r="B268" s="287" t="s">
        <v>9</v>
      </c>
      <c r="C268" s="287">
        <f>data!BG62</f>
        <v>0</v>
      </c>
      <c r="D268" s="287">
        <f>data!BH62</f>
        <v>291477</v>
      </c>
      <c r="E268" s="287">
        <f>data!BI62</f>
        <v>26908</v>
      </c>
      <c r="F268" s="287">
        <f>data!BJ62</f>
        <v>79822</v>
      </c>
      <c r="G268" s="287">
        <f>data!BK62</f>
        <v>0</v>
      </c>
      <c r="H268" s="287">
        <f>data!BL62</f>
        <v>232433</v>
      </c>
      <c r="I268" s="287">
        <f>data!BM62</f>
        <v>0</v>
      </c>
    </row>
    <row r="269" spans="1:9" ht="20.100000000000001" customHeight="1" x14ac:dyDescent="0.2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00000000000001" customHeight="1" x14ac:dyDescent="0.2">
      <c r="A270" s="279">
        <v>9</v>
      </c>
      <c r="B270" s="287" t="s">
        <v>250</v>
      </c>
      <c r="C270" s="287">
        <f>data!BG64</f>
        <v>0</v>
      </c>
      <c r="D270" s="287">
        <f>data!BH64</f>
        <v>167612</v>
      </c>
      <c r="E270" s="287">
        <f>data!BI64</f>
        <v>39579</v>
      </c>
      <c r="F270" s="287">
        <f>data!BJ64</f>
        <v>5672</v>
      </c>
      <c r="G270" s="287">
        <f>data!BK64</f>
        <v>0</v>
      </c>
      <c r="H270" s="287">
        <f>data!BL64</f>
        <v>20312</v>
      </c>
      <c r="I270" s="287">
        <f>data!BM64</f>
        <v>0</v>
      </c>
    </row>
    <row r="271" spans="1:9" ht="20.100000000000001" customHeight="1" x14ac:dyDescent="0.2">
      <c r="A271" s="279">
        <v>10</v>
      </c>
      <c r="B271" s="287" t="s">
        <v>497</v>
      </c>
      <c r="C271" s="287">
        <f>data!BG65</f>
        <v>0</v>
      </c>
      <c r="D271" s="287">
        <f>data!BH65</f>
        <v>167596</v>
      </c>
      <c r="E271" s="287">
        <f>data!BI65</f>
        <v>2754</v>
      </c>
      <c r="F271" s="287">
        <f>data!BJ65</f>
        <v>0</v>
      </c>
      <c r="G271" s="287">
        <f>data!BK65</f>
        <v>0</v>
      </c>
      <c r="H271" s="287">
        <f>data!BL65</f>
        <v>90</v>
      </c>
      <c r="I271" s="287">
        <f>data!BM65</f>
        <v>0</v>
      </c>
    </row>
    <row r="272" spans="1:9" ht="20.100000000000001" customHeight="1" x14ac:dyDescent="0.2">
      <c r="A272" s="279">
        <v>11</v>
      </c>
      <c r="B272" s="287" t="s">
        <v>498</v>
      </c>
      <c r="C272" s="287">
        <f>data!BG66</f>
        <v>0</v>
      </c>
      <c r="D272" s="287">
        <f>data!BH66</f>
        <v>-233342</v>
      </c>
      <c r="E272" s="287">
        <f>data!BI66</f>
        <v>10619</v>
      </c>
      <c r="F272" s="287">
        <f>data!BJ66</f>
        <v>117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spans="1:9" ht="20.100000000000001" customHeight="1" x14ac:dyDescent="0.2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42458</v>
      </c>
      <c r="H273" s="287">
        <f>data!BL67</f>
        <v>0</v>
      </c>
      <c r="I273" s="287">
        <f>data!BM67</f>
        <v>0</v>
      </c>
    </row>
    <row r="274" spans="1:9" ht="20.100000000000001" customHeight="1" x14ac:dyDescent="0.2">
      <c r="A274" s="279">
        <v>13</v>
      </c>
      <c r="B274" s="287" t="s">
        <v>977</v>
      </c>
      <c r="C274" s="287">
        <f>data!BG68</f>
        <v>0</v>
      </c>
      <c r="D274" s="287">
        <f>data!BH68</f>
        <v>86767</v>
      </c>
      <c r="E274" s="287">
        <f>data!BI68</f>
        <v>0</v>
      </c>
      <c r="F274" s="287">
        <f>data!BJ68</f>
        <v>5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00000000000001" customHeight="1" x14ac:dyDescent="0.2">
      <c r="A275" s="279">
        <v>14</v>
      </c>
      <c r="B275" s="287" t="s">
        <v>978</v>
      </c>
      <c r="C275" s="287">
        <f>data!BG69</f>
        <v>0</v>
      </c>
      <c r="D275" s="287">
        <f>data!BH69</f>
        <v>73843</v>
      </c>
      <c r="E275" s="287">
        <f>data!BI69</f>
        <v>22307</v>
      </c>
      <c r="F275" s="287">
        <f>data!BJ69</f>
        <v>31354</v>
      </c>
      <c r="G275" s="287">
        <f>data!BK69</f>
        <v>0</v>
      </c>
      <c r="H275" s="287">
        <f>data!BL69</f>
        <v>2664</v>
      </c>
      <c r="I275" s="287">
        <f>data!BM69</f>
        <v>0</v>
      </c>
    </row>
    <row r="276" spans="1:9" ht="20.100000000000001" customHeight="1" x14ac:dyDescent="0.2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00000000000001" customHeight="1" x14ac:dyDescent="0.2">
      <c r="A277" s="279">
        <v>16</v>
      </c>
      <c r="B277" s="295" t="s">
        <v>979</v>
      </c>
      <c r="C277" s="287">
        <f>data!BG85</f>
        <v>0</v>
      </c>
      <c r="D277" s="287">
        <f>data!BH85</f>
        <v>1616473</v>
      </c>
      <c r="E277" s="287">
        <f>data!BI85</f>
        <v>212935</v>
      </c>
      <c r="F277" s="287">
        <f>data!BJ85</f>
        <v>419705</v>
      </c>
      <c r="G277" s="287">
        <f>data!BK85</f>
        <v>42458</v>
      </c>
      <c r="H277" s="287">
        <f>data!BL85</f>
        <v>1139789</v>
      </c>
      <c r="I277" s="287">
        <f>data!BM85</f>
        <v>0</v>
      </c>
    </row>
    <row r="278" spans="1:9" ht="20.100000000000001" customHeight="1" x14ac:dyDescent="0.2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00000000000001" customHeight="1" x14ac:dyDescent="0.2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00000000000001" customHeight="1" x14ac:dyDescent="0.2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00000000000001" customHeight="1" x14ac:dyDescent="0.2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00000000000001" customHeight="1" x14ac:dyDescent="0.2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>
        <f>IF(data!BJ75&gt;0,data!BJ75,"")</f>
        <v>27215</v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00000000000001" customHeight="1" x14ac:dyDescent="0.2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00000000000001" customHeight="1" x14ac:dyDescent="0.2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2104</v>
      </c>
      <c r="H284" s="303">
        <f>data!BL90</f>
        <v>0</v>
      </c>
      <c r="I284" s="303">
        <f>data!BM90</f>
        <v>0</v>
      </c>
    </row>
    <row r="285" spans="1:9" ht="20.100000000000001" customHeight="1" x14ac:dyDescent="0.2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>
        <f>IF(data!BJ77&gt;0,data!BJ77,"")</f>
        <v>50</v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00000000000001" customHeight="1" x14ac:dyDescent="0.2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540</v>
      </c>
      <c r="H286" s="303">
        <f>data!BL92</f>
        <v>924</v>
      </c>
      <c r="I286" s="303">
        <f>data!BM92</f>
        <v>150</v>
      </c>
    </row>
    <row r="287" spans="1:9" ht="20.100000000000001" customHeight="1" x14ac:dyDescent="0.2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00000000000001" customHeight="1" x14ac:dyDescent="0.2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00000000000001" customHeight="1" x14ac:dyDescent="0.2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00000000000001" customHeight="1" x14ac:dyDescent="0.2">
      <c r="D290" s="283"/>
      <c r="I290" s="284" t="s">
        <v>1020</v>
      </c>
    </row>
    <row r="291" spans="1:9" ht="20.100000000000001" customHeight="1" x14ac:dyDescent="0.2">
      <c r="A291" s="283"/>
    </row>
    <row r="292" spans="1:9" ht="20.100000000000001" customHeight="1" x14ac:dyDescent="0.2">
      <c r="A292" s="285" t="str">
        <f>"Hospital: "&amp;data!C98</f>
        <v>Hospital: Astria Sunnyside Hospital</v>
      </c>
      <c r="G292" s="286"/>
      <c r="H292" s="285" t="str">
        <f>"FYE: "&amp;data!C96</f>
        <v>FYE: 12/31/2022</v>
      </c>
    </row>
    <row r="293" spans="1:9" ht="20.100000000000001" customHeight="1" x14ac:dyDescent="0.2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00000000000001" customHeight="1" x14ac:dyDescent="0.2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00000000000001" customHeight="1" x14ac:dyDescent="0.2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00000000000001" customHeight="1" x14ac:dyDescent="0.2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00000000000001" customHeight="1" x14ac:dyDescent="0.2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00000000000001" customHeight="1" x14ac:dyDescent="0.2">
      <c r="A298" s="279">
        <v>5</v>
      </c>
      <c r="B298" s="287" t="s">
        <v>247</v>
      </c>
      <c r="C298" s="294">
        <f>data!BN60</f>
        <v>0.86</v>
      </c>
      <c r="D298" s="294">
        <f>data!BO60</f>
        <v>0</v>
      </c>
      <c r="E298" s="294">
        <f>data!BP60</f>
        <v>0</v>
      </c>
      <c r="F298" s="294">
        <f>data!BQ60</f>
        <v>2.84</v>
      </c>
      <c r="G298" s="294">
        <f>data!BR60</f>
        <v>0.21</v>
      </c>
      <c r="H298" s="294">
        <f>data!BS60</f>
        <v>0</v>
      </c>
      <c r="I298" s="294">
        <f>data!BT60</f>
        <v>0</v>
      </c>
    </row>
    <row r="299" spans="1:9" ht="20.100000000000001" customHeight="1" x14ac:dyDescent="0.2">
      <c r="A299" s="279">
        <v>6</v>
      </c>
      <c r="B299" s="287" t="s">
        <v>248</v>
      </c>
      <c r="C299" s="287">
        <f>data!BN61</f>
        <v>55249</v>
      </c>
      <c r="D299" s="287">
        <f>data!BO61</f>
        <v>0</v>
      </c>
      <c r="E299" s="287">
        <f>data!BP61</f>
        <v>0</v>
      </c>
      <c r="F299" s="287">
        <f>data!BQ61</f>
        <v>224800</v>
      </c>
      <c r="G299" s="287">
        <f>data!BR61</f>
        <v>5667</v>
      </c>
      <c r="H299" s="287">
        <f>data!BS61</f>
        <v>0</v>
      </c>
      <c r="I299" s="287">
        <f>data!BT61</f>
        <v>0</v>
      </c>
    </row>
    <row r="300" spans="1:9" ht="20.100000000000001" customHeight="1" x14ac:dyDescent="0.2">
      <c r="A300" s="279">
        <v>7</v>
      </c>
      <c r="B300" s="287" t="s">
        <v>9</v>
      </c>
      <c r="C300" s="287">
        <f>data!BN62</f>
        <v>15820</v>
      </c>
      <c r="D300" s="287">
        <f>data!BO62</f>
        <v>0</v>
      </c>
      <c r="E300" s="287">
        <f>data!BP62</f>
        <v>0</v>
      </c>
      <c r="F300" s="287">
        <f>data!BQ62</f>
        <v>63351</v>
      </c>
      <c r="G300" s="287">
        <f>data!BR62</f>
        <v>18807</v>
      </c>
      <c r="H300" s="287">
        <f>data!BS62</f>
        <v>0</v>
      </c>
      <c r="I300" s="287">
        <f>data!BT62</f>
        <v>0</v>
      </c>
    </row>
    <row r="301" spans="1:9" ht="20.100000000000001" customHeight="1" x14ac:dyDescent="0.2">
      <c r="A301" s="279">
        <v>8</v>
      </c>
      <c r="B301" s="287" t="s">
        <v>249</v>
      </c>
      <c r="C301" s="287">
        <f>data!BN63</f>
        <v>6069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00000000000001" customHeight="1" x14ac:dyDescent="0.2">
      <c r="A302" s="279">
        <v>9</v>
      </c>
      <c r="B302" s="287" t="s">
        <v>250</v>
      </c>
      <c r="C302" s="287">
        <f>data!BN64</f>
        <v>5716</v>
      </c>
      <c r="D302" s="287">
        <f>data!BO64</f>
        <v>0</v>
      </c>
      <c r="E302" s="287">
        <f>data!BP64</f>
        <v>0</v>
      </c>
      <c r="F302" s="287">
        <f>data!BQ64</f>
        <v>12392</v>
      </c>
      <c r="G302" s="287">
        <f>data!BR64</f>
        <v>6466</v>
      </c>
      <c r="H302" s="287">
        <f>data!BS64</f>
        <v>0</v>
      </c>
      <c r="I302" s="287">
        <f>data!BT64</f>
        <v>0</v>
      </c>
    </row>
    <row r="303" spans="1:9" ht="20.100000000000001" customHeight="1" x14ac:dyDescent="0.2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210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00000000000001" customHeight="1" x14ac:dyDescent="0.2">
      <c r="A304" s="279">
        <v>11</v>
      </c>
      <c r="B304" s="287" t="s">
        <v>498</v>
      </c>
      <c r="C304" s="287">
        <f>data!BN66</f>
        <v>223126</v>
      </c>
      <c r="D304" s="287">
        <f>data!BO66</f>
        <v>0</v>
      </c>
      <c r="E304" s="287">
        <f>data!BP66</f>
        <v>0</v>
      </c>
      <c r="F304" s="287">
        <f>data!BQ66</f>
        <v>425</v>
      </c>
      <c r="G304" s="287">
        <f>data!BR66</f>
        <v>26558</v>
      </c>
      <c r="H304" s="287">
        <f>data!BS66</f>
        <v>0</v>
      </c>
      <c r="I304" s="287">
        <f>data!BT66</f>
        <v>0</v>
      </c>
    </row>
    <row r="305" spans="1:9" ht="20.100000000000001" customHeight="1" x14ac:dyDescent="0.2">
      <c r="A305" s="279">
        <v>12</v>
      </c>
      <c r="B305" s="287" t="s">
        <v>11</v>
      </c>
      <c r="C305" s="287">
        <f>data!BN67</f>
        <v>334178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00000000000001" customHeight="1" x14ac:dyDescent="0.2">
      <c r="A306" s="279">
        <v>13</v>
      </c>
      <c r="B306" s="287" t="s">
        <v>977</v>
      </c>
      <c r="C306" s="287">
        <f>data!BN68</f>
        <v>100474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00000000000001" customHeight="1" x14ac:dyDescent="0.2">
      <c r="A307" s="279">
        <v>14</v>
      </c>
      <c r="B307" s="287" t="s">
        <v>978</v>
      </c>
      <c r="C307" s="287">
        <f>data!BN69</f>
        <v>14830735</v>
      </c>
      <c r="D307" s="287">
        <f>data!BO69</f>
        <v>0</v>
      </c>
      <c r="E307" s="287">
        <f>data!BP69</f>
        <v>0</v>
      </c>
      <c r="F307" s="287">
        <f>data!BQ69</f>
        <v>2784</v>
      </c>
      <c r="G307" s="287">
        <f>data!BR69</f>
        <v>7714</v>
      </c>
      <c r="H307" s="287">
        <f>data!BS69</f>
        <v>0</v>
      </c>
      <c r="I307" s="287">
        <f>data!BT69</f>
        <v>0</v>
      </c>
    </row>
    <row r="308" spans="1:9" ht="20.100000000000001" customHeight="1" x14ac:dyDescent="0.2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00000000000001" customHeight="1" x14ac:dyDescent="0.2">
      <c r="A309" s="279">
        <v>16</v>
      </c>
      <c r="B309" s="295" t="s">
        <v>979</v>
      </c>
      <c r="C309" s="287">
        <f>data!BN85</f>
        <v>15571367</v>
      </c>
      <c r="D309" s="287">
        <f>data!BO85</f>
        <v>0</v>
      </c>
      <c r="E309" s="287">
        <f>data!BP85</f>
        <v>0</v>
      </c>
      <c r="F309" s="287">
        <f>data!BQ85</f>
        <v>303962</v>
      </c>
      <c r="G309" s="287">
        <f>data!BR85</f>
        <v>65212</v>
      </c>
      <c r="H309" s="287">
        <f>data!BS85</f>
        <v>0</v>
      </c>
      <c r="I309" s="287">
        <f>data!BT85</f>
        <v>0</v>
      </c>
    </row>
    <row r="310" spans="1:9" ht="20.100000000000001" customHeight="1" x14ac:dyDescent="0.2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00000000000001" customHeight="1" x14ac:dyDescent="0.2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00000000000001" customHeight="1" x14ac:dyDescent="0.2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00000000000001" customHeight="1" x14ac:dyDescent="0.2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00000000000001" customHeight="1" x14ac:dyDescent="0.2">
      <c r="A314" s="279">
        <v>21</v>
      </c>
      <c r="B314" s="295" t="s">
        <v>983</v>
      </c>
      <c r="C314" s="302">
        <f>IF(data!BN75&gt;0,data!BN75,"")</f>
        <v>122690</v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00000000000001" customHeight="1" x14ac:dyDescent="0.2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00000000000001" customHeight="1" x14ac:dyDescent="0.2">
      <c r="A316" s="279">
        <v>22</v>
      </c>
      <c r="B316" s="287" t="s">
        <v>985</v>
      </c>
      <c r="C316" s="303">
        <f>data!BN90</f>
        <v>16560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00000000000001" customHeight="1" x14ac:dyDescent="0.2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>
        <f>IF(data!BQ77&gt;0,data!BQ77,"")</f>
        <v>2134</v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00000000000001" customHeight="1" x14ac:dyDescent="0.2">
      <c r="A318" s="279">
        <v>24</v>
      </c>
      <c r="B318" s="287" t="s">
        <v>987</v>
      </c>
      <c r="C318" s="302">
        <f>IF(data!BN78&gt;0,data!BN78,"")</f>
        <v>14501192</v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00000000000001" customHeight="1" x14ac:dyDescent="0.2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00000000000001" customHeight="1" x14ac:dyDescent="0.2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00000000000001" customHeight="1" x14ac:dyDescent="0.2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00000000000001" customHeight="1" x14ac:dyDescent="0.2">
      <c r="D322" s="283"/>
      <c r="I322" s="284" t="s">
        <v>1022</v>
      </c>
    </row>
    <row r="323" spans="1:9" ht="20.100000000000001" customHeight="1" x14ac:dyDescent="0.2">
      <c r="A323" s="283"/>
    </row>
    <row r="324" spans="1:9" ht="20.100000000000001" customHeight="1" x14ac:dyDescent="0.2">
      <c r="A324" s="285" t="str">
        <f>"Hospital: "&amp;data!C98</f>
        <v>Hospital: Astria Sunnyside Hospital</v>
      </c>
      <c r="G324" s="286"/>
      <c r="H324" s="285" t="str">
        <f>"FYE: "&amp;data!C96</f>
        <v>FYE: 12/31/2022</v>
      </c>
    </row>
    <row r="325" spans="1:9" ht="20.100000000000001" customHeight="1" x14ac:dyDescent="0.2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00000000000001" customHeight="1" x14ac:dyDescent="0.2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00000000000001" customHeight="1" x14ac:dyDescent="0.2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00000000000001" customHeight="1" x14ac:dyDescent="0.2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00000000000001" customHeight="1" x14ac:dyDescent="0.2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00000000000001" customHeight="1" x14ac:dyDescent="0.2">
      <c r="A330" s="279">
        <v>5</v>
      </c>
      <c r="B330" s="287" t="s">
        <v>247</v>
      </c>
      <c r="C330" s="294">
        <f>data!BU60</f>
        <v>0</v>
      </c>
      <c r="D330" s="294">
        <f>data!BV60</f>
        <v>6.07</v>
      </c>
      <c r="E330" s="294">
        <f>data!BW60</f>
        <v>0</v>
      </c>
      <c r="F330" s="294">
        <f>data!BX60</f>
        <v>0</v>
      </c>
      <c r="G330" s="294">
        <f>data!BY60</f>
        <v>3.25</v>
      </c>
      <c r="H330" s="294">
        <f>data!BZ60</f>
        <v>0</v>
      </c>
      <c r="I330" s="294">
        <f>data!CA60</f>
        <v>0</v>
      </c>
    </row>
    <row r="331" spans="1:9" ht="20.100000000000001" customHeight="1" x14ac:dyDescent="0.2">
      <c r="A331" s="279">
        <v>6</v>
      </c>
      <c r="B331" s="287" t="s">
        <v>248</v>
      </c>
      <c r="C331" s="306">
        <f>data!BU61</f>
        <v>0</v>
      </c>
      <c r="D331" s="306">
        <f>data!BV61</f>
        <v>283641</v>
      </c>
      <c r="E331" s="306">
        <f>data!BW61</f>
        <v>0</v>
      </c>
      <c r="F331" s="306">
        <f>data!BX61</f>
        <v>0</v>
      </c>
      <c r="G331" s="306">
        <f>data!BY61</f>
        <v>450430</v>
      </c>
      <c r="H331" s="306">
        <f>data!BZ61</f>
        <v>0</v>
      </c>
      <c r="I331" s="306">
        <f>data!CA61</f>
        <v>0</v>
      </c>
    </row>
    <row r="332" spans="1:9" ht="20.100000000000001" customHeight="1" x14ac:dyDescent="0.2">
      <c r="A332" s="279">
        <v>7</v>
      </c>
      <c r="B332" s="287" t="s">
        <v>9</v>
      </c>
      <c r="C332" s="306">
        <f>data!BU62</f>
        <v>0</v>
      </c>
      <c r="D332" s="306">
        <f>data!BV62</f>
        <v>74131</v>
      </c>
      <c r="E332" s="306">
        <f>data!BW62</f>
        <v>0</v>
      </c>
      <c r="F332" s="306">
        <f>data!BX62</f>
        <v>0</v>
      </c>
      <c r="G332" s="306">
        <f>data!BY62</f>
        <v>114217</v>
      </c>
      <c r="H332" s="306">
        <f>data!BZ62</f>
        <v>0</v>
      </c>
      <c r="I332" s="306">
        <f>data!CA62</f>
        <v>0</v>
      </c>
    </row>
    <row r="333" spans="1:9" ht="20.100000000000001" customHeight="1" x14ac:dyDescent="0.2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00000000000001" customHeight="1" x14ac:dyDescent="0.2">
      <c r="A334" s="279">
        <v>9</v>
      </c>
      <c r="B334" s="287" t="s">
        <v>250</v>
      </c>
      <c r="C334" s="306">
        <f>data!BU64</f>
        <v>0</v>
      </c>
      <c r="D334" s="306">
        <f>data!BV64</f>
        <v>48556</v>
      </c>
      <c r="E334" s="306">
        <f>data!BW64</f>
        <v>0</v>
      </c>
      <c r="F334" s="306">
        <f>data!BX64</f>
        <v>0</v>
      </c>
      <c r="G334" s="306">
        <f>data!BY64</f>
        <v>8449</v>
      </c>
      <c r="H334" s="306">
        <f>data!BZ64</f>
        <v>0</v>
      </c>
      <c r="I334" s="306">
        <f>data!CA64</f>
        <v>0</v>
      </c>
    </row>
    <row r="335" spans="1:9" ht="20.100000000000001" customHeight="1" x14ac:dyDescent="0.2">
      <c r="A335" s="279">
        <v>10</v>
      </c>
      <c r="B335" s="287" t="s">
        <v>497</v>
      </c>
      <c r="C335" s="306">
        <f>data!BU65</f>
        <v>0</v>
      </c>
      <c r="D335" s="306">
        <f>data!BV65</f>
        <v>32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00000000000001" customHeight="1" x14ac:dyDescent="0.2">
      <c r="A336" s="279">
        <v>11</v>
      </c>
      <c r="B336" s="287" t="s">
        <v>498</v>
      </c>
      <c r="C336" s="306">
        <f>data!BU66</f>
        <v>0</v>
      </c>
      <c r="D336" s="306">
        <f>data!BV66</f>
        <v>196043</v>
      </c>
      <c r="E336" s="306">
        <f>data!BW66</f>
        <v>0</v>
      </c>
      <c r="F336" s="306">
        <f>data!BX66</f>
        <v>0</v>
      </c>
      <c r="G336" s="306">
        <f>data!BY66</f>
        <v>127608</v>
      </c>
      <c r="H336" s="306">
        <f>data!BZ66</f>
        <v>0</v>
      </c>
      <c r="I336" s="306">
        <f>data!CA66</f>
        <v>0</v>
      </c>
    </row>
    <row r="337" spans="1:9" ht="20.100000000000001" customHeight="1" x14ac:dyDescent="0.2">
      <c r="A337" s="279">
        <v>12</v>
      </c>
      <c r="B337" s="287" t="s">
        <v>11</v>
      </c>
      <c r="C337" s="306">
        <f>data!BU67</f>
        <v>0</v>
      </c>
      <c r="D337" s="306">
        <f>data!BV67</f>
        <v>53618</v>
      </c>
      <c r="E337" s="306">
        <f>data!BW67</f>
        <v>0</v>
      </c>
      <c r="F337" s="306">
        <f>data!BX67</f>
        <v>0</v>
      </c>
      <c r="G337" s="306">
        <f>data!BY67</f>
        <v>3774</v>
      </c>
      <c r="H337" s="306">
        <f>data!BZ67</f>
        <v>0</v>
      </c>
      <c r="I337" s="306">
        <f>data!CA67</f>
        <v>0</v>
      </c>
    </row>
    <row r="338" spans="1:9" ht="20.100000000000001" customHeight="1" x14ac:dyDescent="0.2">
      <c r="A338" s="279">
        <v>13</v>
      </c>
      <c r="B338" s="287" t="s">
        <v>977</v>
      </c>
      <c r="C338" s="306">
        <f>data!BU68</f>
        <v>0</v>
      </c>
      <c r="D338" s="306">
        <f>data!BV68</f>
        <v>6200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00000000000001" customHeight="1" x14ac:dyDescent="0.2">
      <c r="A339" s="279">
        <v>14</v>
      </c>
      <c r="B339" s="287" t="s">
        <v>978</v>
      </c>
      <c r="C339" s="306">
        <f>data!BU69</f>
        <v>0</v>
      </c>
      <c r="D339" s="306">
        <f>data!BV69</f>
        <v>7654</v>
      </c>
      <c r="E339" s="306">
        <f>data!BW69</f>
        <v>0</v>
      </c>
      <c r="F339" s="306">
        <f>data!BX69</f>
        <v>0</v>
      </c>
      <c r="G339" s="306">
        <f>data!BY69</f>
        <v>692889</v>
      </c>
      <c r="H339" s="306">
        <f>data!BZ69</f>
        <v>0</v>
      </c>
      <c r="I339" s="306">
        <f>data!CA69</f>
        <v>0</v>
      </c>
    </row>
    <row r="340" spans="1:9" ht="20.100000000000001" customHeight="1" x14ac:dyDescent="0.2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00000000000001" customHeight="1" x14ac:dyDescent="0.2">
      <c r="A341" s="279">
        <v>16</v>
      </c>
      <c r="B341" s="295" t="s">
        <v>979</v>
      </c>
      <c r="C341" s="287">
        <f>data!BU85</f>
        <v>0</v>
      </c>
      <c r="D341" s="287">
        <f>data!BV85</f>
        <v>669875</v>
      </c>
      <c r="E341" s="287">
        <f>data!BW85</f>
        <v>0</v>
      </c>
      <c r="F341" s="287">
        <f>data!BX85</f>
        <v>0</v>
      </c>
      <c r="G341" s="287">
        <f>data!BY85</f>
        <v>1397367</v>
      </c>
      <c r="H341" s="287">
        <f>data!BZ85</f>
        <v>0</v>
      </c>
      <c r="I341" s="287">
        <f>data!CA85</f>
        <v>0</v>
      </c>
    </row>
    <row r="342" spans="1:9" ht="20.100000000000001" customHeight="1" x14ac:dyDescent="0.2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00000000000001" customHeight="1" x14ac:dyDescent="0.2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00000000000001" customHeight="1" x14ac:dyDescent="0.2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00000000000001" customHeight="1" x14ac:dyDescent="0.2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00000000000001" customHeight="1" x14ac:dyDescent="0.2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00000000000001" customHeight="1" x14ac:dyDescent="0.2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00000000000001" customHeight="1" x14ac:dyDescent="0.2">
      <c r="A348" s="279">
        <v>22</v>
      </c>
      <c r="B348" s="287" t="s">
        <v>985</v>
      </c>
      <c r="C348" s="303">
        <f>data!BU90</f>
        <v>0</v>
      </c>
      <c r="D348" s="303">
        <f>data!BV90</f>
        <v>2657</v>
      </c>
      <c r="E348" s="303">
        <f>data!BW90</f>
        <v>0</v>
      </c>
      <c r="F348" s="303">
        <f>data!BX90</f>
        <v>0</v>
      </c>
      <c r="G348" s="303">
        <f>data!BY90</f>
        <v>187</v>
      </c>
      <c r="H348" s="303">
        <f>data!BZ90</f>
        <v>0</v>
      </c>
      <c r="I348" s="303">
        <f>data!CA90</f>
        <v>0</v>
      </c>
    </row>
    <row r="349" spans="1:9" ht="20.100000000000001" customHeight="1" x14ac:dyDescent="0.2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00000000000001" customHeight="1" x14ac:dyDescent="0.2">
      <c r="A350" s="279">
        <v>24</v>
      </c>
      <c r="B350" s="287" t="s">
        <v>987</v>
      </c>
      <c r="C350" s="303">
        <f>data!BU92</f>
        <v>0</v>
      </c>
      <c r="D350" s="303">
        <f>data!BV92</f>
        <v>150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00000000000001" customHeight="1" x14ac:dyDescent="0.2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00000000000001" customHeight="1" x14ac:dyDescent="0.2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00000000000001" customHeight="1" x14ac:dyDescent="0.2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00000000000001" customHeight="1" x14ac:dyDescent="0.2">
      <c r="D354" s="283"/>
      <c r="I354" s="284" t="s">
        <v>1023</v>
      </c>
    </row>
    <row r="355" spans="1:9" ht="20.100000000000001" customHeight="1" x14ac:dyDescent="0.2">
      <c r="A355" s="283"/>
    </row>
    <row r="356" spans="1:9" ht="20.100000000000001" customHeight="1" x14ac:dyDescent="0.2">
      <c r="A356" s="285" t="str">
        <f>"Hospital: "&amp;data!C98</f>
        <v>Hospital: Astria Sunnyside Hospital</v>
      </c>
      <c r="G356" s="286"/>
      <c r="H356" s="285" t="str">
        <f>"FYE: "&amp;data!C96</f>
        <v>FYE: 12/31/2022</v>
      </c>
    </row>
    <row r="357" spans="1:9" ht="20.100000000000001" customHeight="1" x14ac:dyDescent="0.2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00000000000001" customHeight="1" x14ac:dyDescent="0.2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00000000000001" customHeight="1" x14ac:dyDescent="0.2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00000000000001" customHeight="1" x14ac:dyDescent="0.2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00000000000001" customHeight="1" x14ac:dyDescent="0.2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00000000000001" customHeight="1" x14ac:dyDescent="0.2">
      <c r="A362" s="279">
        <v>5</v>
      </c>
      <c r="B362" s="287" t="s">
        <v>247</v>
      </c>
      <c r="C362" s="294">
        <f>data!CB60</f>
        <v>0</v>
      </c>
      <c r="D362" s="294">
        <f>data!CC60</f>
        <v>2.2200000000000002</v>
      </c>
      <c r="E362" s="309"/>
      <c r="F362" s="297"/>
      <c r="G362" s="297"/>
      <c r="H362" s="297"/>
      <c r="I362" s="310">
        <f>data!CE60</f>
        <v>350.5499999999999</v>
      </c>
    </row>
    <row r="363" spans="1:9" ht="20.100000000000001" customHeight="1" x14ac:dyDescent="0.2">
      <c r="A363" s="279">
        <v>6</v>
      </c>
      <c r="B363" s="287" t="s">
        <v>248</v>
      </c>
      <c r="C363" s="306">
        <f>data!CB61</f>
        <v>0</v>
      </c>
      <c r="D363" s="306">
        <f>data!CC61</f>
        <v>127241</v>
      </c>
      <c r="E363" s="311"/>
      <c r="F363" s="311"/>
      <c r="G363" s="311"/>
      <c r="H363" s="311"/>
      <c r="I363" s="306">
        <f>data!CE61</f>
        <v>30739422</v>
      </c>
    </row>
    <row r="364" spans="1:9" ht="20.100000000000001" customHeight="1" x14ac:dyDescent="0.2">
      <c r="A364" s="279">
        <v>7</v>
      </c>
      <c r="B364" s="287" t="s">
        <v>9</v>
      </c>
      <c r="C364" s="306">
        <f>data!CB62</f>
        <v>0</v>
      </c>
      <c r="D364" s="306">
        <f>data!CC62</f>
        <v>30100</v>
      </c>
      <c r="E364" s="311"/>
      <c r="F364" s="311"/>
      <c r="G364" s="311"/>
      <c r="H364" s="311"/>
      <c r="I364" s="306">
        <f>data!CE62</f>
        <v>7911474</v>
      </c>
    </row>
    <row r="365" spans="1:9" ht="20.100000000000001" customHeight="1" x14ac:dyDescent="0.2">
      <c r="A365" s="279">
        <v>8</v>
      </c>
      <c r="B365" s="287" t="s">
        <v>249</v>
      </c>
      <c r="C365" s="306">
        <f>data!CB63</f>
        <v>0</v>
      </c>
      <c r="D365" s="306">
        <f>data!CC63</f>
        <v>129702</v>
      </c>
      <c r="E365" s="311"/>
      <c r="F365" s="311"/>
      <c r="G365" s="311"/>
      <c r="H365" s="311"/>
      <c r="I365" s="306">
        <f>data!CE63</f>
        <v>1936519</v>
      </c>
    </row>
    <row r="366" spans="1:9" ht="20.100000000000001" customHeight="1" x14ac:dyDescent="0.2">
      <c r="A366" s="279">
        <v>9</v>
      </c>
      <c r="B366" s="287" t="s">
        <v>250</v>
      </c>
      <c r="C366" s="306">
        <f>data!CB64</f>
        <v>0</v>
      </c>
      <c r="D366" s="306">
        <f>data!CC64</f>
        <v>14403</v>
      </c>
      <c r="E366" s="311"/>
      <c r="F366" s="311"/>
      <c r="G366" s="311"/>
      <c r="H366" s="311"/>
      <c r="I366" s="306">
        <f>data!CE64</f>
        <v>13249903</v>
      </c>
    </row>
    <row r="367" spans="1:9" ht="20.100000000000001" customHeight="1" x14ac:dyDescent="0.2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843535</v>
      </c>
    </row>
    <row r="368" spans="1:9" ht="20.100000000000001" customHeight="1" x14ac:dyDescent="0.2">
      <c r="A368" s="279">
        <v>11</v>
      </c>
      <c r="B368" s="287" t="s">
        <v>498</v>
      </c>
      <c r="C368" s="306">
        <f>data!CB66</f>
        <v>0</v>
      </c>
      <c r="D368" s="306">
        <f>data!CC66</f>
        <v>190941</v>
      </c>
      <c r="E368" s="311"/>
      <c r="F368" s="311"/>
      <c r="G368" s="311"/>
      <c r="H368" s="311"/>
      <c r="I368" s="306">
        <f>data!CE66</f>
        <v>10902800</v>
      </c>
    </row>
    <row r="369" spans="1:9" ht="20.100000000000001" customHeight="1" x14ac:dyDescent="0.2">
      <c r="A369" s="279">
        <v>12</v>
      </c>
      <c r="B369" s="287" t="s">
        <v>11</v>
      </c>
      <c r="C369" s="306">
        <f>data!CB67</f>
        <v>0</v>
      </c>
      <c r="D369" s="306">
        <f>data!CC67</f>
        <v>26516</v>
      </c>
      <c r="E369" s="311"/>
      <c r="F369" s="311"/>
      <c r="G369" s="311"/>
      <c r="H369" s="311"/>
      <c r="I369" s="306">
        <f>data!CE67</f>
        <v>2265107</v>
      </c>
    </row>
    <row r="370" spans="1:9" ht="20.100000000000001" customHeight="1" x14ac:dyDescent="0.2">
      <c r="A370" s="279">
        <v>13</v>
      </c>
      <c r="B370" s="287" t="s">
        <v>977</v>
      </c>
      <c r="C370" s="306">
        <f>data!CB68</f>
        <v>0</v>
      </c>
      <c r="D370" s="306">
        <f>data!CC68</f>
        <v>6</v>
      </c>
      <c r="E370" s="311"/>
      <c r="F370" s="311"/>
      <c r="G370" s="311"/>
      <c r="H370" s="311"/>
      <c r="I370" s="306">
        <f>data!CE68</f>
        <v>1004913</v>
      </c>
    </row>
    <row r="371" spans="1:9" ht="20.100000000000001" customHeight="1" x14ac:dyDescent="0.2">
      <c r="A371" s="279">
        <v>14</v>
      </c>
      <c r="B371" s="287" t="s">
        <v>978</v>
      </c>
      <c r="C371" s="306">
        <f>data!CB69</f>
        <v>0</v>
      </c>
      <c r="D371" s="306">
        <f>data!CC69</f>
        <v>1267798</v>
      </c>
      <c r="E371" s="306">
        <f>data!CD69</f>
        <v>0</v>
      </c>
      <c r="F371" s="311"/>
      <c r="G371" s="311"/>
      <c r="H371" s="311"/>
      <c r="I371" s="306">
        <f>data!CE69</f>
        <v>25047934</v>
      </c>
    </row>
    <row r="372" spans="1:9" ht="20.100000000000001" customHeight="1" x14ac:dyDescent="0.2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00000000000001" customHeight="1" x14ac:dyDescent="0.2">
      <c r="A373" s="279">
        <v>16</v>
      </c>
      <c r="B373" s="295" t="s">
        <v>979</v>
      </c>
      <c r="C373" s="306">
        <f>data!CB85</f>
        <v>0</v>
      </c>
      <c r="D373" s="306">
        <f>data!CC85</f>
        <v>1786707</v>
      </c>
      <c r="E373" s="306">
        <f>data!CD85</f>
        <v>0</v>
      </c>
      <c r="F373" s="311"/>
      <c r="G373" s="311"/>
      <c r="H373" s="311"/>
      <c r="I373" s="287">
        <f>data!CE85</f>
        <v>93901607</v>
      </c>
    </row>
    <row r="374" spans="1:9" ht="20.100000000000001" customHeight="1" x14ac:dyDescent="0.2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00000000000001" customHeight="1" x14ac:dyDescent="0.2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00000000000001" customHeight="1" x14ac:dyDescent="0.2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90713958</v>
      </c>
    </row>
    <row r="377" spans="1:9" ht="20.100000000000001" customHeight="1" x14ac:dyDescent="0.2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194345357</v>
      </c>
    </row>
    <row r="378" spans="1:9" ht="20.100000000000001" customHeight="1" x14ac:dyDescent="0.2">
      <c r="A378" s="279">
        <v>21</v>
      </c>
      <c r="B378" s="295" t="s">
        <v>983</v>
      </c>
      <c r="C378" s="302" t="str">
        <f>IF(data!CB75&gt;0,data!CB75,"")</f>
        <v/>
      </c>
      <c r="D378" s="302">
        <f>IF(data!CC75&gt;0,data!CC75,"")</f>
        <v>3800</v>
      </c>
      <c r="E378" s="297"/>
      <c r="F378" s="297"/>
      <c r="G378" s="297"/>
      <c r="H378" s="297"/>
      <c r="I378" s="303">
        <f>data!CE89</f>
        <v>285059315</v>
      </c>
    </row>
    <row r="379" spans="1:9" ht="20.100000000000001" customHeight="1" x14ac:dyDescent="0.2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00000000000001" customHeight="1" x14ac:dyDescent="0.2">
      <c r="A380" s="279">
        <v>22</v>
      </c>
      <c r="B380" s="287" t="s">
        <v>985</v>
      </c>
      <c r="C380" s="303">
        <f>data!CB90</f>
        <v>0</v>
      </c>
      <c r="D380" s="303">
        <f>data!CC90</f>
        <v>1314</v>
      </c>
      <c r="E380" s="297"/>
      <c r="F380" s="297"/>
      <c r="G380" s="297"/>
      <c r="H380" s="297"/>
      <c r="I380" s="287">
        <f>data!CE90</f>
        <v>112246</v>
      </c>
    </row>
    <row r="381" spans="1:9" ht="20.100000000000001" customHeight="1" x14ac:dyDescent="0.2">
      <c r="A381" s="279">
        <v>23</v>
      </c>
      <c r="B381" s="287" t="s">
        <v>986</v>
      </c>
      <c r="C381" s="303">
        <f>data!CB91</f>
        <v>0</v>
      </c>
      <c r="D381" s="302">
        <f>IF(data!CC77&gt;0,data!CC77,"")</f>
        <v>10</v>
      </c>
      <c r="E381" s="297"/>
      <c r="F381" s="297"/>
      <c r="G381" s="297"/>
      <c r="H381" s="297"/>
      <c r="I381" s="287">
        <f>data!CE91</f>
        <v>25513</v>
      </c>
    </row>
    <row r="382" spans="1:9" ht="20.100000000000001" customHeight="1" x14ac:dyDescent="0.2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40526</v>
      </c>
    </row>
    <row r="383" spans="1:9" ht="20.100000000000001" customHeight="1" x14ac:dyDescent="0.2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382956.16000000003</v>
      </c>
    </row>
    <row r="384" spans="1:9" ht="20.100000000000001" customHeight="1" x14ac:dyDescent="0.2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82.2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W77" transitionEvaluation="1" transitionEntry="1" codeName="Sheet12">
    <tabColor rgb="FF92D050"/>
    <pageSetUpPr autoPageBreaks="0" fitToPage="1"/>
  </sheetPr>
  <dimension ref="A1:CF717"/>
  <sheetViews>
    <sheetView topLeftCell="BW77" zoomScaleNormal="100" workbookViewId="0">
      <selection activeCell="CF94" sqref="CF94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70" t="s">
        <v>0</v>
      </c>
    </row>
    <row r="2" spans="1:3" x14ac:dyDescent="0.25">
      <c r="A2" s="12" t="s">
        <v>1</v>
      </c>
      <c r="C2" s="17"/>
    </row>
    <row r="3" spans="1:3" x14ac:dyDescent="0.25">
      <c r="A3" s="69" t="s">
        <v>2</v>
      </c>
      <c r="C3" s="17"/>
    </row>
    <row r="4" spans="1:3" x14ac:dyDescent="0.25">
      <c r="A4" s="12" t="s">
        <v>3</v>
      </c>
      <c r="C4" s="17"/>
    </row>
    <row r="5" spans="1:3" x14ac:dyDescent="0.25">
      <c r="C5" s="17"/>
    </row>
    <row r="6" spans="1:3" x14ac:dyDescent="0.25">
      <c r="A6" s="12" t="s">
        <v>1330</v>
      </c>
    </row>
    <row r="7" spans="1:3" x14ac:dyDescent="0.25">
      <c r="A7" s="12" t="s">
        <v>4</v>
      </c>
    </row>
    <row r="8" spans="1:3" x14ac:dyDescent="0.25">
      <c r="A8" s="12" t="s">
        <v>1332</v>
      </c>
    </row>
    <row r="9" spans="1:3" x14ac:dyDescent="0.25">
      <c r="C9" s="17"/>
    </row>
    <row r="10" spans="1:3" x14ac:dyDescent="0.25">
      <c r="A10" s="69" t="s">
        <v>5</v>
      </c>
      <c r="C10" s="17"/>
    </row>
    <row r="11" spans="1:3" x14ac:dyDescent="0.25">
      <c r="A11" s="12" t="s">
        <v>1331</v>
      </c>
      <c r="C11" s="17"/>
    </row>
    <row r="12" spans="1:3" x14ac:dyDescent="0.25">
      <c r="A12" s="18" t="s">
        <v>6</v>
      </c>
      <c r="C12" s="17"/>
    </row>
    <row r="13" spans="1:3" x14ac:dyDescent="0.25">
      <c r="A13" s="16" t="s">
        <v>7</v>
      </c>
      <c r="C13" s="17"/>
    </row>
    <row r="14" spans="1:3" x14ac:dyDescent="0.25">
      <c r="A14" s="12" t="s">
        <v>8</v>
      </c>
      <c r="C14" s="17"/>
    </row>
    <row r="15" spans="1:3" x14ac:dyDescent="0.25">
      <c r="C15" s="17"/>
    </row>
    <row r="16" spans="1:3" x14ac:dyDescent="0.25">
      <c r="A16" s="73" t="s">
        <v>9</v>
      </c>
    </row>
    <row r="17" spans="1:10" x14ac:dyDescent="0.25">
      <c r="A17" s="16" t="s">
        <v>10</v>
      </c>
    </row>
    <row r="18" spans="1:10" ht="14.45" customHeight="1" x14ac:dyDescent="0.25">
      <c r="A18" s="18" t="s">
        <v>1333</v>
      </c>
    </row>
    <row r="19" spans="1:10" ht="14.45" customHeight="1" x14ac:dyDescent="0.25">
      <c r="A19" s="18" t="s">
        <v>1334</v>
      </c>
    </row>
    <row r="20" spans="1:10" ht="14.45" customHeight="1" x14ac:dyDescent="0.25">
      <c r="A20" s="18" t="s">
        <v>1335</v>
      </c>
    </row>
    <row r="21" spans="1:10" ht="14.45" customHeight="1" x14ac:dyDescent="0.25">
      <c r="A21" s="16"/>
      <c r="E21" s="72"/>
      <c r="F21" s="72"/>
      <c r="G21" s="72"/>
      <c r="I21" s="72"/>
      <c r="J21" s="72"/>
    </row>
    <row r="22" spans="1:10" ht="16.5" x14ac:dyDescent="0.25">
      <c r="A22" s="74" t="s">
        <v>11</v>
      </c>
      <c r="E22" s="72"/>
      <c r="F22" s="72"/>
      <c r="G22" s="72"/>
      <c r="I22" s="71"/>
      <c r="J22" s="71"/>
    </row>
    <row r="23" spans="1:10" ht="16.5" x14ac:dyDescent="0.25">
      <c r="A23" s="18" t="s">
        <v>12</v>
      </c>
      <c r="E23" s="71"/>
      <c r="F23" s="71"/>
      <c r="G23" s="71"/>
      <c r="I23" s="71"/>
      <c r="J23" s="71"/>
    </row>
    <row r="24" spans="1:10" ht="16.5" x14ac:dyDescent="0.25">
      <c r="A24" s="18" t="s">
        <v>1336</v>
      </c>
      <c r="E24" s="71"/>
      <c r="F24" s="71"/>
      <c r="G24" s="71"/>
    </row>
    <row r="25" spans="1:10" x14ac:dyDescent="0.25">
      <c r="A25" s="18" t="s">
        <v>1337</v>
      </c>
    </row>
    <row r="26" spans="1:10" x14ac:dyDescent="0.25">
      <c r="A26" s="18" t="s">
        <v>1338</v>
      </c>
    </row>
    <row r="27" spans="1:10" x14ac:dyDescent="0.25">
      <c r="A27" s="18"/>
    </row>
    <row r="28" spans="1:10" x14ac:dyDescent="0.25">
      <c r="A28" s="16" t="s">
        <v>13</v>
      </c>
      <c r="C28" s="17"/>
    </row>
    <row r="29" spans="1:10" x14ac:dyDescent="0.25">
      <c r="A29" s="18" t="s">
        <v>1339</v>
      </c>
      <c r="C29" s="17"/>
    </row>
    <row r="30" spans="1:10" x14ac:dyDescent="0.25">
      <c r="C30" s="17"/>
    </row>
    <row r="31" spans="1:10" x14ac:dyDescent="0.25">
      <c r="A31" s="12" t="s">
        <v>1349</v>
      </c>
      <c r="C31" s="333" t="s">
        <v>1350</v>
      </c>
      <c r="F31" s="19"/>
    </row>
    <row r="32" spans="1:10" x14ac:dyDescent="0.25">
      <c r="C32" s="17"/>
    </row>
    <row r="33" spans="1:83" x14ac:dyDescent="0.25">
      <c r="A33" s="69" t="s">
        <v>15</v>
      </c>
      <c r="B33" s="72"/>
      <c r="C33" s="72"/>
      <c r="D33" s="72"/>
    </row>
    <row r="34" spans="1:83" x14ac:dyDescent="0.25">
      <c r="A34" s="18" t="s">
        <v>16</v>
      </c>
      <c r="B34" s="72"/>
      <c r="C34" s="72"/>
      <c r="D34" s="72"/>
    </row>
    <row r="35" spans="1:83" ht="16.5" x14ac:dyDescent="0.25">
      <c r="A35" s="18" t="s">
        <v>17</v>
      </c>
      <c r="B35" s="71"/>
      <c r="C35" s="71"/>
      <c r="D35" s="71"/>
    </row>
    <row r="36" spans="1:83" ht="16.5" x14ac:dyDescent="0.25">
      <c r="B36" s="71"/>
      <c r="C36" s="71"/>
      <c r="D36" s="71"/>
    </row>
    <row r="37" spans="1:83" x14ac:dyDescent="0.2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2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2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2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2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25">
      <c r="C42" s="17"/>
    </row>
    <row r="43" spans="1:83" x14ac:dyDescent="0.25">
      <c r="A43" s="12" t="s">
        <v>19</v>
      </c>
      <c r="C43" s="17"/>
      <c r="G43" s="19" t="s">
        <v>14</v>
      </c>
    </row>
    <row r="44" spans="1:83" x14ac:dyDescent="0.25">
      <c r="A44" s="19" t="s">
        <v>20</v>
      </c>
      <c r="C44" s="17"/>
    </row>
    <row r="45" spans="1:83" x14ac:dyDescent="0.2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2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2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25">
      <c r="A48" s="20" t="s">
        <v>216</v>
      </c>
      <c r="B48" s="215">
        <v>1470786.32</v>
      </c>
      <c r="C48" s="213">
        <v>72772.429999999993</v>
      </c>
      <c r="D48" s="213"/>
      <c r="E48" s="213">
        <v>187665.01</v>
      </c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>
        <v>45591.94</v>
      </c>
      <c r="Q48" s="213">
        <v>12405.21</v>
      </c>
      <c r="R48" s="213"/>
      <c r="S48" s="213">
        <v>6583.16</v>
      </c>
      <c r="T48" s="213"/>
      <c r="U48" s="213">
        <v>60957.04</v>
      </c>
      <c r="V48" s="213">
        <v>9895.1</v>
      </c>
      <c r="W48" s="213">
        <v>10082.780000000001</v>
      </c>
      <c r="X48" s="213">
        <v>11893.72</v>
      </c>
      <c r="Y48" s="213">
        <v>91282.39</v>
      </c>
      <c r="Z48" s="213"/>
      <c r="AA48" s="213">
        <v>9161.0300000000007</v>
      </c>
      <c r="AB48" s="213">
        <v>38786.660000000003</v>
      </c>
      <c r="AC48" s="213"/>
      <c r="AD48" s="213"/>
      <c r="AE48" s="213">
        <v>18574.439999999999</v>
      </c>
      <c r="AF48" s="213"/>
      <c r="AG48" s="213">
        <v>115438.81</v>
      </c>
      <c r="AH48" s="213"/>
      <c r="AI48" s="213">
        <v>27562.240000000002</v>
      </c>
      <c r="AJ48" s="213">
        <v>317545.5</v>
      </c>
      <c r="AK48" s="213"/>
      <c r="AL48" s="213">
        <v>6621.51</v>
      </c>
      <c r="AM48" s="213"/>
      <c r="AN48" s="213"/>
      <c r="AO48" s="213"/>
      <c r="AP48" s="213"/>
      <c r="AQ48" s="213"/>
      <c r="AR48" s="213"/>
      <c r="AS48" s="213"/>
      <c r="AT48" s="213"/>
      <c r="AU48" s="213"/>
      <c r="AV48" s="213">
        <v>84140.69</v>
      </c>
      <c r="AW48" s="213"/>
      <c r="AX48" s="213"/>
      <c r="AY48" s="213">
        <v>18180.57</v>
      </c>
      <c r="AZ48" s="213"/>
      <c r="BA48" s="213"/>
      <c r="BB48" s="213">
        <v>3560.97</v>
      </c>
      <c r="BC48" s="213"/>
      <c r="BD48" s="213">
        <v>16741.580000000002</v>
      </c>
      <c r="BE48" s="213">
        <v>20746.52</v>
      </c>
      <c r="BF48" s="213">
        <v>51841.91</v>
      </c>
      <c r="BG48" s="213"/>
      <c r="BH48" s="213">
        <v>80372.87</v>
      </c>
      <c r="BI48" s="213">
        <v>3478.62</v>
      </c>
      <c r="BJ48" s="213"/>
      <c r="BK48" s="213"/>
      <c r="BL48" s="213">
        <v>51369.98</v>
      </c>
      <c r="BM48" s="213">
        <v>23492.42</v>
      </c>
      <c r="BN48" s="213">
        <v>6448.42</v>
      </c>
      <c r="BO48" s="213"/>
      <c r="BP48" s="213"/>
      <c r="BQ48" s="213">
        <v>4986.72</v>
      </c>
      <c r="BR48" s="213">
        <v>389.9</v>
      </c>
      <c r="BS48" s="213"/>
      <c r="BT48" s="213"/>
      <c r="BU48" s="213"/>
      <c r="BV48" s="213">
        <v>30121.119999999999</v>
      </c>
      <c r="BW48" s="213"/>
      <c r="BX48" s="213"/>
      <c r="BY48" s="213">
        <v>19590.830000000002</v>
      </c>
      <c r="BZ48" s="213"/>
      <c r="CA48" s="213"/>
      <c r="CB48" s="213"/>
      <c r="CC48" s="213">
        <v>12502</v>
      </c>
      <c r="CD48" s="20"/>
      <c r="CE48" s="32">
        <f>SUM(C48:CC48)</f>
        <v>1470784.09</v>
      </c>
    </row>
    <row r="49" spans="1:83" x14ac:dyDescent="0.25">
      <c r="A49" s="32" t="s">
        <v>217</v>
      </c>
      <c r="B49" s="215">
        <v>3431833.6799999997</v>
      </c>
      <c r="C49" s="270">
        <v>175972</v>
      </c>
      <c r="D49" s="270">
        <v>0</v>
      </c>
      <c r="E49" s="270">
        <v>394088</v>
      </c>
      <c r="F49" s="270">
        <v>0</v>
      </c>
      <c r="G49" s="270">
        <v>0</v>
      </c>
      <c r="H49" s="270">
        <v>0</v>
      </c>
      <c r="I49" s="270">
        <v>0</v>
      </c>
      <c r="J49" s="270">
        <v>0</v>
      </c>
      <c r="K49" s="270">
        <v>0</v>
      </c>
      <c r="L49" s="270">
        <v>0</v>
      </c>
      <c r="M49" s="270">
        <v>0</v>
      </c>
      <c r="N49" s="270">
        <v>0</v>
      </c>
      <c r="O49" s="270">
        <v>0</v>
      </c>
      <c r="P49" s="270">
        <v>104123</v>
      </c>
      <c r="Q49" s="270">
        <v>39854</v>
      </c>
      <c r="R49" s="270">
        <v>0</v>
      </c>
      <c r="S49" s="270">
        <v>14972</v>
      </c>
      <c r="T49" s="270">
        <v>0</v>
      </c>
      <c r="U49" s="270">
        <v>168747</v>
      </c>
      <c r="V49" s="270">
        <v>22917</v>
      </c>
      <c r="W49" s="270">
        <v>23578</v>
      </c>
      <c r="X49" s="270">
        <v>47668</v>
      </c>
      <c r="Y49" s="270">
        <v>308150</v>
      </c>
      <c r="Z49" s="270">
        <v>0</v>
      </c>
      <c r="AA49" s="270">
        <v>18249</v>
      </c>
      <c r="AB49" s="270">
        <v>91998</v>
      </c>
      <c r="AC49" s="270">
        <v>37</v>
      </c>
      <c r="AD49" s="270">
        <v>0</v>
      </c>
      <c r="AE49" s="270">
        <v>38196</v>
      </c>
      <c r="AF49" s="270">
        <v>0</v>
      </c>
      <c r="AG49" s="270">
        <v>282795</v>
      </c>
      <c r="AH49" s="270">
        <v>0</v>
      </c>
      <c r="AI49" s="270">
        <v>77447</v>
      </c>
      <c r="AJ49" s="270">
        <v>769755</v>
      </c>
      <c r="AK49" s="270">
        <v>0</v>
      </c>
      <c r="AL49" s="270">
        <v>15191</v>
      </c>
      <c r="AM49" s="270">
        <v>0</v>
      </c>
      <c r="AN49" s="270">
        <v>0</v>
      </c>
      <c r="AO49" s="270">
        <v>0</v>
      </c>
      <c r="AP49" s="270">
        <v>0</v>
      </c>
      <c r="AQ49" s="270">
        <v>0</v>
      </c>
      <c r="AR49" s="270">
        <v>0</v>
      </c>
      <c r="AS49" s="270">
        <v>0</v>
      </c>
      <c r="AT49" s="270">
        <v>0</v>
      </c>
      <c r="AU49" s="270">
        <v>0</v>
      </c>
      <c r="AV49" s="270">
        <v>220480</v>
      </c>
      <c r="AW49" s="270">
        <v>0</v>
      </c>
      <c r="AX49" s="270">
        <v>0</v>
      </c>
      <c r="AY49" s="270">
        <v>36280</v>
      </c>
      <c r="AZ49" s="270">
        <v>0</v>
      </c>
      <c r="BA49" s="270">
        <v>0</v>
      </c>
      <c r="BB49" s="270">
        <v>17152</v>
      </c>
      <c r="BC49" s="270">
        <v>0</v>
      </c>
      <c r="BD49" s="270">
        <v>27506</v>
      </c>
      <c r="BE49" s="270">
        <v>32337</v>
      </c>
      <c r="BF49" s="270">
        <v>87163</v>
      </c>
      <c r="BG49" s="270">
        <v>0</v>
      </c>
      <c r="BH49" s="270">
        <v>130334</v>
      </c>
      <c r="BI49" s="270">
        <v>16623</v>
      </c>
      <c r="BJ49" s="270">
        <v>0</v>
      </c>
      <c r="BK49" s="270">
        <v>0</v>
      </c>
      <c r="BL49" s="270">
        <v>88519</v>
      </c>
      <c r="BM49" s="270">
        <v>35878</v>
      </c>
      <c r="BN49" s="270">
        <v>12245</v>
      </c>
      <c r="BO49" s="270">
        <v>0</v>
      </c>
      <c r="BP49" s="270">
        <v>0</v>
      </c>
      <c r="BQ49" s="270">
        <v>9713</v>
      </c>
      <c r="BR49" s="270">
        <v>1823</v>
      </c>
      <c r="BS49" s="270">
        <v>0</v>
      </c>
      <c r="BT49" s="270">
        <v>0</v>
      </c>
      <c r="BU49" s="270">
        <v>0</v>
      </c>
      <c r="BV49" s="270">
        <v>39569</v>
      </c>
      <c r="BW49" s="270">
        <v>0</v>
      </c>
      <c r="BX49" s="270">
        <v>0</v>
      </c>
      <c r="BY49" s="270">
        <v>48646</v>
      </c>
      <c r="BZ49" s="270">
        <v>0</v>
      </c>
      <c r="CA49" s="270">
        <v>0</v>
      </c>
      <c r="CB49" s="270">
        <v>0</v>
      </c>
      <c r="CC49" s="270">
        <v>33829</v>
      </c>
      <c r="CD49" s="270">
        <f>IF($B$49,(ROUND((($B$49/$CE$62)*CD62),0)))</f>
        <v>0</v>
      </c>
      <c r="CE49" s="32">
        <f>SUM(C49:CD49)</f>
        <v>3431834</v>
      </c>
    </row>
    <row r="50" spans="1:83" x14ac:dyDescent="0.25">
      <c r="A50" s="20" t="s">
        <v>218</v>
      </c>
      <c r="B50" s="270">
        <f>B48+B49</f>
        <v>4902620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2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25">
      <c r="A53" s="39" t="s">
        <v>220</v>
      </c>
      <c r="B53" s="271">
        <v>2432714.91</v>
      </c>
      <c r="C53" s="270">
        <v>48439</v>
      </c>
      <c r="D53" s="270">
        <v>0</v>
      </c>
      <c r="E53" s="270">
        <v>424554</v>
      </c>
      <c r="F53" s="270">
        <v>0</v>
      </c>
      <c r="G53" s="270">
        <v>0</v>
      </c>
      <c r="H53" s="270">
        <v>0</v>
      </c>
      <c r="I53" s="270">
        <v>0</v>
      </c>
      <c r="J53" s="270">
        <v>0</v>
      </c>
      <c r="K53" s="270">
        <v>0</v>
      </c>
      <c r="L53" s="270">
        <v>0</v>
      </c>
      <c r="M53" s="270">
        <v>0</v>
      </c>
      <c r="N53" s="270">
        <v>0</v>
      </c>
      <c r="O53" s="270">
        <v>81274</v>
      </c>
      <c r="P53" s="270">
        <v>83225</v>
      </c>
      <c r="Q53" s="270">
        <v>25032</v>
      </c>
      <c r="R53" s="270">
        <v>0</v>
      </c>
      <c r="S53" s="270">
        <v>33572</v>
      </c>
      <c r="T53" s="270">
        <v>0</v>
      </c>
      <c r="U53" s="270">
        <v>0</v>
      </c>
      <c r="V53" s="270">
        <v>55678</v>
      </c>
      <c r="W53" s="270">
        <v>0</v>
      </c>
      <c r="X53" s="270">
        <v>0</v>
      </c>
      <c r="Y53" s="270">
        <v>94798</v>
      </c>
      <c r="Z53" s="270">
        <v>0</v>
      </c>
      <c r="AA53" s="270">
        <v>5071</v>
      </c>
      <c r="AB53" s="270">
        <v>0</v>
      </c>
      <c r="AC53" s="270">
        <v>5332</v>
      </c>
      <c r="AD53" s="270">
        <v>0</v>
      </c>
      <c r="AE53" s="270">
        <v>0</v>
      </c>
      <c r="AF53" s="270">
        <v>0</v>
      </c>
      <c r="AG53" s="270">
        <v>174945</v>
      </c>
      <c r="AH53" s="270">
        <v>0</v>
      </c>
      <c r="AI53" s="270">
        <v>0</v>
      </c>
      <c r="AJ53" s="270">
        <v>636841</v>
      </c>
      <c r="AK53" s="270">
        <v>0</v>
      </c>
      <c r="AL53" s="270">
        <v>0</v>
      </c>
      <c r="AM53" s="270">
        <v>0</v>
      </c>
      <c r="AN53" s="270">
        <v>0</v>
      </c>
      <c r="AO53" s="270">
        <v>0</v>
      </c>
      <c r="AP53" s="270">
        <v>0</v>
      </c>
      <c r="AQ53" s="270">
        <v>0</v>
      </c>
      <c r="AR53" s="270">
        <v>0</v>
      </c>
      <c r="AS53" s="270">
        <v>0</v>
      </c>
      <c r="AT53" s="270">
        <v>0</v>
      </c>
      <c r="AU53" s="270">
        <v>0</v>
      </c>
      <c r="AV53" s="270">
        <v>13589</v>
      </c>
      <c r="AW53" s="270">
        <v>0</v>
      </c>
      <c r="AX53" s="270">
        <v>0</v>
      </c>
      <c r="AY53" s="270">
        <v>67967</v>
      </c>
      <c r="AZ53" s="270">
        <v>0</v>
      </c>
      <c r="BA53" s="270">
        <v>14456</v>
      </c>
      <c r="BB53" s="270">
        <v>2102</v>
      </c>
      <c r="BC53" s="270">
        <v>0</v>
      </c>
      <c r="BD53" s="270">
        <v>0</v>
      </c>
      <c r="BE53" s="270">
        <v>168812</v>
      </c>
      <c r="BF53" s="270">
        <v>2406</v>
      </c>
      <c r="BG53" s="270">
        <v>0</v>
      </c>
      <c r="BH53" s="270">
        <v>0</v>
      </c>
      <c r="BI53" s="270">
        <v>0</v>
      </c>
      <c r="BJ53" s="270">
        <v>0</v>
      </c>
      <c r="BK53" s="270">
        <v>45600</v>
      </c>
      <c r="BL53" s="270">
        <v>0</v>
      </c>
      <c r="BM53" s="270">
        <v>0</v>
      </c>
      <c r="BN53" s="270">
        <v>358906</v>
      </c>
      <c r="BO53" s="270">
        <v>0</v>
      </c>
      <c r="BP53" s="270">
        <v>0</v>
      </c>
      <c r="BQ53" s="270">
        <v>0</v>
      </c>
      <c r="BR53" s="270">
        <v>0</v>
      </c>
      <c r="BS53" s="270">
        <v>0</v>
      </c>
      <c r="BT53" s="270">
        <v>0</v>
      </c>
      <c r="BU53" s="270">
        <v>0</v>
      </c>
      <c r="BV53" s="270">
        <v>57585</v>
      </c>
      <c r="BW53" s="270">
        <v>0</v>
      </c>
      <c r="BX53" s="270">
        <v>0</v>
      </c>
      <c r="BY53" s="270">
        <v>4053</v>
      </c>
      <c r="BZ53" s="270">
        <v>0</v>
      </c>
      <c r="CA53" s="270">
        <v>0</v>
      </c>
      <c r="CB53" s="270">
        <v>0</v>
      </c>
      <c r="CC53" s="270">
        <v>28478</v>
      </c>
      <c r="CD53" s="270">
        <f>IF($B$53,ROUND(($B$53/($CE$91+$CF$91)*CD91),0))</f>
        <v>0</v>
      </c>
      <c r="CE53" s="32">
        <f>SUM(C53:CD53)</f>
        <v>2432715</v>
      </c>
    </row>
    <row r="54" spans="1:83" x14ac:dyDescent="0.25">
      <c r="A54" s="20" t="s">
        <v>218</v>
      </c>
      <c r="B54" s="270">
        <f>B52+B53</f>
        <v>2432714.91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2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2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2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2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2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25">
      <c r="A60" s="39" t="s">
        <v>246</v>
      </c>
      <c r="B60" s="32"/>
      <c r="C60" s="213">
        <v>2105</v>
      </c>
      <c r="D60" s="213"/>
      <c r="E60" s="213">
        <v>4649</v>
      </c>
      <c r="F60" s="213"/>
      <c r="G60" s="213"/>
      <c r="H60" s="213"/>
      <c r="I60" s="213"/>
      <c r="J60" s="213">
        <v>393</v>
      </c>
      <c r="K60" s="213"/>
      <c r="L60" s="213"/>
      <c r="M60" s="213"/>
      <c r="N60" s="213"/>
      <c r="O60" s="213">
        <v>261</v>
      </c>
      <c r="P60" s="214">
        <v>154239</v>
      </c>
      <c r="Q60" s="214"/>
      <c r="R60" s="214"/>
      <c r="S60" s="263"/>
      <c r="T60" s="263"/>
      <c r="U60" s="227">
        <v>155588</v>
      </c>
      <c r="V60" s="214">
        <v>1084</v>
      </c>
      <c r="W60" s="214">
        <v>1281</v>
      </c>
      <c r="X60" s="214">
        <v>5553</v>
      </c>
      <c r="Y60" s="214">
        <v>18898</v>
      </c>
      <c r="Z60" s="214"/>
      <c r="AA60" s="214">
        <v>528</v>
      </c>
      <c r="AB60" s="263"/>
      <c r="AC60" s="214">
        <v>15574</v>
      </c>
      <c r="AD60" s="214"/>
      <c r="AE60" s="214">
        <v>7617</v>
      </c>
      <c r="AF60" s="214"/>
      <c r="AG60" s="214">
        <v>13913</v>
      </c>
      <c r="AH60" s="214"/>
      <c r="AI60" s="214">
        <v>3099</v>
      </c>
      <c r="AJ60" s="214">
        <v>43908</v>
      </c>
      <c r="AK60" s="214"/>
      <c r="AL60" s="214">
        <v>8232</v>
      </c>
      <c r="AM60" s="214"/>
      <c r="AN60" s="214"/>
      <c r="AO60" s="214">
        <v>14352</v>
      </c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26443</v>
      </c>
      <c r="AZ60" s="214"/>
      <c r="BA60" s="263"/>
      <c r="BB60" s="263"/>
      <c r="BC60" s="263"/>
      <c r="BD60" s="263"/>
      <c r="BE60" s="214">
        <v>112246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25">
      <c r="A61" s="241" t="s">
        <v>247</v>
      </c>
      <c r="B61" s="242"/>
      <c r="C61" s="243">
        <v>14.11</v>
      </c>
      <c r="D61" s="243"/>
      <c r="E61" s="243">
        <v>34.25</v>
      </c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>
        <v>10.65</v>
      </c>
      <c r="Q61" s="244">
        <v>2.44</v>
      </c>
      <c r="R61" s="244"/>
      <c r="S61" s="245">
        <v>1.78</v>
      </c>
      <c r="T61" s="245"/>
      <c r="U61" s="246">
        <v>23.39</v>
      </c>
      <c r="V61" s="244">
        <v>1.83</v>
      </c>
      <c r="W61" s="244">
        <v>1.99</v>
      </c>
      <c r="X61" s="244">
        <v>4.3899999999999997</v>
      </c>
      <c r="Y61" s="244">
        <v>17.990000000000002</v>
      </c>
      <c r="Z61" s="244"/>
      <c r="AA61" s="244">
        <v>0.97</v>
      </c>
      <c r="AB61" s="245">
        <v>7.89</v>
      </c>
      <c r="AC61" s="244"/>
      <c r="AD61" s="244"/>
      <c r="AE61" s="244">
        <v>5.1100000000000003</v>
      </c>
      <c r="AF61" s="244"/>
      <c r="AG61" s="244">
        <v>19.89</v>
      </c>
      <c r="AH61" s="244"/>
      <c r="AI61" s="244">
        <v>6.19</v>
      </c>
      <c r="AJ61" s="244">
        <v>69.27000000000001</v>
      </c>
      <c r="AK61" s="244"/>
      <c r="AL61" s="244">
        <v>2.19</v>
      </c>
      <c r="AM61" s="244"/>
      <c r="AN61" s="244"/>
      <c r="AO61" s="244"/>
      <c r="AP61" s="244"/>
      <c r="AQ61" s="244"/>
      <c r="AR61" s="244"/>
      <c r="AS61" s="244"/>
      <c r="AT61" s="244"/>
      <c r="AU61" s="244"/>
      <c r="AV61" s="245">
        <v>11.78</v>
      </c>
      <c r="AW61" s="245"/>
      <c r="AX61" s="245"/>
      <c r="AY61" s="244">
        <v>8.08</v>
      </c>
      <c r="AZ61" s="244"/>
      <c r="BA61" s="245"/>
      <c r="BB61" s="245">
        <v>2.0099999999999998</v>
      </c>
      <c r="BC61" s="245"/>
      <c r="BD61" s="245">
        <v>4.63</v>
      </c>
      <c r="BE61" s="244">
        <v>4.12</v>
      </c>
      <c r="BF61" s="245">
        <v>19.53</v>
      </c>
      <c r="BG61" s="245"/>
      <c r="BH61" s="245">
        <v>16.77</v>
      </c>
      <c r="BI61" s="245">
        <v>0.92</v>
      </c>
      <c r="BJ61" s="245"/>
      <c r="BK61" s="245"/>
      <c r="BL61" s="245">
        <v>19.09</v>
      </c>
      <c r="BM61" s="245">
        <v>4.7</v>
      </c>
      <c r="BN61" s="245">
        <v>0.95</v>
      </c>
      <c r="BO61" s="245"/>
      <c r="BP61" s="245"/>
      <c r="BQ61" s="245">
        <v>1.1299999999999999</v>
      </c>
      <c r="BR61" s="245">
        <v>1.83</v>
      </c>
      <c r="BS61" s="245"/>
      <c r="BT61" s="245"/>
      <c r="BU61" s="245"/>
      <c r="BV61" s="245">
        <v>7.78</v>
      </c>
      <c r="BW61" s="245"/>
      <c r="BX61" s="245"/>
      <c r="BY61" s="245">
        <v>4.53</v>
      </c>
      <c r="BZ61" s="245"/>
      <c r="CA61" s="245"/>
      <c r="CB61" s="245"/>
      <c r="CC61" s="245">
        <v>20.62</v>
      </c>
      <c r="CD61" s="247" t="s">
        <v>233</v>
      </c>
      <c r="CE61" s="268">
        <f t="shared" ref="CE61:CE69" si="0">SUM(C61:CD61)</f>
        <v>352.7999999999999</v>
      </c>
    </row>
    <row r="62" spans="1:83" x14ac:dyDescent="0.25">
      <c r="A62" s="39" t="s">
        <v>248</v>
      </c>
      <c r="B62" s="20"/>
      <c r="C62" s="213">
        <v>1426224</v>
      </c>
      <c r="D62" s="213"/>
      <c r="E62" s="213">
        <v>3194014</v>
      </c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>
        <v>843898</v>
      </c>
      <c r="Q62" s="214">
        <v>323010</v>
      </c>
      <c r="R62" s="214"/>
      <c r="S62" s="228">
        <v>121343</v>
      </c>
      <c r="T62" s="228"/>
      <c r="U62" s="227">
        <v>1367664</v>
      </c>
      <c r="V62" s="214">
        <v>185736</v>
      </c>
      <c r="W62" s="214">
        <v>191095</v>
      </c>
      <c r="X62" s="214">
        <v>386344</v>
      </c>
      <c r="Y62" s="214">
        <v>2497497</v>
      </c>
      <c r="Z62" s="214"/>
      <c r="AA62" s="214">
        <v>147905</v>
      </c>
      <c r="AB62" s="240">
        <v>745624</v>
      </c>
      <c r="AC62" s="214">
        <v>299</v>
      </c>
      <c r="AD62" s="214"/>
      <c r="AE62" s="214">
        <v>309570</v>
      </c>
      <c r="AF62" s="214"/>
      <c r="AG62" s="214">
        <v>2292001</v>
      </c>
      <c r="AH62" s="214"/>
      <c r="AI62" s="214">
        <v>627698</v>
      </c>
      <c r="AJ62" s="214">
        <v>6238726</v>
      </c>
      <c r="AK62" s="214"/>
      <c r="AL62" s="214">
        <v>123117</v>
      </c>
      <c r="AM62" s="214"/>
      <c r="AN62" s="214"/>
      <c r="AO62" s="214"/>
      <c r="AP62" s="214"/>
      <c r="AQ62" s="214"/>
      <c r="AR62" s="214"/>
      <c r="AS62" s="214"/>
      <c r="AT62" s="214"/>
      <c r="AU62" s="214"/>
      <c r="AV62" s="228">
        <v>1786951</v>
      </c>
      <c r="AW62" s="228"/>
      <c r="AX62" s="228"/>
      <c r="AY62" s="214">
        <v>294042</v>
      </c>
      <c r="AZ62" s="214"/>
      <c r="BA62" s="228"/>
      <c r="BB62" s="228">
        <v>139014</v>
      </c>
      <c r="BC62" s="228"/>
      <c r="BD62" s="228">
        <v>222930</v>
      </c>
      <c r="BE62" s="214">
        <v>262089</v>
      </c>
      <c r="BF62" s="228">
        <v>706439</v>
      </c>
      <c r="BG62" s="228"/>
      <c r="BH62" s="228">
        <v>1056335</v>
      </c>
      <c r="BI62" s="228">
        <v>134729</v>
      </c>
      <c r="BJ62" s="228"/>
      <c r="BK62" s="228"/>
      <c r="BL62" s="228">
        <v>717428</v>
      </c>
      <c r="BM62" s="228">
        <v>290786</v>
      </c>
      <c r="BN62" s="228">
        <v>99240</v>
      </c>
      <c r="BO62" s="228"/>
      <c r="BP62" s="228"/>
      <c r="BQ62" s="228">
        <v>78721</v>
      </c>
      <c r="BR62" s="228">
        <v>14778</v>
      </c>
      <c r="BS62" s="228"/>
      <c r="BT62" s="228"/>
      <c r="BU62" s="228"/>
      <c r="BV62" s="228">
        <v>320701</v>
      </c>
      <c r="BW62" s="228"/>
      <c r="BX62" s="228"/>
      <c r="BY62" s="228">
        <v>394270</v>
      </c>
      <c r="BZ62" s="228"/>
      <c r="CA62" s="228"/>
      <c r="CB62" s="228"/>
      <c r="CC62" s="228">
        <v>274179</v>
      </c>
      <c r="CD62" s="29" t="s">
        <v>233</v>
      </c>
      <c r="CE62" s="32">
        <f t="shared" si="0"/>
        <v>27814397</v>
      </c>
    </row>
    <row r="63" spans="1:83" x14ac:dyDescent="0.25">
      <c r="A63" s="39" t="s">
        <v>9</v>
      </c>
      <c r="B63" s="20"/>
      <c r="C63" s="269">
        <f>ROUND(C48+C49,0)</f>
        <v>248744</v>
      </c>
      <c r="D63" s="269">
        <f t="shared" ref="D63:BO63" si="1">ROUND(D48+D49,0)</f>
        <v>0</v>
      </c>
      <c r="E63" s="269">
        <f t="shared" si="1"/>
        <v>581753</v>
      </c>
      <c r="F63" s="269">
        <f t="shared" si="1"/>
        <v>0</v>
      </c>
      <c r="G63" s="269">
        <f t="shared" si="1"/>
        <v>0</v>
      </c>
      <c r="H63" s="269">
        <f t="shared" si="1"/>
        <v>0</v>
      </c>
      <c r="I63" s="269">
        <f t="shared" si="1"/>
        <v>0</v>
      </c>
      <c r="J63" s="269">
        <f t="shared" si="1"/>
        <v>0</v>
      </c>
      <c r="K63" s="269">
        <f t="shared" si="1"/>
        <v>0</v>
      </c>
      <c r="L63" s="269">
        <f t="shared" si="1"/>
        <v>0</v>
      </c>
      <c r="M63" s="269">
        <f t="shared" si="1"/>
        <v>0</v>
      </c>
      <c r="N63" s="269">
        <f t="shared" si="1"/>
        <v>0</v>
      </c>
      <c r="O63" s="269">
        <f t="shared" si="1"/>
        <v>0</v>
      </c>
      <c r="P63" s="269">
        <f t="shared" si="1"/>
        <v>149715</v>
      </c>
      <c r="Q63" s="269">
        <f t="shared" si="1"/>
        <v>52259</v>
      </c>
      <c r="R63" s="269">
        <f t="shared" si="1"/>
        <v>0</v>
      </c>
      <c r="S63" s="269">
        <f t="shared" si="1"/>
        <v>21555</v>
      </c>
      <c r="T63" s="269">
        <f t="shared" si="1"/>
        <v>0</v>
      </c>
      <c r="U63" s="269">
        <f t="shared" si="1"/>
        <v>229704</v>
      </c>
      <c r="V63" s="269">
        <f t="shared" si="1"/>
        <v>32812</v>
      </c>
      <c r="W63" s="269">
        <f t="shared" si="1"/>
        <v>33661</v>
      </c>
      <c r="X63" s="269">
        <f t="shared" si="1"/>
        <v>59562</v>
      </c>
      <c r="Y63" s="269">
        <f t="shared" si="1"/>
        <v>399432</v>
      </c>
      <c r="Z63" s="269">
        <f t="shared" si="1"/>
        <v>0</v>
      </c>
      <c r="AA63" s="269">
        <f t="shared" si="1"/>
        <v>27410</v>
      </c>
      <c r="AB63" s="269">
        <f t="shared" si="1"/>
        <v>130785</v>
      </c>
      <c r="AC63" s="269">
        <f t="shared" si="1"/>
        <v>37</v>
      </c>
      <c r="AD63" s="269">
        <f t="shared" si="1"/>
        <v>0</v>
      </c>
      <c r="AE63" s="269">
        <f t="shared" si="1"/>
        <v>56770</v>
      </c>
      <c r="AF63" s="269">
        <f t="shared" si="1"/>
        <v>0</v>
      </c>
      <c r="AG63" s="269">
        <f t="shared" si="1"/>
        <v>398234</v>
      </c>
      <c r="AH63" s="269">
        <f t="shared" si="1"/>
        <v>0</v>
      </c>
      <c r="AI63" s="269">
        <f t="shared" si="1"/>
        <v>105009</v>
      </c>
      <c r="AJ63" s="269">
        <f t="shared" si="1"/>
        <v>1087301</v>
      </c>
      <c r="AK63" s="269">
        <f t="shared" si="1"/>
        <v>0</v>
      </c>
      <c r="AL63" s="269">
        <f t="shared" si="1"/>
        <v>21813</v>
      </c>
      <c r="AM63" s="269">
        <f t="shared" si="1"/>
        <v>0</v>
      </c>
      <c r="AN63" s="269">
        <f t="shared" si="1"/>
        <v>0</v>
      </c>
      <c r="AO63" s="269">
        <f t="shared" si="1"/>
        <v>0</v>
      </c>
      <c r="AP63" s="269">
        <f t="shared" si="1"/>
        <v>0</v>
      </c>
      <c r="AQ63" s="269">
        <f t="shared" si="1"/>
        <v>0</v>
      </c>
      <c r="AR63" s="269">
        <f t="shared" si="1"/>
        <v>0</v>
      </c>
      <c r="AS63" s="269">
        <f t="shared" si="1"/>
        <v>0</v>
      </c>
      <c r="AT63" s="269">
        <f t="shared" si="1"/>
        <v>0</v>
      </c>
      <c r="AU63" s="269">
        <f t="shared" si="1"/>
        <v>0</v>
      </c>
      <c r="AV63" s="269">
        <f t="shared" si="1"/>
        <v>304621</v>
      </c>
      <c r="AW63" s="269">
        <f t="shared" si="1"/>
        <v>0</v>
      </c>
      <c r="AX63" s="269">
        <f t="shared" si="1"/>
        <v>0</v>
      </c>
      <c r="AY63" s="269">
        <f t="shared" si="1"/>
        <v>54461</v>
      </c>
      <c r="AZ63" s="269">
        <f t="shared" si="1"/>
        <v>0</v>
      </c>
      <c r="BA63" s="269">
        <f t="shared" si="1"/>
        <v>0</v>
      </c>
      <c r="BB63" s="269">
        <f t="shared" si="1"/>
        <v>20713</v>
      </c>
      <c r="BC63" s="269">
        <f t="shared" si="1"/>
        <v>0</v>
      </c>
      <c r="BD63" s="269">
        <f t="shared" si="1"/>
        <v>44248</v>
      </c>
      <c r="BE63" s="269">
        <f t="shared" si="1"/>
        <v>53084</v>
      </c>
      <c r="BF63" s="269">
        <f t="shared" si="1"/>
        <v>139005</v>
      </c>
      <c r="BG63" s="269">
        <f t="shared" si="1"/>
        <v>0</v>
      </c>
      <c r="BH63" s="269">
        <f t="shared" si="1"/>
        <v>210707</v>
      </c>
      <c r="BI63" s="269">
        <f t="shared" si="1"/>
        <v>20102</v>
      </c>
      <c r="BJ63" s="269">
        <f t="shared" si="1"/>
        <v>0</v>
      </c>
      <c r="BK63" s="269">
        <f t="shared" si="1"/>
        <v>0</v>
      </c>
      <c r="BL63" s="269">
        <f t="shared" si="1"/>
        <v>139889</v>
      </c>
      <c r="BM63" s="269">
        <f t="shared" si="1"/>
        <v>59370</v>
      </c>
      <c r="BN63" s="269">
        <f t="shared" si="1"/>
        <v>18693</v>
      </c>
      <c r="BO63" s="269">
        <f t="shared" si="1"/>
        <v>0</v>
      </c>
      <c r="BP63" s="269">
        <f t="shared" ref="BP63:CC63" si="2">ROUND(BP48+BP49,0)</f>
        <v>0</v>
      </c>
      <c r="BQ63" s="269">
        <f t="shared" si="2"/>
        <v>14700</v>
      </c>
      <c r="BR63" s="269">
        <f t="shared" si="2"/>
        <v>2213</v>
      </c>
      <c r="BS63" s="269">
        <f t="shared" si="2"/>
        <v>0</v>
      </c>
      <c r="BT63" s="269">
        <f t="shared" si="2"/>
        <v>0</v>
      </c>
      <c r="BU63" s="269">
        <f t="shared" si="2"/>
        <v>0</v>
      </c>
      <c r="BV63" s="269">
        <f t="shared" si="2"/>
        <v>69690</v>
      </c>
      <c r="BW63" s="269">
        <f t="shared" si="2"/>
        <v>0</v>
      </c>
      <c r="BX63" s="269">
        <f t="shared" si="2"/>
        <v>0</v>
      </c>
      <c r="BY63" s="269">
        <f t="shared" si="2"/>
        <v>68237</v>
      </c>
      <c r="BZ63" s="269">
        <f t="shared" si="2"/>
        <v>0</v>
      </c>
      <c r="CA63" s="269">
        <f t="shared" si="2"/>
        <v>0</v>
      </c>
      <c r="CB63" s="269">
        <f t="shared" si="2"/>
        <v>0</v>
      </c>
      <c r="CC63" s="269">
        <f t="shared" si="2"/>
        <v>46331</v>
      </c>
      <c r="CD63" s="29" t="s">
        <v>233</v>
      </c>
      <c r="CE63" s="32">
        <f t="shared" si="0"/>
        <v>4902620</v>
      </c>
    </row>
    <row r="64" spans="1:83" x14ac:dyDescent="0.2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>
        <v>18258</v>
      </c>
      <c r="Q64" s="214"/>
      <c r="R64" s="214"/>
      <c r="S64" s="228"/>
      <c r="T64" s="228"/>
      <c r="U64" s="227">
        <v>57705</v>
      </c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>
        <v>541248</v>
      </c>
      <c r="AH64" s="214"/>
      <c r="AI64" s="214"/>
      <c r="AJ64" s="214">
        <v>415634</v>
      </c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>
        <v>591707</v>
      </c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>
        <v>35125</v>
      </c>
      <c r="BN64" s="228">
        <v>55415</v>
      </c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>
        <v>115291</v>
      </c>
      <c r="CD64" s="29" t="s">
        <v>233</v>
      </c>
      <c r="CE64" s="32">
        <f t="shared" si="0"/>
        <v>1830383</v>
      </c>
    </row>
    <row r="65" spans="1:83" x14ac:dyDescent="0.25">
      <c r="A65" s="39" t="s">
        <v>250</v>
      </c>
      <c r="B65" s="20"/>
      <c r="C65" s="213">
        <v>163212</v>
      </c>
      <c r="D65" s="213"/>
      <c r="E65" s="213">
        <v>353232</v>
      </c>
      <c r="F65" s="213"/>
      <c r="G65" s="213"/>
      <c r="H65" s="213"/>
      <c r="I65" s="213"/>
      <c r="J65" s="213">
        <v>294</v>
      </c>
      <c r="K65" s="213"/>
      <c r="L65" s="213"/>
      <c r="M65" s="213"/>
      <c r="N65" s="213"/>
      <c r="O65" s="213"/>
      <c r="P65" s="214">
        <v>3398139</v>
      </c>
      <c r="Q65" s="214">
        <v>27360</v>
      </c>
      <c r="R65" s="214">
        <v>78958</v>
      </c>
      <c r="S65" s="228">
        <v>93171</v>
      </c>
      <c r="T65" s="228">
        <v>152900</v>
      </c>
      <c r="U65" s="227">
        <v>1749054</v>
      </c>
      <c r="V65" s="214">
        <v>205</v>
      </c>
      <c r="W65" s="214">
        <v>15505</v>
      </c>
      <c r="X65" s="214">
        <v>20955</v>
      </c>
      <c r="Y65" s="214">
        <v>961191</v>
      </c>
      <c r="Z65" s="214"/>
      <c r="AA65" s="214">
        <v>119196</v>
      </c>
      <c r="AB65" s="240">
        <v>5706178</v>
      </c>
      <c r="AC65" s="214">
        <v>92726</v>
      </c>
      <c r="AD65" s="214"/>
      <c r="AE65" s="214">
        <v>4912</v>
      </c>
      <c r="AF65" s="214"/>
      <c r="AG65" s="214">
        <v>487251</v>
      </c>
      <c r="AH65" s="214"/>
      <c r="AI65" s="214">
        <v>97557</v>
      </c>
      <c r="AJ65" s="214">
        <v>625933</v>
      </c>
      <c r="AK65" s="214"/>
      <c r="AL65" s="214">
        <v>52410</v>
      </c>
      <c r="AM65" s="214"/>
      <c r="AN65" s="214"/>
      <c r="AO65" s="214"/>
      <c r="AP65" s="214"/>
      <c r="AQ65" s="214"/>
      <c r="AR65" s="214"/>
      <c r="AS65" s="214"/>
      <c r="AT65" s="214"/>
      <c r="AU65" s="214"/>
      <c r="AV65" s="228">
        <v>14526</v>
      </c>
      <c r="AW65" s="228"/>
      <c r="AX65" s="228"/>
      <c r="AY65" s="214">
        <v>363430</v>
      </c>
      <c r="AZ65" s="214"/>
      <c r="BA65" s="228">
        <v>1189</v>
      </c>
      <c r="BB65" s="228">
        <v>277</v>
      </c>
      <c r="BC65" s="228"/>
      <c r="BD65" s="228">
        <v>32785</v>
      </c>
      <c r="BE65" s="214">
        <v>37652</v>
      </c>
      <c r="BF65" s="228">
        <v>53500</v>
      </c>
      <c r="BG65" s="228"/>
      <c r="BH65" s="228">
        <v>223946</v>
      </c>
      <c r="BI65" s="228">
        <v>4636</v>
      </c>
      <c r="BJ65" s="228"/>
      <c r="BK65" s="228"/>
      <c r="BL65" s="228">
        <v>19863</v>
      </c>
      <c r="BM65" s="228">
        <v>4939</v>
      </c>
      <c r="BN65" s="228">
        <v>20776</v>
      </c>
      <c r="BO65" s="228"/>
      <c r="BP65" s="228"/>
      <c r="BQ65" s="228">
        <v>5885</v>
      </c>
      <c r="BR65" s="228">
        <v>5391</v>
      </c>
      <c r="BS65" s="228"/>
      <c r="BT65" s="228"/>
      <c r="BU65" s="228"/>
      <c r="BV65" s="228">
        <v>13755</v>
      </c>
      <c r="BW65" s="228"/>
      <c r="BX65" s="228"/>
      <c r="BY65" s="228">
        <v>3693</v>
      </c>
      <c r="BZ65" s="228"/>
      <c r="CA65" s="228"/>
      <c r="CB65" s="228"/>
      <c r="CC65" s="228">
        <v>12796</v>
      </c>
      <c r="CD65" s="29" t="s">
        <v>233</v>
      </c>
      <c r="CE65" s="32">
        <f t="shared" si="0"/>
        <v>15019378</v>
      </c>
    </row>
    <row r="66" spans="1:83" x14ac:dyDescent="0.2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>
        <v>39</v>
      </c>
      <c r="V66" s="214"/>
      <c r="W66" s="214"/>
      <c r="X66" s="214"/>
      <c r="Y66" s="214">
        <v>4057</v>
      </c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>
        <v>146668</v>
      </c>
      <c r="AK66" s="214"/>
      <c r="AL66" s="214">
        <v>17758</v>
      </c>
      <c r="AM66" s="214"/>
      <c r="AN66" s="214"/>
      <c r="AO66" s="214"/>
      <c r="AP66" s="214"/>
      <c r="AQ66" s="214"/>
      <c r="AR66" s="214"/>
      <c r="AS66" s="214"/>
      <c r="AT66" s="214"/>
      <c r="AU66" s="214"/>
      <c r="AV66" s="228">
        <v>5399</v>
      </c>
      <c r="AW66" s="228"/>
      <c r="AX66" s="228"/>
      <c r="AY66" s="214">
        <v>120</v>
      </c>
      <c r="AZ66" s="214"/>
      <c r="BA66" s="228"/>
      <c r="BB66" s="228"/>
      <c r="BC66" s="228"/>
      <c r="BD66" s="228"/>
      <c r="BE66" s="214">
        <v>431572</v>
      </c>
      <c r="BF66" s="228"/>
      <c r="BG66" s="228"/>
      <c r="BH66" s="228">
        <v>331140</v>
      </c>
      <c r="BI66" s="228">
        <v>2569</v>
      </c>
      <c r="BJ66" s="228"/>
      <c r="BK66" s="228"/>
      <c r="BL66" s="228">
        <v>180</v>
      </c>
      <c r="BM66" s="228"/>
      <c r="BN66" s="228">
        <v>115</v>
      </c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>
        <v>1453</v>
      </c>
      <c r="CD66" s="29" t="s">
        <v>233</v>
      </c>
      <c r="CE66" s="32">
        <f t="shared" si="0"/>
        <v>941070</v>
      </c>
    </row>
    <row r="67" spans="1:83" x14ac:dyDescent="0.25">
      <c r="A67" s="39" t="s">
        <v>252</v>
      </c>
      <c r="B67" s="20"/>
      <c r="C67" s="213">
        <v>1237251</v>
      </c>
      <c r="D67" s="213"/>
      <c r="E67" s="213">
        <v>2326718</v>
      </c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>
        <v>429795</v>
      </c>
      <c r="Q67" s="214">
        <v>68720</v>
      </c>
      <c r="R67" s="214">
        <v>1083609</v>
      </c>
      <c r="S67" s="228">
        <v>62342</v>
      </c>
      <c r="T67" s="228">
        <v>-829</v>
      </c>
      <c r="U67" s="227">
        <v>1513980</v>
      </c>
      <c r="V67" s="214">
        <v>9138</v>
      </c>
      <c r="W67" s="214">
        <v>112696</v>
      </c>
      <c r="X67" s="214">
        <v>85870</v>
      </c>
      <c r="Y67" s="214">
        <v>861710</v>
      </c>
      <c r="Z67" s="214"/>
      <c r="AA67" s="214">
        <v>64747</v>
      </c>
      <c r="AB67" s="240">
        <v>189976</v>
      </c>
      <c r="AC67" s="214">
        <v>609711</v>
      </c>
      <c r="AD67" s="214">
        <v>317310</v>
      </c>
      <c r="AE67" s="214">
        <v>119917</v>
      </c>
      <c r="AF67" s="214"/>
      <c r="AG67" s="214">
        <v>1472404</v>
      </c>
      <c r="AH67" s="214"/>
      <c r="AI67" s="214">
        <v>1450</v>
      </c>
      <c r="AJ67" s="214">
        <v>2786492</v>
      </c>
      <c r="AK67" s="214"/>
      <c r="AL67" s="214">
        <v>12085</v>
      </c>
      <c r="AM67" s="214"/>
      <c r="AN67" s="214"/>
      <c r="AO67" s="214"/>
      <c r="AP67" s="214"/>
      <c r="AQ67" s="214"/>
      <c r="AR67" s="214"/>
      <c r="AS67" s="214"/>
      <c r="AT67" s="214"/>
      <c r="AU67" s="214"/>
      <c r="AV67" s="228">
        <v>242887</v>
      </c>
      <c r="AW67" s="228"/>
      <c r="AX67" s="228"/>
      <c r="AY67" s="214">
        <v>10387</v>
      </c>
      <c r="AZ67" s="214"/>
      <c r="BA67" s="228">
        <v>219615</v>
      </c>
      <c r="BB67" s="228">
        <v>35</v>
      </c>
      <c r="BC67" s="228"/>
      <c r="BD67" s="228">
        <v>2033</v>
      </c>
      <c r="BE67" s="214">
        <v>509508</v>
      </c>
      <c r="BF67" s="228">
        <v>152497</v>
      </c>
      <c r="BG67" s="228"/>
      <c r="BH67" s="228">
        <v>-20366</v>
      </c>
      <c r="BI67" s="228">
        <v>38055</v>
      </c>
      <c r="BJ67" s="228"/>
      <c r="BK67" s="228"/>
      <c r="BL67" s="228">
        <v>36</v>
      </c>
      <c r="BM67" s="228">
        <v>2956</v>
      </c>
      <c r="BN67" s="228">
        <v>12448168</v>
      </c>
      <c r="BO67" s="228"/>
      <c r="BP67" s="228"/>
      <c r="BQ67" s="228">
        <v>950</v>
      </c>
      <c r="BR67" s="228">
        <v>45242</v>
      </c>
      <c r="BS67" s="228"/>
      <c r="BT67" s="228"/>
      <c r="BU67" s="228"/>
      <c r="BV67" s="228">
        <v>271291</v>
      </c>
      <c r="BW67" s="228"/>
      <c r="BX67" s="228"/>
      <c r="BY67" s="228">
        <v>687917</v>
      </c>
      <c r="BZ67" s="228"/>
      <c r="CA67" s="228"/>
      <c r="CB67" s="228"/>
      <c r="CC67" s="228">
        <v>242397</v>
      </c>
      <c r="CD67" s="29" t="s">
        <v>233</v>
      </c>
      <c r="CE67" s="32">
        <f t="shared" si="0"/>
        <v>28218700</v>
      </c>
    </row>
    <row r="68" spans="1:83" x14ac:dyDescent="0.25">
      <c r="A68" s="39" t="s">
        <v>11</v>
      </c>
      <c r="B68" s="20"/>
      <c r="C68" s="32">
        <f t="shared" ref="C68:BN68" si="3">ROUND(C52+C53,0)</f>
        <v>48439</v>
      </c>
      <c r="D68" s="32">
        <f t="shared" si="3"/>
        <v>0</v>
      </c>
      <c r="E68" s="32">
        <f t="shared" si="3"/>
        <v>424554</v>
      </c>
      <c r="F68" s="32">
        <f t="shared" si="3"/>
        <v>0</v>
      </c>
      <c r="G68" s="32">
        <f t="shared" si="3"/>
        <v>0</v>
      </c>
      <c r="H68" s="32">
        <f t="shared" si="3"/>
        <v>0</v>
      </c>
      <c r="I68" s="32">
        <f t="shared" si="3"/>
        <v>0</v>
      </c>
      <c r="J68" s="32">
        <f t="shared" si="3"/>
        <v>0</v>
      </c>
      <c r="K68" s="32">
        <f t="shared" si="3"/>
        <v>0</v>
      </c>
      <c r="L68" s="32">
        <f t="shared" si="3"/>
        <v>0</v>
      </c>
      <c r="M68" s="32">
        <f t="shared" si="3"/>
        <v>0</v>
      </c>
      <c r="N68" s="32">
        <f t="shared" si="3"/>
        <v>0</v>
      </c>
      <c r="O68" s="32">
        <f t="shared" si="3"/>
        <v>81274</v>
      </c>
      <c r="P68" s="32">
        <f t="shared" si="3"/>
        <v>83225</v>
      </c>
      <c r="Q68" s="32">
        <f t="shared" si="3"/>
        <v>25032</v>
      </c>
      <c r="R68" s="32">
        <f t="shared" si="3"/>
        <v>0</v>
      </c>
      <c r="S68" s="32">
        <f t="shared" si="3"/>
        <v>33572</v>
      </c>
      <c r="T68" s="32">
        <f t="shared" si="3"/>
        <v>0</v>
      </c>
      <c r="U68" s="32">
        <f t="shared" si="3"/>
        <v>0</v>
      </c>
      <c r="V68" s="32">
        <f t="shared" si="3"/>
        <v>55678</v>
      </c>
      <c r="W68" s="32">
        <f t="shared" si="3"/>
        <v>0</v>
      </c>
      <c r="X68" s="32">
        <f t="shared" si="3"/>
        <v>0</v>
      </c>
      <c r="Y68" s="32">
        <f t="shared" si="3"/>
        <v>94798</v>
      </c>
      <c r="Z68" s="32">
        <f t="shared" si="3"/>
        <v>0</v>
      </c>
      <c r="AA68" s="32">
        <f t="shared" si="3"/>
        <v>5071</v>
      </c>
      <c r="AB68" s="32">
        <f t="shared" si="3"/>
        <v>0</v>
      </c>
      <c r="AC68" s="32">
        <f t="shared" si="3"/>
        <v>5332</v>
      </c>
      <c r="AD68" s="32">
        <f t="shared" si="3"/>
        <v>0</v>
      </c>
      <c r="AE68" s="32">
        <f t="shared" si="3"/>
        <v>0</v>
      </c>
      <c r="AF68" s="32">
        <f t="shared" si="3"/>
        <v>0</v>
      </c>
      <c r="AG68" s="32">
        <f t="shared" si="3"/>
        <v>174945</v>
      </c>
      <c r="AH68" s="32">
        <f t="shared" si="3"/>
        <v>0</v>
      </c>
      <c r="AI68" s="32">
        <f t="shared" si="3"/>
        <v>0</v>
      </c>
      <c r="AJ68" s="32">
        <f t="shared" si="3"/>
        <v>636841</v>
      </c>
      <c r="AK68" s="32">
        <f t="shared" si="3"/>
        <v>0</v>
      </c>
      <c r="AL68" s="32">
        <f t="shared" si="3"/>
        <v>0</v>
      </c>
      <c r="AM68" s="32">
        <f t="shared" si="3"/>
        <v>0</v>
      </c>
      <c r="AN68" s="32">
        <f t="shared" si="3"/>
        <v>0</v>
      </c>
      <c r="AO68" s="32">
        <f t="shared" si="3"/>
        <v>0</v>
      </c>
      <c r="AP68" s="32">
        <f t="shared" si="3"/>
        <v>0</v>
      </c>
      <c r="AQ68" s="32">
        <f t="shared" si="3"/>
        <v>0</v>
      </c>
      <c r="AR68" s="32">
        <f t="shared" si="3"/>
        <v>0</v>
      </c>
      <c r="AS68" s="32">
        <f t="shared" si="3"/>
        <v>0</v>
      </c>
      <c r="AT68" s="32">
        <f t="shared" si="3"/>
        <v>0</v>
      </c>
      <c r="AU68" s="32">
        <f t="shared" si="3"/>
        <v>0</v>
      </c>
      <c r="AV68" s="32">
        <f t="shared" si="3"/>
        <v>13589</v>
      </c>
      <c r="AW68" s="32">
        <f t="shared" si="3"/>
        <v>0</v>
      </c>
      <c r="AX68" s="32">
        <f t="shared" si="3"/>
        <v>0</v>
      </c>
      <c r="AY68" s="32">
        <f t="shared" si="3"/>
        <v>67967</v>
      </c>
      <c r="AZ68" s="32">
        <f t="shared" si="3"/>
        <v>0</v>
      </c>
      <c r="BA68" s="32">
        <f t="shared" si="3"/>
        <v>14456</v>
      </c>
      <c r="BB68" s="32">
        <f t="shared" si="3"/>
        <v>2102</v>
      </c>
      <c r="BC68" s="32">
        <f t="shared" si="3"/>
        <v>0</v>
      </c>
      <c r="BD68" s="32">
        <f t="shared" si="3"/>
        <v>0</v>
      </c>
      <c r="BE68" s="32">
        <f t="shared" si="3"/>
        <v>168812</v>
      </c>
      <c r="BF68" s="32">
        <f t="shared" si="3"/>
        <v>2406</v>
      </c>
      <c r="BG68" s="32">
        <f t="shared" si="3"/>
        <v>0</v>
      </c>
      <c r="BH68" s="32">
        <f t="shared" si="3"/>
        <v>0</v>
      </c>
      <c r="BI68" s="32">
        <f t="shared" si="3"/>
        <v>0</v>
      </c>
      <c r="BJ68" s="32">
        <f t="shared" si="3"/>
        <v>0</v>
      </c>
      <c r="BK68" s="32">
        <f t="shared" si="3"/>
        <v>45600</v>
      </c>
      <c r="BL68" s="32">
        <f t="shared" si="3"/>
        <v>0</v>
      </c>
      <c r="BM68" s="32">
        <f t="shared" si="3"/>
        <v>0</v>
      </c>
      <c r="BN68" s="32">
        <f t="shared" si="3"/>
        <v>358906</v>
      </c>
      <c r="BO68" s="32">
        <f t="shared" ref="BO68:CC68" si="4">ROUND(BO52+BO53,0)</f>
        <v>0</v>
      </c>
      <c r="BP68" s="32">
        <f t="shared" si="4"/>
        <v>0</v>
      </c>
      <c r="BQ68" s="32">
        <f t="shared" si="4"/>
        <v>0</v>
      </c>
      <c r="BR68" s="32">
        <f t="shared" si="4"/>
        <v>0</v>
      </c>
      <c r="BS68" s="32">
        <f t="shared" si="4"/>
        <v>0</v>
      </c>
      <c r="BT68" s="32">
        <f t="shared" si="4"/>
        <v>0</v>
      </c>
      <c r="BU68" s="32">
        <f t="shared" si="4"/>
        <v>0</v>
      </c>
      <c r="BV68" s="32">
        <f t="shared" si="4"/>
        <v>57585</v>
      </c>
      <c r="BW68" s="32">
        <f t="shared" si="4"/>
        <v>0</v>
      </c>
      <c r="BX68" s="32">
        <f t="shared" si="4"/>
        <v>0</v>
      </c>
      <c r="BY68" s="32">
        <f t="shared" si="4"/>
        <v>4053</v>
      </c>
      <c r="BZ68" s="32">
        <f t="shared" si="4"/>
        <v>0</v>
      </c>
      <c r="CA68" s="32">
        <f t="shared" si="4"/>
        <v>0</v>
      </c>
      <c r="CB68" s="32">
        <f t="shared" si="4"/>
        <v>0</v>
      </c>
      <c r="CC68" s="32">
        <f t="shared" si="4"/>
        <v>28478</v>
      </c>
      <c r="CD68" s="29" t="s">
        <v>233</v>
      </c>
      <c r="CE68" s="32">
        <f t="shared" si="0"/>
        <v>2432715</v>
      </c>
    </row>
    <row r="69" spans="1:83" x14ac:dyDescent="0.25">
      <c r="A69" s="39" t="s">
        <v>253</v>
      </c>
      <c r="B69" s="32"/>
      <c r="C69" s="213">
        <v>15537</v>
      </c>
      <c r="D69" s="213"/>
      <c r="E69" s="213">
        <v>31624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>
        <v>8848</v>
      </c>
      <c r="Q69" s="214"/>
      <c r="R69" s="214"/>
      <c r="S69" s="228"/>
      <c r="T69" s="228"/>
      <c r="U69" s="227">
        <v>20019</v>
      </c>
      <c r="V69" s="214"/>
      <c r="W69" s="214"/>
      <c r="X69" s="214"/>
      <c r="Y69" s="214">
        <v>18216</v>
      </c>
      <c r="Z69" s="214"/>
      <c r="AA69" s="214"/>
      <c r="AB69" s="240">
        <v>119206</v>
      </c>
      <c r="AC69" s="214">
        <v>51508</v>
      </c>
      <c r="AD69" s="214"/>
      <c r="AE69" s="214">
        <v>28939</v>
      </c>
      <c r="AF69" s="214"/>
      <c r="AG69" s="214"/>
      <c r="AH69" s="214"/>
      <c r="AI69" s="214"/>
      <c r="AJ69" s="214">
        <v>408296</v>
      </c>
      <c r="AK69" s="214"/>
      <c r="AL69" s="214">
        <v>16223</v>
      </c>
      <c r="AM69" s="214"/>
      <c r="AN69" s="214"/>
      <c r="AO69" s="214"/>
      <c r="AP69" s="214"/>
      <c r="AQ69" s="214"/>
      <c r="AR69" s="214"/>
      <c r="AS69" s="214"/>
      <c r="AT69" s="214"/>
      <c r="AU69" s="214"/>
      <c r="AV69" s="228">
        <v>4896</v>
      </c>
      <c r="AW69" s="228"/>
      <c r="AX69" s="228"/>
      <c r="AY69" s="214">
        <v>914</v>
      </c>
      <c r="AZ69" s="214"/>
      <c r="BA69" s="228"/>
      <c r="BB69" s="228"/>
      <c r="BC69" s="228"/>
      <c r="BD69" s="228"/>
      <c r="BE69" s="214">
        <v>40822</v>
      </c>
      <c r="BF69" s="228"/>
      <c r="BG69" s="228"/>
      <c r="BH69" s="228">
        <v>73622</v>
      </c>
      <c r="BI69" s="228"/>
      <c r="BJ69" s="228"/>
      <c r="BK69" s="228"/>
      <c r="BL69" s="228"/>
      <c r="BM69" s="228"/>
      <c r="BN69" s="228">
        <v>93080</v>
      </c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0"/>
        <v>931750</v>
      </c>
    </row>
    <row r="70" spans="1:83" x14ac:dyDescent="0.25">
      <c r="A70" s="39" t="s">
        <v>254</v>
      </c>
      <c r="B70" s="20"/>
      <c r="C70" s="32">
        <f t="shared" ref="C70:BN70" si="5">SUM(C71:C84)</f>
        <v>0</v>
      </c>
      <c r="D70" s="32">
        <f t="shared" si="5"/>
        <v>0</v>
      </c>
      <c r="E70" s="32">
        <f t="shared" si="5"/>
        <v>0</v>
      </c>
      <c r="F70" s="32">
        <f t="shared" si="5"/>
        <v>0</v>
      </c>
      <c r="G70" s="32">
        <f t="shared" si="5"/>
        <v>0</v>
      </c>
      <c r="H70" s="32">
        <f t="shared" si="5"/>
        <v>0</v>
      </c>
      <c r="I70" s="32">
        <f t="shared" si="5"/>
        <v>0</v>
      </c>
      <c r="J70" s="32">
        <f t="shared" si="5"/>
        <v>0</v>
      </c>
      <c r="K70" s="32">
        <f t="shared" si="5"/>
        <v>0</v>
      </c>
      <c r="L70" s="32">
        <f t="shared" si="5"/>
        <v>0</v>
      </c>
      <c r="M70" s="32">
        <f t="shared" si="5"/>
        <v>0</v>
      </c>
      <c r="N70" s="32">
        <f t="shared" si="5"/>
        <v>0</v>
      </c>
      <c r="O70" s="32">
        <f t="shared" si="5"/>
        <v>0</v>
      </c>
      <c r="P70" s="32">
        <f t="shared" si="5"/>
        <v>0</v>
      </c>
      <c r="Q70" s="32">
        <f t="shared" si="5"/>
        <v>0</v>
      </c>
      <c r="R70" s="32">
        <f t="shared" si="5"/>
        <v>0</v>
      </c>
      <c r="S70" s="32">
        <f t="shared" si="5"/>
        <v>0</v>
      </c>
      <c r="T70" s="32">
        <f t="shared" si="5"/>
        <v>0</v>
      </c>
      <c r="U70" s="32">
        <f t="shared" si="5"/>
        <v>0</v>
      </c>
      <c r="V70" s="32">
        <f t="shared" si="5"/>
        <v>0</v>
      </c>
      <c r="W70" s="32">
        <f t="shared" si="5"/>
        <v>0</v>
      </c>
      <c r="X70" s="32">
        <f t="shared" si="5"/>
        <v>0</v>
      </c>
      <c r="Y70" s="32">
        <f t="shared" si="5"/>
        <v>0</v>
      </c>
      <c r="Z70" s="32">
        <f t="shared" si="5"/>
        <v>0</v>
      </c>
      <c r="AA70" s="32">
        <f t="shared" si="5"/>
        <v>0</v>
      </c>
      <c r="AB70" s="32">
        <f t="shared" si="5"/>
        <v>0</v>
      </c>
      <c r="AC70" s="32">
        <f t="shared" si="5"/>
        <v>0</v>
      </c>
      <c r="AD70" s="32">
        <f t="shared" si="5"/>
        <v>0</v>
      </c>
      <c r="AE70" s="32">
        <f t="shared" si="5"/>
        <v>0</v>
      </c>
      <c r="AF70" s="32">
        <f t="shared" si="5"/>
        <v>0</v>
      </c>
      <c r="AG70" s="32">
        <f t="shared" si="5"/>
        <v>0</v>
      </c>
      <c r="AH70" s="32">
        <f t="shared" si="5"/>
        <v>0</v>
      </c>
      <c r="AI70" s="32">
        <f t="shared" si="5"/>
        <v>0</v>
      </c>
      <c r="AJ70" s="32">
        <f t="shared" si="5"/>
        <v>0</v>
      </c>
      <c r="AK70" s="32">
        <f t="shared" si="5"/>
        <v>0</v>
      </c>
      <c r="AL70" s="32">
        <f t="shared" si="5"/>
        <v>0</v>
      </c>
      <c r="AM70" s="32">
        <f t="shared" si="5"/>
        <v>0</v>
      </c>
      <c r="AN70" s="32">
        <f t="shared" si="5"/>
        <v>0</v>
      </c>
      <c r="AO70" s="32">
        <f t="shared" si="5"/>
        <v>0</v>
      </c>
      <c r="AP70" s="32">
        <f t="shared" si="5"/>
        <v>0</v>
      </c>
      <c r="AQ70" s="32">
        <f t="shared" si="5"/>
        <v>0</v>
      </c>
      <c r="AR70" s="32">
        <f t="shared" si="5"/>
        <v>0</v>
      </c>
      <c r="AS70" s="32">
        <f t="shared" si="5"/>
        <v>0</v>
      </c>
      <c r="AT70" s="32">
        <f t="shared" si="5"/>
        <v>0</v>
      </c>
      <c r="AU70" s="32">
        <f t="shared" si="5"/>
        <v>0</v>
      </c>
      <c r="AV70" s="32">
        <f t="shared" si="5"/>
        <v>0</v>
      </c>
      <c r="AW70" s="32">
        <f t="shared" si="5"/>
        <v>0</v>
      </c>
      <c r="AX70" s="32">
        <f t="shared" si="5"/>
        <v>0</v>
      </c>
      <c r="AY70" s="32">
        <f t="shared" si="5"/>
        <v>0</v>
      </c>
      <c r="AZ70" s="32">
        <f t="shared" si="5"/>
        <v>0</v>
      </c>
      <c r="BA70" s="32">
        <f t="shared" si="5"/>
        <v>0</v>
      </c>
      <c r="BB70" s="32">
        <f t="shared" si="5"/>
        <v>0</v>
      </c>
      <c r="BC70" s="32">
        <f t="shared" si="5"/>
        <v>0</v>
      </c>
      <c r="BD70" s="32">
        <f t="shared" si="5"/>
        <v>0</v>
      </c>
      <c r="BE70" s="32">
        <f t="shared" si="5"/>
        <v>0</v>
      </c>
      <c r="BF70" s="32">
        <f t="shared" si="5"/>
        <v>0</v>
      </c>
      <c r="BG70" s="32">
        <f t="shared" si="5"/>
        <v>0</v>
      </c>
      <c r="BH70" s="32">
        <f t="shared" si="5"/>
        <v>0</v>
      </c>
      <c r="BI70" s="32">
        <f t="shared" si="5"/>
        <v>0</v>
      </c>
      <c r="BJ70" s="32">
        <f t="shared" si="5"/>
        <v>0</v>
      </c>
      <c r="BK70" s="32">
        <f t="shared" si="5"/>
        <v>0</v>
      </c>
      <c r="BL70" s="32">
        <f t="shared" si="5"/>
        <v>0</v>
      </c>
      <c r="BM70" s="32">
        <f t="shared" si="5"/>
        <v>0</v>
      </c>
      <c r="BN70" s="32">
        <f t="shared" si="5"/>
        <v>0</v>
      </c>
      <c r="BO70" s="32">
        <f t="shared" ref="BO70:CD70" si="6">SUM(BO71:BO84)</f>
        <v>0</v>
      </c>
      <c r="BP70" s="32">
        <f t="shared" si="6"/>
        <v>0</v>
      </c>
      <c r="BQ70" s="32">
        <f t="shared" si="6"/>
        <v>0</v>
      </c>
      <c r="BR70" s="32">
        <f t="shared" si="6"/>
        <v>0</v>
      </c>
      <c r="BS70" s="32">
        <f t="shared" si="6"/>
        <v>0</v>
      </c>
      <c r="BT70" s="32">
        <f t="shared" si="6"/>
        <v>0</v>
      </c>
      <c r="BU70" s="32">
        <f t="shared" si="6"/>
        <v>0</v>
      </c>
      <c r="BV70" s="32">
        <f t="shared" si="6"/>
        <v>0</v>
      </c>
      <c r="BW70" s="32">
        <f t="shared" si="6"/>
        <v>0</v>
      </c>
      <c r="BX70" s="32">
        <f t="shared" si="6"/>
        <v>0</v>
      </c>
      <c r="BY70" s="32">
        <f t="shared" si="6"/>
        <v>0</v>
      </c>
      <c r="BZ70" s="32">
        <f t="shared" si="6"/>
        <v>0</v>
      </c>
      <c r="CA70" s="32">
        <f t="shared" si="6"/>
        <v>0</v>
      </c>
      <c r="CB70" s="32">
        <f t="shared" si="6"/>
        <v>0</v>
      </c>
      <c r="CC70" s="32">
        <f t="shared" si="6"/>
        <v>0</v>
      </c>
      <c r="CD70" s="32">
        <f t="shared" si="6"/>
        <v>0</v>
      </c>
      <c r="CE70" s="32">
        <f>SUM(CE71:CE85)</f>
        <v>0</v>
      </c>
    </row>
    <row r="71" spans="1:83" x14ac:dyDescent="0.2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2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7">SUM(C72:CD72)</f>
        <v>0</v>
      </c>
    </row>
    <row r="73" spans="1:83" x14ac:dyDescent="0.2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7"/>
        <v>0</v>
      </c>
    </row>
    <row r="74" spans="1:83" x14ac:dyDescent="0.2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7"/>
        <v>0</v>
      </c>
    </row>
    <row r="75" spans="1:83" x14ac:dyDescent="0.2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7"/>
        <v>0</v>
      </c>
    </row>
    <row r="76" spans="1:83" x14ac:dyDescent="0.2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7"/>
        <v>0</v>
      </c>
    </row>
    <row r="77" spans="1:83" x14ac:dyDescent="0.2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7"/>
        <v>0</v>
      </c>
    </row>
    <row r="78" spans="1:83" x14ac:dyDescent="0.2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7"/>
        <v>0</v>
      </c>
    </row>
    <row r="79" spans="1:83" x14ac:dyDescent="0.2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7"/>
        <v>0</v>
      </c>
    </row>
    <row r="80" spans="1:83" x14ac:dyDescent="0.2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7"/>
        <v>0</v>
      </c>
    </row>
    <row r="81" spans="1:84" x14ac:dyDescent="0.2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7"/>
        <v>0</v>
      </c>
    </row>
    <row r="82" spans="1:84" x14ac:dyDescent="0.2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7"/>
        <v>0</v>
      </c>
    </row>
    <row r="83" spans="1:84" x14ac:dyDescent="0.2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7"/>
        <v>0</v>
      </c>
    </row>
    <row r="84" spans="1:84" x14ac:dyDescent="0.25">
      <c r="A84" s="33" t="s">
        <v>268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7"/>
        <v>0</v>
      </c>
    </row>
    <row r="85" spans="1:84" x14ac:dyDescent="0.2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7"/>
        <v>0</v>
      </c>
    </row>
    <row r="86" spans="1:84" x14ac:dyDescent="0.25">
      <c r="A86" s="39" t="s">
        <v>270</v>
      </c>
      <c r="B86" s="32"/>
      <c r="C86" s="32">
        <f>SUM(C62:C70)-C85</f>
        <v>3139407</v>
      </c>
      <c r="D86" s="32">
        <f t="shared" ref="D86:BO86" si="8">SUM(D62:D70)-D85</f>
        <v>0</v>
      </c>
      <c r="E86" s="32">
        <f t="shared" si="8"/>
        <v>6911895</v>
      </c>
      <c r="F86" s="32">
        <f t="shared" si="8"/>
        <v>0</v>
      </c>
      <c r="G86" s="32">
        <f t="shared" si="8"/>
        <v>0</v>
      </c>
      <c r="H86" s="32">
        <f t="shared" si="8"/>
        <v>0</v>
      </c>
      <c r="I86" s="32">
        <f t="shared" si="8"/>
        <v>0</v>
      </c>
      <c r="J86" s="32">
        <f t="shared" si="8"/>
        <v>294</v>
      </c>
      <c r="K86" s="32">
        <f t="shared" si="8"/>
        <v>0</v>
      </c>
      <c r="L86" s="32">
        <f t="shared" si="8"/>
        <v>0</v>
      </c>
      <c r="M86" s="32">
        <f t="shared" si="8"/>
        <v>0</v>
      </c>
      <c r="N86" s="32">
        <f t="shared" si="8"/>
        <v>0</v>
      </c>
      <c r="O86" s="32">
        <f t="shared" si="8"/>
        <v>81274</v>
      </c>
      <c r="P86" s="32">
        <f t="shared" si="8"/>
        <v>4931878</v>
      </c>
      <c r="Q86" s="32">
        <f t="shared" si="8"/>
        <v>496381</v>
      </c>
      <c r="R86" s="32">
        <f t="shared" si="8"/>
        <v>1162567</v>
      </c>
      <c r="S86" s="32">
        <f t="shared" si="8"/>
        <v>331983</v>
      </c>
      <c r="T86" s="32">
        <f t="shared" si="8"/>
        <v>152071</v>
      </c>
      <c r="U86" s="32">
        <f t="shared" si="8"/>
        <v>4938165</v>
      </c>
      <c r="V86" s="32">
        <f t="shared" si="8"/>
        <v>283569</v>
      </c>
      <c r="W86" s="32">
        <f t="shared" si="8"/>
        <v>352957</v>
      </c>
      <c r="X86" s="32">
        <f t="shared" si="8"/>
        <v>552731</v>
      </c>
      <c r="Y86" s="32">
        <f t="shared" si="8"/>
        <v>4836901</v>
      </c>
      <c r="Z86" s="32">
        <f t="shared" si="8"/>
        <v>0</v>
      </c>
      <c r="AA86" s="32">
        <f t="shared" si="8"/>
        <v>364329</v>
      </c>
      <c r="AB86" s="32">
        <f t="shared" si="8"/>
        <v>6891769</v>
      </c>
      <c r="AC86" s="32">
        <f t="shared" si="8"/>
        <v>759613</v>
      </c>
      <c r="AD86" s="32">
        <f t="shared" si="8"/>
        <v>317310</v>
      </c>
      <c r="AE86" s="32">
        <f t="shared" si="8"/>
        <v>520108</v>
      </c>
      <c r="AF86" s="32">
        <f t="shared" si="8"/>
        <v>0</v>
      </c>
      <c r="AG86" s="32">
        <f t="shared" si="8"/>
        <v>5366083</v>
      </c>
      <c r="AH86" s="32">
        <f t="shared" si="8"/>
        <v>0</v>
      </c>
      <c r="AI86" s="32">
        <f t="shared" si="8"/>
        <v>831714</v>
      </c>
      <c r="AJ86" s="32">
        <f t="shared" si="8"/>
        <v>12345891</v>
      </c>
      <c r="AK86" s="32">
        <f t="shared" si="8"/>
        <v>0</v>
      </c>
      <c r="AL86" s="32">
        <f t="shared" si="8"/>
        <v>243406</v>
      </c>
      <c r="AM86" s="32">
        <f t="shared" si="8"/>
        <v>0</v>
      </c>
      <c r="AN86" s="32">
        <f t="shared" si="8"/>
        <v>0</v>
      </c>
      <c r="AO86" s="32">
        <f t="shared" si="8"/>
        <v>0</v>
      </c>
      <c r="AP86" s="32">
        <f t="shared" si="8"/>
        <v>0</v>
      </c>
      <c r="AQ86" s="32">
        <f t="shared" si="8"/>
        <v>0</v>
      </c>
      <c r="AR86" s="32">
        <f t="shared" si="8"/>
        <v>0</v>
      </c>
      <c r="AS86" s="32">
        <f t="shared" si="8"/>
        <v>0</v>
      </c>
      <c r="AT86" s="32">
        <f t="shared" si="8"/>
        <v>0</v>
      </c>
      <c r="AU86" s="32">
        <f t="shared" si="8"/>
        <v>0</v>
      </c>
      <c r="AV86" s="32">
        <f t="shared" si="8"/>
        <v>2964576</v>
      </c>
      <c r="AW86" s="32">
        <f t="shared" si="8"/>
        <v>0</v>
      </c>
      <c r="AX86" s="32">
        <f t="shared" si="8"/>
        <v>0</v>
      </c>
      <c r="AY86" s="32">
        <f t="shared" si="8"/>
        <v>791321</v>
      </c>
      <c r="AZ86" s="32">
        <f t="shared" si="8"/>
        <v>0</v>
      </c>
      <c r="BA86" s="32">
        <f t="shared" si="8"/>
        <v>235260</v>
      </c>
      <c r="BB86" s="32">
        <f t="shared" si="8"/>
        <v>162141</v>
      </c>
      <c r="BC86" s="32">
        <f t="shared" si="8"/>
        <v>0</v>
      </c>
      <c r="BD86" s="32">
        <f t="shared" si="8"/>
        <v>301996</v>
      </c>
      <c r="BE86" s="32">
        <f t="shared" si="8"/>
        <v>1503539</v>
      </c>
      <c r="BF86" s="32">
        <f t="shared" si="8"/>
        <v>1053847</v>
      </c>
      <c r="BG86" s="32">
        <f t="shared" si="8"/>
        <v>0</v>
      </c>
      <c r="BH86" s="32">
        <f t="shared" si="8"/>
        <v>1875384</v>
      </c>
      <c r="BI86" s="32">
        <f t="shared" si="8"/>
        <v>200091</v>
      </c>
      <c r="BJ86" s="32">
        <f t="shared" si="8"/>
        <v>0</v>
      </c>
      <c r="BK86" s="32">
        <f t="shared" si="8"/>
        <v>45600</v>
      </c>
      <c r="BL86" s="32">
        <f t="shared" si="8"/>
        <v>877396</v>
      </c>
      <c r="BM86" s="32">
        <f t="shared" si="8"/>
        <v>393176</v>
      </c>
      <c r="BN86" s="32">
        <f t="shared" si="8"/>
        <v>13094393</v>
      </c>
      <c r="BO86" s="32">
        <f t="shared" si="8"/>
        <v>0</v>
      </c>
      <c r="BP86" s="32">
        <f t="shared" ref="BP86:CD86" si="9">SUM(BP62:BP70)-BP85</f>
        <v>0</v>
      </c>
      <c r="BQ86" s="32">
        <f t="shared" si="9"/>
        <v>100256</v>
      </c>
      <c r="BR86" s="32">
        <f t="shared" si="9"/>
        <v>67624</v>
      </c>
      <c r="BS86" s="32">
        <f t="shared" si="9"/>
        <v>0</v>
      </c>
      <c r="BT86" s="32">
        <f t="shared" si="9"/>
        <v>0</v>
      </c>
      <c r="BU86" s="32">
        <f t="shared" si="9"/>
        <v>0</v>
      </c>
      <c r="BV86" s="32">
        <f t="shared" si="9"/>
        <v>733022</v>
      </c>
      <c r="BW86" s="32">
        <f t="shared" si="9"/>
        <v>0</v>
      </c>
      <c r="BX86" s="32">
        <f t="shared" si="9"/>
        <v>0</v>
      </c>
      <c r="BY86" s="32">
        <f t="shared" si="9"/>
        <v>1158170</v>
      </c>
      <c r="BZ86" s="32">
        <f t="shared" si="9"/>
        <v>0</v>
      </c>
      <c r="CA86" s="32">
        <f t="shared" si="9"/>
        <v>0</v>
      </c>
      <c r="CB86" s="32">
        <f t="shared" si="9"/>
        <v>0</v>
      </c>
      <c r="CC86" s="32">
        <f t="shared" si="9"/>
        <v>720925</v>
      </c>
      <c r="CD86" s="32">
        <f t="shared" si="9"/>
        <v>0</v>
      </c>
      <c r="CE86" s="32">
        <f t="shared" si="7"/>
        <v>82091013</v>
      </c>
    </row>
    <row r="87" spans="1:84" x14ac:dyDescent="0.2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/>
    </row>
    <row r="88" spans="1:84" x14ac:dyDescent="0.25">
      <c r="A88" s="26" t="s">
        <v>272</v>
      </c>
      <c r="B88" s="20"/>
      <c r="C88" s="213">
        <v>1065</v>
      </c>
      <c r="D88" s="213"/>
      <c r="E88" s="213">
        <v>7580</v>
      </c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>
        <v>50057</v>
      </c>
      <c r="Q88" s="213">
        <v>90</v>
      </c>
      <c r="R88" s="213"/>
      <c r="S88" s="213"/>
      <c r="T88" s="213"/>
      <c r="U88" s="213">
        <v>11902</v>
      </c>
      <c r="V88" s="213">
        <v>1155</v>
      </c>
      <c r="W88" s="213">
        <v>698</v>
      </c>
      <c r="X88" s="213">
        <v>681</v>
      </c>
      <c r="Y88" s="213">
        <v>36687</v>
      </c>
      <c r="Z88" s="213"/>
      <c r="AA88" s="213"/>
      <c r="AB88" s="213">
        <v>51363</v>
      </c>
      <c r="AC88" s="213">
        <v>3500</v>
      </c>
      <c r="AD88" s="213"/>
      <c r="AE88" s="213">
        <v>68889</v>
      </c>
      <c r="AF88" s="213"/>
      <c r="AG88" s="213">
        <v>10242</v>
      </c>
      <c r="AH88" s="213"/>
      <c r="AI88" s="213"/>
      <c r="AJ88" s="213">
        <v>116532</v>
      </c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>
        <v>6878</v>
      </c>
      <c r="AW88" s="29"/>
      <c r="AX88" s="29"/>
      <c r="AY88" s="29">
        <v>1209</v>
      </c>
      <c r="AZ88" s="29"/>
      <c r="BA88" s="29"/>
      <c r="BB88" s="29"/>
      <c r="BC88" s="29"/>
      <c r="BD88" s="29">
        <v>-43322</v>
      </c>
      <c r="BE88" s="29">
        <v>2122</v>
      </c>
      <c r="BF88" s="29">
        <v>18936</v>
      </c>
      <c r="BG88" s="29"/>
      <c r="BH88" s="29">
        <v>11701</v>
      </c>
      <c r="BI88" s="29">
        <v>4873</v>
      </c>
      <c r="BJ88" s="29"/>
      <c r="BK88" s="29"/>
      <c r="BL88" s="29">
        <v>356</v>
      </c>
      <c r="BM88" s="29">
        <v>-6240</v>
      </c>
      <c r="BN88" s="29">
        <v>117566</v>
      </c>
      <c r="BO88" s="29"/>
      <c r="BP88" s="29"/>
      <c r="BQ88" s="29"/>
      <c r="BR88" s="29">
        <v>125490</v>
      </c>
      <c r="BS88" s="29"/>
      <c r="BT88" s="29"/>
      <c r="BU88" s="29"/>
      <c r="BV88" s="29">
        <v>118</v>
      </c>
      <c r="BW88" s="29"/>
      <c r="BX88" s="29"/>
      <c r="BY88" s="29">
        <v>13796</v>
      </c>
      <c r="BZ88" s="29"/>
      <c r="CA88" s="29"/>
      <c r="CB88" s="29"/>
      <c r="CC88" s="29">
        <v>1030395</v>
      </c>
      <c r="CD88" s="29"/>
      <c r="CE88" s="32">
        <f t="shared" ref="CE88:CE95" si="10">SUM(C88:CD88)</f>
        <v>1644319</v>
      </c>
    </row>
    <row r="89" spans="1:84" x14ac:dyDescent="0.25">
      <c r="A89" s="26" t="s">
        <v>273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32">
        <f t="shared" si="10"/>
        <v>0</v>
      </c>
    </row>
    <row r="90" spans="1:84" x14ac:dyDescent="0.25">
      <c r="A90" s="26" t="s">
        <v>274</v>
      </c>
      <c r="B90" s="20"/>
      <c r="C90" s="32">
        <f>C88+C89</f>
        <v>1065</v>
      </c>
      <c r="D90" s="32">
        <f t="shared" ref="D90:AV90" si="11">D88+D89</f>
        <v>0</v>
      </c>
      <c r="E90" s="32">
        <f t="shared" si="11"/>
        <v>7580</v>
      </c>
      <c r="F90" s="32">
        <f t="shared" si="11"/>
        <v>0</v>
      </c>
      <c r="G90" s="32">
        <f t="shared" si="11"/>
        <v>0</v>
      </c>
      <c r="H90" s="32">
        <f t="shared" si="11"/>
        <v>0</v>
      </c>
      <c r="I90" s="32">
        <f t="shared" si="11"/>
        <v>0</v>
      </c>
      <c r="J90" s="32">
        <f t="shared" si="11"/>
        <v>0</v>
      </c>
      <c r="K90" s="32">
        <f t="shared" si="11"/>
        <v>0</v>
      </c>
      <c r="L90" s="32">
        <f t="shared" si="11"/>
        <v>0</v>
      </c>
      <c r="M90" s="32">
        <f t="shared" si="11"/>
        <v>0</v>
      </c>
      <c r="N90" s="32">
        <f t="shared" si="11"/>
        <v>0</v>
      </c>
      <c r="O90" s="32">
        <f t="shared" si="11"/>
        <v>0</v>
      </c>
      <c r="P90" s="32">
        <f t="shared" si="11"/>
        <v>50057</v>
      </c>
      <c r="Q90" s="32">
        <f t="shared" si="11"/>
        <v>90</v>
      </c>
      <c r="R90" s="32">
        <f t="shared" si="11"/>
        <v>0</v>
      </c>
      <c r="S90" s="32">
        <f t="shared" si="11"/>
        <v>0</v>
      </c>
      <c r="T90" s="32">
        <f t="shared" si="11"/>
        <v>0</v>
      </c>
      <c r="U90" s="32">
        <f t="shared" si="11"/>
        <v>11902</v>
      </c>
      <c r="V90" s="32">
        <f t="shared" si="11"/>
        <v>1155</v>
      </c>
      <c r="W90" s="32">
        <f t="shared" si="11"/>
        <v>698</v>
      </c>
      <c r="X90" s="32">
        <f t="shared" si="11"/>
        <v>681</v>
      </c>
      <c r="Y90" s="32">
        <f t="shared" si="11"/>
        <v>36687</v>
      </c>
      <c r="Z90" s="32">
        <f t="shared" si="11"/>
        <v>0</v>
      </c>
      <c r="AA90" s="32">
        <f t="shared" si="11"/>
        <v>0</v>
      </c>
      <c r="AB90" s="32">
        <f t="shared" si="11"/>
        <v>51363</v>
      </c>
      <c r="AC90" s="32">
        <f t="shared" si="11"/>
        <v>3500</v>
      </c>
      <c r="AD90" s="32">
        <f t="shared" si="11"/>
        <v>0</v>
      </c>
      <c r="AE90" s="32">
        <f t="shared" si="11"/>
        <v>68889</v>
      </c>
      <c r="AF90" s="32">
        <f t="shared" si="11"/>
        <v>0</v>
      </c>
      <c r="AG90" s="32">
        <f t="shared" si="11"/>
        <v>10242</v>
      </c>
      <c r="AH90" s="32">
        <f t="shared" si="11"/>
        <v>0</v>
      </c>
      <c r="AI90" s="32">
        <f t="shared" si="11"/>
        <v>0</v>
      </c>
      <c r="AJ90" s="32">
        <f t="shared" si="11"/>
        <v>116532</v>
      </c>
      <c r="AK90" s="32">
        <f t="shared" si="11"/>
        <v>0</v>
      </c>
      <c r="AL90" s="32">
        <f t="shared" si="11"/>
        <v>0</v>
      </c>
      <c r="AM90" s="32">
        <f t="shared" si="11"/>
        <v>0</v>
      </c>
      <c r="AN90" s="32">
        <f t="shared" si="11"/>
        <v>0</v>
      </c>
      <c r="AO90" s="32">
        <f t="shared" si="11"/>
        <v>0</v>
      </c>
      <c r="AP90" s="32">
        <f t="shared" si="11"/>
        <v>0</v>
      </c>
      <c r="AQ90" s="32">
        <f t="shared" si="11"/>
        <v>0</v>
      </c>
      <c r="AR90" s="32">
        <f t="shared" si="11"/>
        <v>0</v>
      </c>
      <c r="AS90" s="32">
        <f t="shared" si="11"/>
        <v>0</v>
      </c>
      <c r="AT90" s="32">
        <f t="shared" si="11"/>
        <v>0</v>
      </c>
      <c r="AU90" s="32">
        <f t="shared" si="11"/>
        <v>0</v>
      </c>
      <c r="AV90" s="32">
        <f t="shared" si="11"/>
        <v>6878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0"/>
        <v>367319</v>
      </c>
    </row>
    <row r="91" spans="1:84" x14ac:dyDescent="0.25">
      <c r="A91" s="39" t="s">
        <v>275</v>
      </c>
      <c r="B91" s="32"/>
      <c r="C91" s="213">
        <v>2235</v>
      </c>
      <c r="D91" s="213"/>
      <c r="E91" s="213">
        <v>19589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>
        <v>3750</v>
      </c>
      <c r="P91" s="213">
        <v>3840</v>
      </c>
      <c r="Q91" s="213">
        <v>1155</v>
      </c>
      <c r="R91" s="213"/>
      <c r="S91" s="213">
        <v>1549</v>
      </c>
      <c r="T91" s="213"/>
      <c r="U91" s="213"/>
      <c r="V91" s="213">
        <v>2569</v>
      </c>
      <c r="W91" s="213"/>
      <c r="X91" s="213"/>
      <c r="Y91" s="213">
        <v>4374</v>
      </c>
      <c r="Z91" s="213"/>
      <c r="AA91" s="213">
        <v>234</v>
      </c>
      <c r="AB91" s="213"/>
      <c r="AC91" s="213">
        <v>246</v>
      </c>
      <c r="AD91" s="213"/>
      <c r="AE91" s="213"/>
      <c r="AF91" s="213"/>
      <c r="AG91" s="213">
        <v>8072</v>
      </c>
      <c r="AH91" s="213"/>
      <c r="AI91" s="213"/>
      <c r="AJ91" s="213">
        <v>29384</v>
      </c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>
        <v>627</v>
      </c>
      <c r="AW91" s="213"/>
      <c r="AX91" s="213"/>
      <c r="AY91" s="213">
        <v>3136</v>
      </c>
      <c r="AZ91" s="213"/>
      <c r="BA91" s="213">
        <v>667</v>
      </c>
      <c r="BB91" s="213">
        <v>97</v>
      </c>
      <c r="BC91" s="213"/>
      <c r="BD91" s="213"/>
      <c r="BE91" s="213">
        <v>7789</v>
      </c>
      <c r="BF91" s="213">
        <v>111</v>
      </c>
      <c r="BG91" s="213"/>
      <c r="BH91" s="213"/>
      <c r="BI91" s="213"/>
      <c r="BJ91" s="213"/>
      <c r="BK91" s="213">
        <v>2104</v>
      </c>
      <c r="BL91" s="213"/>
      <c r="BM91" s="213"/>
      <c r="BN91" s="213">
        <v>16560</v>
      </c>
      <c r="BO91" s="213"/>
      <c r="BP91" s="213"/>
      <c r="BQ91" s="213"/>
      <c r="BR91" s="213"/>
      <c r="BS91" s="213"/>
      <c r="BT91" s="213"/>
      <c r="BU91" s="213"/>
      <c r="BV91" s="213">
        <v>2657</v>
      </c>
      <c r="BW91" s="213"/>
      <c r="BX91" s="213"/>
      <c r="BY91" s="213">
        <v>187</v>
      </c>
      <c r="BZ91" s="213"/>
      <c r="CA91" s="213"/>
      <c r="CB91" s="213"/>
      <c r="CC91" s="213">
        <v>1314</v>
      </c>
      <c r="CD91" s="233" t="s">
        <v>233</v>
      </c>
      <c r="CE91" s="32">
        <f t="shared" si="10"/>
        <v>112246</v>
      </c>
      <c r="CF91" s="32">
        <f>BE60-CE91</f>
        <v>0</v>
      </c>
    </row>
    <row r="92" spans="1:84" x14ac:dyDescent="0.25">
      <c r="A92" s="26" t="s">
        <v>276</v>
      </c>
      <c r="B92" s="20"/>
      <c r="C92" s="213">
        <v>7067</v>
      </c>
      <c r="D92" s="213"/>
      <c r="E92" s="213">
        <v>16390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>
        <v>2986</v>
      </c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0"/>
        <v>26443</v>
      </c>
      <c r="CF92" s="32">
        <f>AY60-CE92</f>
        <v>0</v>
      </c>
    </row>
    <row r="93" spans="1:84" x14ac:dyDescent="0.25">
      <c r="A93" s="26" t="s">
        <v>277</v>
      </c>
      <c r="B93" s="20"/>
      <c r="C93" s="213">
        <v>2127</v>
      </c>
      <c r="D93" s="213"/>
      <c r="E93" s="213">
        <v>8361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>
        <v>3191</v>
      </c>
      <c r="Q93" s="213">
        <v>501</v>
      </c>
      <c r="R93" s="213"/>
      <c r="S93" s="213">
        <v>403</v>
      </c>
      <c r="T93" s="213"/>
      <c r="U93" s="213">
        <v>821</v>
      </c>
      <c r="V93" s="213">
        <v>143</v>
      </c>
      <c r="W93" s="213">
        <v>160</v>
      </c>
      <c r="X93" s="213"/>
      <c r="Y93" s="213">
        <v>1494</v>
      </c>
      <c r="Z93" s="213"/>
      <c r="AA93" s="213"/>
      <c r="AB93" s="213">
        <v>309</v>
      </c>
      <c r="AC93" s="213">
        <v>446</v>
      </c>
      <c r="AD93" s="213"/>
      <c r="AE93" s="213">
        <v>496</v>
      </c>
      <c r="AF93" s="213"/>
      <c r="AG93" s="213">
        <v>3902</v>
      </c>
      <c r="AH93" s="213"/>
      <c r="AI93" s="213">
        <v>1141</v>
      </c>
      <c r="AJ93" s="213">
        <v>9485</v>
      </c>
      <c r="AK93" s="213"/>
      <c r="AL93" s="213">
        <v>1356</v>
      </c>
      <c r="AM93" s="213"/>
      <c r="AN93" s="213"/>
      <c r="AO93" s="213"/>
      <c r="AP93" s="213"/>
      <c r="AQ93" s="213"/>
      <c r="AR93" s="213"/>
      <c r="AS93" s="213"/>
      <c r="AT93" s="213"/>
      <c r="AU93" s="213"/>
      <c r="AV93" s="213">
        <v>1278</v>
      </c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>
        <v>496</v>
      </c>
      <c r="BL93" s="213">
        <v>849</v>
      </c>
      <c r="BM93" s="213">
        <v>138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138</v>
      </c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0"/>
        <v>37235</v>
      </c>
      <c r="CF93" s="20"/>
    </row>
    <row r="94" spans="1:84" x14ac:dyDescent="0.25">
      <c r="A94" s="26" t="s">
        <v>278</v>
      </c>
      <c r="B94" s="20"/>
      <c r="C94" s="213">
        <v>59326.68</v>
      </c>
      <c r="D94" s="213"/>
      <c r="E94" s="213">
        <v>148081.9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>
        <v>30148.6</v>
      </c>
      <c r="Q94" s="213">
        <v>14839.5</v>
      </c>
      <c r="R94" s="213"/>
      <c r="S94" s="213">
        <v>375.68</v>
      </c>
      <c r="T94" s="213"/>
      <c r="U94" s="213">
        <v>156.53</v>
      </c>
      <c r="V94" s="213">
        <v>1033.1300000000001</v>
      </c>
      <c r="W94" s="213">
        <v>3036.77</v>
      </c>
      <c r="X94" s="213">
        <v>3913.37</v>
      </c>
      <c r="Y94" s="213">
        <v>40166.83</v>
      </c>
      <c r="Z94" s="213"/>
      <c r="AA94" s="213"/>
      <c r="AB94" s="213"/>
      <c r="AC94" s="213"/>
      <c r="AD94" s="213"/>
      <c r="AE94" s="213"/>
      <c r="AF94" s="213"/>
      <c r="AG94" s="213">
        <v>94296.55</v>
      </c>
      <c r="AH94" s="213"/>
      <c r="AI94" s="213">
        <v>22290.55</v>
      </c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>
        <v>8045.89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0"/>
        <v>425711.98</v>
      </c>
      <c r="CF94" s="32">
        <f>BA60</f>
        <v>0</v>
      </c>
    </row>
    <row r="95" spans="1:84" x14ac:dyDescent="0.25">
      <c r="A95" s="26" t="s">
        <v>279</v>
      </c>
      <c r="B95" s="20"/>
      <c r="C95" s="243">
        <v>14.11</v>
      </c>
      <c r="D95" s="243"/>
      <c r="E95" s="243">
        <v>34.25</v>
      </c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>
        <v>10.65</v>
      </c>
      <c r="Q95" s="244">
        <v>2.44</v>
      </c>
      <c r="R95" s="244"/>
      <c r="S95" s="245">
        <v>1.78</v>
      </c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>
        <v>6.19</v>
      </c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0"/>
        <v>69.42</v>
      </c>
      <c r="CF95" s="37"/>
    </row>
    <row r="96" spans="1:84" x14ac:dyDescent="0.25">
      <c r="A96" s="38" t="s">
        <v>280</v>
      </c>
      <c r="B96" s="38"/>
      <c r="C96" s="38"/>
      <c r="D96" s="38"/>
      <c r="E96" s="38"/>
    </row>
    <row r="97" spans="1:6" x14ac:dyDescent="0.2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2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2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2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2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2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25">
      <c r="A103" s="32" t="s">
        <v>289</v>
      </c>
      <c r="B103" s="40" t="s">
        <v>284</v>
      </c>
      <c r="C103" s="248">
        <v>98944</v>
      </c>
      <c r="D103" s="42"/>
      <c r="E103" s="43"/>
      <c r="F103" s="16"/>
    </row>
    <row r="104" spans="1:6" x14ac:dyDescent="0.2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2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2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2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2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2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2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2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25">
      <c r="A112" s="38" t="s">
        <v>298</v>
      </c>
      <c r="B112" s="38"/>
      <c r="C112" s="38"/>
      <c r="D112" s="38"/>
      <c r="E112" s="38"/>
    </row>
    <row r="113" spans="1:5" x14ac:dyDescent="0.25">
      <c r="A113" s="45" t="s">
        <v>299</v>
      </c>
      <c r="B113" s="45"/>
      <c r="C113" s="45"/>
      <c r="D113" s="45"/>
      <c r="E113" s="45"/>
    </row>
    <row r="114" spans="1:5" x14ac:dyDescent="0.2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2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2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25">
      <c r="A117" s="45" t="s">
        <v>301</v>
      </c>
      <c r="B117" s="45"/>
      <c r="C117" s="45"/>
      <c r="D117" s="45"/>
      <c r="E117" s="45"/>
    </row>
    <row r="118" spans="1:5" x14ac:dyDescent="0.25">
      <c r="A118" s="20" t="s">
        <v>302</v>
      </c>
      <c r="B118" s="46" t="s">
        <v>284</v>
      </c>
      <c r="C118" s="47"/>
      <c r="D118" s="20"/>
      <c r="E118" s="20"/>
    </row>
    <row r="119" spans="1:5" x14ac:dyDescent="0.2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25">
      <c r="A120" s="45" t="s">
        <v>303</v>
      </c>
      <c r="B120" s="45"/>
      <c r="C120" s="45"/>
      <c r="D120" s="45"/>
      <c r="E120" s="45"/>
    </row>
    <row r="121" spans="1:5" x14ac:dyDescent="0.2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2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2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25">
      <c r="A124" s="20"/>
      <c r="B124" s="46"/>
      <c r="C124" s="48"/>
      <c r="D124" s="20"/>
      <c r="E124" s="20"/>
    </row>
    <row r="125" spans="1:5" x14ac:dyDescent="0.25">
      <c r="A125" s="49" t="s">
        <v>307</v>
      </c>
      <c r="B125" s="38"/>
      <c r="C125" s="38"/>
      <c r="D125" s="38"/>
      <c r="E125" s="38"/>
    </row>
    <row r="126" spans="1:5" x14ac:dyDescent="0.25">
      <c r="A126" s="20"/>
      <c r="B126" s="46"/>
      <c r="C126" s="48"/>
      <c r="D126" s="20"/>
      <c r="E126" s="20"/>
    </row>
    <row r="127" spans="1:5" x14ac:dyDescent="0.2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25">
      <c r="A128" s="20" t="s">
        <v>310</v>
      </c>
      <c r="B128" s="46" t="s">
        <v>284</v>
      </c>
      <c r="C128" s="216">
        <v>1469</v>
      </c>
      <c r="D128" s="220">
        <v>6754</v>
      </c>
      <c r="E128" s="20"/>
    </row>
    <row r="129" spans="1:5" x14ac:dyDescent="0.25">
      <c r="A129" s="20" t="s">
        <v>311</v>
      </c>
      <c r="B129" s="46" t="s">
        <v>284</v>
      </c>
      <c r="C129" s="216"/>
      <c r="D129" s="220"/>
      <c r="E129" s="20"/>
    </row>
    <row r="130" spans="1:5" x14ac:dyDescent="0.25">
      <c r="A130" s="20" t="s">
        <v>312</v>
      </c>
      <c r="B130" s="46" t="s">
        <v>284</v>
      </c>
      <c r="C130" s="216"/>
      <c r="D130" s="220"/>
      <c r="E130" s="20"/>
    </row>
    <row r="131" spans="1:5" x14ac:dyDescent="0.25">
      <c r="A131" s="20" t="s">
        <v>313</v>
      </c>
      <c r="B131" s="46" t="s">
        <v>284</v>
      </c>
      <c r="C131" s="216">
        <v>261</v>
      </c>
      <c r="D131" s="220">
        <v>393</v>
      </c>
      <c r="E131" s="20"/>
    </row>
    <row r="132" spans="1:5" x14ac:dyDescent="0.25">
      <c r="A132" s="26" t="s">
        <v>314</v>
      </c>
      <c r="B132" s="20"/>
      <c r="C132" s="21" t="s">
        <v>179</v>
      </c>
      <c r="D132" s="20"/>
      <c r="E132" s="20"/>
    </row>
    <row r="133" spans="1:5" x14ac:dyDescent="0.25">
      <c r="A133" s="20" t="s">
        <v>315</v>
      </c>
      <c r="B133" s="46" t="s">
        <v>284</v>
      </c>
      <c r="C133" s="216">
        <v>7</v>
      </c>
      <c r="D133" s="20"/>
      <c r="E133" s="20"/>
    </row>
    <row r="134" spans="1:5" x14ac:dyDescent="0.25">
      <c r="A134" s="20" t="s">
        <v>316</v>
      </c>
      <c r="B134" s="46" t="s">
        <v>284</v>
      </c>
      <c r="C134" s="216"/>
      <c r="D134" s="20"/>
      <c r="E134" s="20"/>
    </row>
    <row r="135" spans="1:5" x14ac:dyDescent="0.25">
      <c r="A135" s="20" t="s">
        <v>317</v>
      </c>
      <c r="B135" s="46" t="s">
        <v>284</v>
      </c>
      <c r="C135" s="216">
        <v>14</v>
      </c>
      <c r="D135" s="20"/>
      <c r="E135" s="20"/>
    </row>
    <row r="136" spans="1:5" x14ac:dyDescent="0.25">
      <c r="A136" s="20" t="s">
        <v>318</v>
      </c>
      <c r="B136" s="46" t="s">
        <v>284</v>
      </c>
      <c r="C136" s="216"/>
      <c r="D136" s="20"/>
      <c r="E136" s="20"/>
    </row>
    <row r="137" spans="1:5" x14ac:dyDescent="0.25">
      <c r="A137" s="20" t="s">
        <v>319</v>
      </c>
      <c r="B137" s="46" t="s">
        <v>284</v>
      </c>
      <c r="C137" s="216">
        <v>4</v>
      </c>
      <c r="D137" s="20"/>
      <c r="E137" s="20"/>
    </row>
    <row r="138" spans="1:5" x14ac:dyDescent="0.25">
      <c r="A138" s="20" t="s">
        <v>320</v>
      </c>
      <c r="B138" s="46" t="s">
        <v>284</v>
      </c>
      <c r="C138" s="216"/>
      <c r="D138" s="20"/>
      <c r="E138" s="20"/>
    </row>
    <row r="139" spans="1:5" x14ac:dyDescent="0.25">
      <c r="A139" s="20" t="s">
        <v>108</v>
      </c>
      <c r="B139" s="46" t="s">
        <v>284</v>
      </c>
      <c r="C139" s="216"/>
      <c r="D139" s="20"/>
      <c r="E139" s="20"/>
    </row>
    <row r="140" spans="1:5" x14ac:dyDescent="0.25">
      <c r="A140" s="20" t="s">
        <v>321</v>
      </c>
      <c r="B140" s="46" t="s">
        <v>284</v>
      </c>
      <c r="C140" s="216"/>
      <c r="D140" s="20"/>
      <c r="E140" s="20"/>
    </row>
    <row r="141" spans="1:5" x14ac:dyDescent="0.25">
      <c r="A141" s="20" t="s">
        <v>322</v>
      </c>
      <c r="B141" s="46"/>
      <c r="C141" s="216"/>
      <c r="D141" s="20"/>
      <c r="E141" s="20"/>
    </row>
    <row r="142" spans="1:5" x14ac:dyDescent="0.25">
      <c r="A142" s="20" t="s">
        <v>312</v>
      </c>
      <c r="B142" s="46" t="s">
        <v>284</v>
      </c>
      <c r="C142" s="216"/>
      <c r="D142" s="20"/>
      <c r="E142" s="20"/>
    </row>
    <row r="143" spans="1:5" x14ac:dyDescent="0.25">
      <c r="A143" s="20" t="s">
        <v>323</v>
      </c>
      <c r="B143" s="46" t="s">
        <v>284</v>
      </c>
      <c r="C143" s="216"/>
      <c r="D143" s="20"/>
      <c r="E143" s="20"/>
    </row>
    <row r="144" spans="1:5" x14ac:dyDescent="0.2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25">
      <c r="A145" s="20" t="s">
        <v>325</v>
      </c>
      <c r="B145" s="46" t="s">
        <v>284</v>
      </c>
      <c r="C145" s="47">
        <v>38</v>
      </c>
      <c r="D145" s="20"/>
      <c r="E145" s="20"/>
    </row>
    <row r="146" spans="1:6" x14ac:dyDescent="0.25">
      <c r="A146" s="20" t="s">
        <v>326</v>
      </c>
      <c r="B146" s="46" t="s">
        <v>284</v>
      </c>
      <c r="C146" s="47">
        <v>6</v>
      </c>
      <c r="D146" s="20"/>
      <c r="E146" s="20"/>
    </row>
    <row r="147" spans="1:6" x14ac:dyDescent="0.25">
      <c r="A147" s="20"/>
      <c r="B147" s="20"/>
      <c r="C147" s="27"/>
      <c r="D147" s="20"/>
      <c r="E147" s="20"/>
    </row>
    <row r="148" spans="1:6" x14ac:dyDescent="0.25">
      <c r="A148" s="20" t="s">
        <v>327</v>
      </c>
      <c r="B148" s="46" t="s">
        <v>284</v>
      </c>
      <c r="C148" s="4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20"/>
      <c r="B152" s="20"/>
      <c r="C152" s="27"/>
      <c r="D152" s="20"/>
      <c r="E152" s="20"/>
    </row>
    <row r="153" spans="1:6" x14ac:dyDescent="0.25">
      <c r="A153" s="38" t="s">
        <v>328</v>
      </c>
      <c r="B153" s="49"/>
      <c r="C153" s="49"/>
      <c r="D153" s="49"/>
      <c r="E153" s="49"/>
    </row>
    <row r="154" spans="1:6" x14ac:dyDescent="0.2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25">
      <c r="A155" s="20" t="s">
        <v>309</v>
      </c>
      <c r="B155" s="50">
        <v>712</v>
      </c>
      <c r="C155" s="50">
        <v>465</v>
      </c>
      <c r="D155" s="50">
        <v>292</v>
      </c>
      <c r="E155" s="32">
        <f>SUM(B155:D155)</f>
        <v>1469</v>
      </c>
    </row>
    <row r="156" spans="1:6" x14ac:dyDescent="0.25">
      <c r="A156" s="20" t="s">
        <v>227</v>
      </c>
      <c r="B156" s="50">
        <v>3288</v>
      </c>
      <c r="C156" s="50">
        <v>2117</v>
      </c>
      <c r="D156" s="50">
        <v>1349</v>
      </c>
      <c r="E156" s="32">
        <f>SUM(B156:D156)</f>
        <v>6754</v>
      </c>
    </row>
    <row r="157" spans="1:6" x14ac:dyDescent="0.2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25">
      <c r="A158" s="20" t="s">
        <v>272</v>
      </c>
      <c r="B158" s="50">
        <v>47833338</v>
      </c>
      <c r="C158" s="50">
        <v>30912621</v>
      </c>
      <c r="D158" s="50">
        <v>19766522</v>
      </c>
      <c r="E158" s="32">
        <f>SUM(B158:D158)</f>
        <v>98512481</v>
      </c>
      <c r="F158" s="18"/>
    </row>
    <row r="159" spans="1:6" x14ac:dyDescent="0.25">
      <c r="A159" s="20" t="s">
        <v>273</v>
      </c>
      <c r="B159" s="50">
        <v>63197366</v>
      </c>
      <c r="C159" s="50">
        <v>63528575</v>
      </c>
      <c r="D159" s="50">
        <v>51386600</v>
      </c>
      <c r="E159" s="32">
        <f>SUM(B159:D159)</f>
        <v>178112541</v>
      </c>
      <c r="F159" s="18"/>
    </row>
    <row r="160" spans="1:6" x14ac:dyDescent="0.2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2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2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2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2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2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2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25">
      <c r="A172" s="25"/>
      <c r="B172" s="25"/>
      <c r="C172" s="54"/>
      <c r="D172" s="55"/>
      <c r="E172" s="20"/>
    </row>
    <row r="173" spans="1:5" x14ac:dyDescent="0.2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25">
      <c r="A174" s="25" t="s">
        <v>338</v>
      </c>
      <c r="B174" s="50">
        <v>3031562</v>
      </c>
      <c r="C174" s="50">
        <v>1205071</v>
      </c>
      <c r="D174" s="20"/>
      <c r="E174" s="20"/>
    </row>
    <row r="175" spans="1:5" x14ac:dyDescent="0.25">
      <c r="A175" s="25"/>
      <c r="B175" s="55"/>
      <c r="C175" s="54"/>
      <c r="D175" s="20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25"/>
      <c r="B179" s="25"/>
      <c r="C179" s="54"/>
      <c r="D179" s="55"/>
      <c r="E179" s="20"/>
    </row>
    <row r="180" spans="1:5" x14ac:dyDescent="0.25">
      <c r="A180" s="49" t="s">
        <v>339</v>
      </c>
      <c r="B180" s="38"/>
      <c r="C180" s="38"/>
      <c r="D180" s="38"/>
      <c r="E180" s="38"/>
    </row>
    <row r="181" spans="1:5" x14ac:dyDescent="0.25">
      <c r="A181" s="45" t="s">
        <v>340</v>
      </c>
      <c r="B181" s="45"/>
      <c r="C181" s="45"/>
      <c r="D181" s="45"/>
      <c r="E181" s="45"/>
    </row>
    <row r="182" spans="1:5" x14ac:dyDescent="0.25">
      <c r="A182" s="20" t="s">
        <v>341</v>
      </c>
      <c r="B182" s="46" t="s">
        <v>284</v>
      </c>
      <c r="C182" s="216">
        <v>1888367.0299999914</v>
      </c>
      <c r="D182" s="20"/>
      <c r="E182" s="20"/>
    </row>
    <row r="183" spans="1:5" x14ac:dyDescent="0.25">
      <c r="A183" s="20" t="s">
        <v>342</v>
      </c>
      <c r="B183" s="46" t="s">
        <v>284</v>
      </c>
      <c r="C183" s="216">
        <v>98574.829999999449</v>
      </c>
      <c r="D183" s="20"/>
      <c r="E183" s="20"/>
    </row>
    <row r="184" spans="1:5" x14ac:dyDescent="0.25">
      <c r="A184" s="25" t="s">
        <v>343</v>
      </c>
      <c r="B184" s="46" t="s">
        <v>284</v>
      </c>
      <c r="C184" s="216">
        <v>311157.7900000001</v>
      </c>
      <c r="D184" s="20"/>
      <c r="E184" s="20"/>
    </row>
    <row r="185" spans="1:5" x14ac:dyDescent="0.25">
      <c r="A185" s="20" t="s">
        <v>344</v>
      </c>
      <c r="B185" s="46" t="s">
        <v>284</v>
      </c>
      <c r="C185" s="216">
        <v>1727226.8400000073</v>
      </c>
      <c r="D185" s="20"/>
      <c r="E185" s="20"/>
    </row>
    <row r="186" spans="1:5" x14ac:dyDescent="0.25">
      <c r="A186" s="20" t="s">
        <v>345</v>
      </c>
      <c r="B186" s="46" t="s">
        <v>284</v>
      </c>
      <c r="C186" s="216"/>
      <c r="D186" s="20"/>
      <c r="E186" s="20"/>
    </row>
    <row r="187" spans="1:5" x14ac:dyDescent="0.25">
      <c r="A187" s="20" t="s">
        <v>346</v>
      </c>
      <c r="B187" s="46" t="s">
        <v>284</v>
      </c>
      <c r="C187" s="216">
        <v>866403.01000000047</v>
      </c>
      <c r="D187" s="20"/>
      <c r="E187" s="20"/>
    </row>
    <row r="188" spans="1:5" x14ac:dyDescent="0.25">
      <c r="A188" s="20" t="s">
        <v>347</v>
      </c>
      <c r="B188" s="46" t="s">
        <v>284</v>
      </c>
      <c r="C188" s="216">
        <v>10890.62</v>
      </c>
      <c r="D188" s="20"/>
      <c r="E188" s="20"/>
    </row>
    <row r="189" spans="1:5" x14ac:dyDescent="0.25">
      <c r="A189" s="20" t="s">
        <v>347</v>
      </c>
      <c r="B189" s="46" t="s">
        <v>284</v>
      </c>
      <c r="C189" s="47"/>
      <c r="D189" s="20"/>
      <c r="E189" s="20"/>
    </row>
    <row r="190" spans="1:5" x14ac:dyDescent="0.25">
      <c r="A190" s="20" t="s">
        <v>215</v>
      </c>
      <c r="B190" s="20"/>
      <c r="C190" s="27"/>
      <c r="D190" s="32">
        <f>SUM(C182:C189)</f>
        <v>4902620.1199999992</v>
      </c>
      <c r="E190" s="20"/>
    </row>
    <row r="191" spans="1:5" x14ac:dyDescent="0.25">
      <c r="A191" s="45" t="s">
        <v>348</v>
      </c>
      <c r="B191" s="45"/>
      <c r="C191" s="45"/>
      <c r="D191" s="45"/>
      <c r="E191" s="45"/>
    </row>
    <row r="192" spans="1:5" x14ac:dyDescent="0.25">
      <c r="A192" s="20" t="s">
        <v>349</v>
      </c>
      <c r="B192" s="46" t="s">
        <v>284</v>
      </c>
      <c r="C192" s="216">
        <v>578972.91</v>
      </c>
      <c r="D192" s="20"/>
      <c r="E192" s="20"/>
    </row>
    <row r="193" spans="1:5" x14ac:dyDescent="0.25">
      <c r="A193" s="20" t="s">
        <v>350</v>
      </c>
      <c r="B193" s="46" t="s">
        <v>284</v>
      </c>
      <c r="C193" s="216">
        <v>352776.77</v>
      </c>
      <c r="D193" s="20"/>
      <c r="E193" s="20"/>
    </row>
    <row r="194" spans="1:5" x14ac:dyDescent="0.25">
      <c r="A194" s="20" t="s">
        <v>215</v>
      </c>
      <c r="B194" s="20"/>
      <c r="C194" s="27"/>
      <c r="D194" s="32">
        <f>SUM(C192:C193)</f>
        <v>931749.68</v>
      </c>
      <c r="E194" s="20"/>
    </row>
    <row r="195" spans="1:5" x14ac:dyDescent="0.25">
      <c r="A195" s="45" t="s">
        <v>351</v>
      </c>
      <c r="B195" s="45"/>
      <c r="C195" s="45"/>
      <c r="D195" s="45"/>
      <c r="E195" s="45"/>
    </row>
    <row r="196" spans="1:5" x14ac:dyDescent="0.25">
      <c r="A196" s="20" t="s">
        <v>352</v>
      </c>
      <c r="B196" s="46" t="s">
        <v>284</v>
      </c>
      <c r="C196" s="47">
        <v>1679987.81</v>
      </c>
      <c r="D196" s="20"/>
      <c r="E196" s="20"/>
    </row>
    <row r="197" spans="1:5" x14ac:dyDescent="0.25">
      <c r="A197" s="20" t="s">
        <v>353</v>
      </c>
      <c r="B197" s="46" t="s">
        <v>284</v>
      </c>
      <c r="C197" s="47">
        <v>24243.06</v>
      </c>
      <c r="D197" s="20"/>
      <c r="E197" s="20"/>
    </row>
    <row r="198" spans="1:5" x14ac:dyDescent="0.25">
      <c r="A198" s="20" t="s">
        <v>215</v>
      </c>
      <c r="B198" s="20"/>
      <c r="C198" s="27"/>
      <c r="D198" s="32">
        <f>SUM(C196:C197)</f>
        <v>1704230.87</v>
      </c>
      <c r="E198" s="20"/>
    </row>
    <row r="199" spans="1:5" x14ac:dyDescent="0.25">
      <c r="A199" s="45" t="s">
        <v>354</v>
      </c>
      <c r="B199" s="45"/>
      <c r="C199" s="45"/>
      <c r="D199" s="45"/>
      <c r="E199" s="45"/>
    </row>
    <row r="200" spans="1:5" x14ac:dyDescent="0.25">
      <c r="A200" s="20" t="s">
        <v>355</v>
      </c>
      <c r="B200" s="46" t="s">
        <v>284</v>
      </c>
      <c r="C200" s="47">
        <v>640550.38</v>
      </c>
      <c r="D200" s="20"/>
      <c r="E200" s="20"/>
    </row>
    <row r="201" spans="1:5" x14ac:dyDescent="0.25">
      <c r="A201" s="20" t="s">
        <v>356</v>
      </c>
      <c r="B201" s="46" t="s">
        <v>284</v>
      </c>
      <c r="C201" s="47">
        <v>266542.03999999998</v>
      </c>
      <c r="D201" s="20"/>
      <c r="E201" s="20"/>
    </row>
    <row r="202" spans="1:5" x14ac:dyDescent="0.25">
      <c r="A202" s="20" t="s">
        <v>144</v>
      </c>
      <c r="B202" s="46" t="s">
        <v>284</v>
      </c>
      <c r="C202" s="47">
        <v>0</v>
      </c>
      <c r="D202" s="20"/>
      <c r="E202" s="20"/>
    </row>
    <row r="203" spans="1:5" x14ac:dyDescent="0.25">
      <c r="A203" s="20" t="s">
        <v>215</v>
      </c>
      <c r="B203" s="20"/>
      <c r="C203" s="27"/>
      <c r="D203" s="32">
        <f>SUM(C200:C202)</f>
        <v>907092.41999999993</v>
      </c>
      <c r="E203" s="20"/>
    </row>
    <row r="204" spans="1:5" x14ac:dyDescent="0.25">
      <c r="A204" s="45" t="s">
        <v>357</v>
      </c>
      <c r="B204" s="45"/>
      <c r="C204" s="45"/>
      <c r="D204" s="45"/>
      <c r="E204" s="45"/>
    </row>
    <row r="205" spans="1:5" x14ac:dyDescent="0.25">
      <c r="A205" s="20" t="s">
        <v>358</v>
      </c>
      <c r="B205" s="46" t="s">
        <v>284</v>
      </c>
      <c r="C205" s="47">
        <v>4558414.71</v>
      </c>
      <c r="D205" s="20"/>
      <c r="E205" s="20"/>
    </row>
    <row r="206" spans="1:5" x14ac:dyDescent="0.25">
      <c r="A206" s="20" t="s">
        <v>359</v>
      </c>
      <c r="B206" s="46" t="s">
        <v>284</v>
      </c>
      <c r="C206" s="47">
        <v>21601.47</v>
      </c>
      <c r="D206" s="20"/>
      <c r="E206" s="20"/>
    </row>
    <row r="207" spans="1:5" x14ac:dyDescent="0.25">
      <c r="A207" s="20" t="s">
        <v>215</v>
      </c>
      <c r="B207" s="20"/>
      <c r="C207" s="27"/>
      <c r="D207" s="32">
        <f>SUM(C205:C206)</f>
        <v>4580016.18</v>
      </c>
      <c r="E207" s="20"/>
    </row>
    <row r="208" spans="1:5" x14ac:dyDescent="0.25">
      <c r="A208" s="20"/>
      <c r="B208" s="20"/>
      <c r="C208" s="27"/>
      <c r="D208" s="20"/>
      <c r="E208" s="20"/>
    </row>
    <row r="209" spans="1:5" x14ac:dyDescent="0.25">
      <c r="A209" s="38" t="s">
        <v>360</v>
      </c>
      <c r="B209" s="38"/>
      <c r="C209" s="38"/>
      <c r="D209" s="38"/>
      <c r="E209" s="38"/>
    </row>
    <row r="210" spans="1:5" x14ac:dyDescent="0.25">
      <c r="A210" s="49" t="s">
        <v>361</v>
      </c>
      <c r="B210" s="38"/>
      <c r="C210" s="38"/>
      <c r="D210" s="38"/>
      <c r="E210" s="38"/>
    </row>
    <row r="211" spans="1:5" x14ac:dyDescent="0.2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25">
      <c r="A212" s="20" t="s">
        <v>366</v>
      </c>
      <c r="B212" s="220">
        <v>1057687</v>
      </c>
      <c r="C212" s="216">
        <v>4014662</v>
      </c>
      <c r="D212" s="220"/>
      <c r="E212" s="32">
        <f t="shared" ref="E212:E220" si="12">SUM(B212:C212)-D212</f>
        <v>5072349</v>
      </c>
    </row>
    <row r="213" spans="1:5" x14ac:dyDescent="0.25">
      <c r="A213" s="20" t="s">
        <v>367</v>
      </c>
      <c r="B213" s="220">
        <v>1564552</v>
      </c>
      <c r="C213" s="216"/>
      <c r="D213" s="220">
        <v>133642</v>
      </c>
      <c r="E213" s="32">
        <f t="shared" si="12"/>
        <v>1430910</v>
      </c>
    </row>
    <row r="214" spans="1:5" x14ac:dyDescent="0.25">
      <c r="A214" s="20" t="s">
        <v>368</v>
      </c>
      <c r="B214" s="220">
        <v>25465391</v>
      </c>
      <c r="C214" s="216"/>
      <c r="D214" s="220">
        <v>561782</v>
      </c>
      <c r="E214" s="32">
        <f t="shared" si="12"/>
        <v>24903609</v>
      </c>
    </row>
    <row r="215" spans="1:5" x14ac:dyDescent="0.25">
      <c r="A215" s="20" t="s">
        <v>369</v>
      </c>
      <c r="B215" s="220">
        <v>3922094</v>
      </c>
      <c r="C215" s="216"/>
      <c r="D215" s="220">
        <v>1104815</v>
      </c>
      <c r="E215" s="32">
        <f t="shared" si="12"/>
        <v>2817279</v>
      </c>
    </row>
    <row r="216" spans="1:5" x14ac:dyDescent="0.25">
      <c r="A216" s="20" t="s">
        <v>370</v>
      </c>
      <c r="B216" s="220">
        <v>0</v>
      </c>
      <c r="C216" s="216"/>
      <c r="D216" s="220"/>
      <c r="E216" s="32">
        <f t="shared" si="12"/>
        <v>0</v>
      </c>
    </row>
    <row r="217" spans="1:5" x14ac:dyDescent="0.25">
      <c r="A217" s="20" t="s">
        <v>371</v>
      </c>
      <c r="B217" s="220">
        <v>25301993</v>
      </c>
      <c r="C217" s="216">
        <v>1821073</v>
      </c>
      <c r="D217" s="220"/>
      <c r="E217" s="32">
        <f t="shared" si="12"/>
        <v>27123066</v>
      </c>
    </row>
    <row r="218" spans="1:5" x14ac:dyDescent="0.25">
      <c r="A218" s="20" t="s">
        <v>372</v>
      </c>
      <c r="B218" s="220">
        <v>0</v>
      </c>
      <c r="C218" s="216"/>
      <c r="D218" s="220"/>
      <c r="E218" s="32">
        <f t="shared" si="12"/>
        <v>0</v>
      </c>
    </row>
    <row r="219" spans="1:5" x14ac:dyDescent="0.25">
      <c r="A219" s="20" t="s">
        <v>373</v>
      </c>
      <c r="B219" s="220">
        <v>114060</v>
      </c>
      <c r="C219" s="216"/>
      <c r="D219" s="220">
        <v>114060</v>
      </c>
      <c r="E219" s="32">
        <f t="shared" si="12"/>
        <v>0</v>
      </c>
    </row>
    <row r="220" spans="1:5" x14ac:dyDescent="0.25">
      <c r="A220" s="20" t="s">
        <v>374</v>
      </c>
      <c r="B220" s="220">
        <v>13934897</v>
      </c>
      <c r="C220" s="216"/>
      <c r="D220" s="220">
        <v>13934897</v>
      </c>
      <c r="E220" s="32">
        <f t="shared" si="12"/>
        <v>0</v>
      </c>
    </row>
    <row r="221" spans="1:5" x14ac:dyDescent="0.25">
      <c r="A221" s="20" t="s">
        <v>215</v>
      </c>
      <c r="B221" s="32">
        <f>SUM(B212:B220)</f>
        <v>71360674</v>
      </c>
      <c r="C221" s="266">
        <f>SUM(C212:C220)</f>
        <v>5835735</v>
      </c>
      <c r="D221" s="32">
        <f>SUM(D212:D220)</f>
        <v>15849196</v>
      </c>
      <c r="E221" s="32">
        <f>SUM(E212:E220)</f>
        <v>61347213</v>
      </c>
    </row>
    <row r="222" spans="1:5" x14ac:dyDescent="0.25">
      <c r="A222" s="20"/>
      <c r="B222" s="20"/>
      <c r="C222" s="27"/>
      <c r="D222" s="20"/>
      <c r="E222" s="20"/>
    </row>
    <row r="223" spans="1:5" x14ac:dyDescent="0.25">
      <c r="A223" s="49" t="s">
        <v>375</v>
      </c>
      <c r="B223" s="49"/>
      <c r="C223" s="49"/>
      <c r="D223" s="49"/>
      <c r="E223" s="49"/>
    </row>
    <row r="224" spans="1:5" x14ac:dyDescent="0.2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25">
      <c r="A225" s="20" t="s">
        <v>366</v>
      </c>
      <c r="B225" s="55"/>
      <c r="C225" s="54"/>
      <c r="D225" s="55"/>
      <c r="E225" s="20"/>
    </row>
    <row r="226" spans="1:5" x14ac:dyDescent="0.25">
      <c r="A226" s="20" t="s">
        <v>367</v>
      </c>
      <c r="B226" s="220">
        <v>1285829</v>
      </c>
      <c r="C226" s="216"/>
      <c r="D226" s="220">
        <v>219396</v>
      </c>
      <c r="E226" s="32">
        <f t="shared" ref="E226:E233" si="13">SUM(B226:C226)-D226</f>
        <v>1066433</v>
      </c>
    </row>
    <row r="227" spans="1:5" x14ac:dyDescent="0.25">
      <c r="A227" s="20" t="s">
        <v>368</v>
      </c>
      <c r="B227" s="220">
        <v>15373586</v>
      </c>
      <c r="C227" s="216">
        <v>980382</v>
      </c>
      <c r="D227" s="220"/>
      <c r="E227" s="32">
        <f t="shared" si="13"/>
        <v>16353968</v>
      </c>
    </row>
    <row r="228" spans="1:5" x14ac:dyDescent="0.25">
      <c r="A228" s="20" t="s">
        <v>369</v>
      </c>
      <c r="B228" s="220">
        <v>2452835</v>
      </c>
      <c r="C228" s="216">
        <v>127237</v>
      </c>
      <c r="D228" s="220"/>
      <c r="E228" s="32">
        <f t="shared" si="13"/>
        <v>2580072</v>
      </c>
    </row>
    <row r="229" spans="1:5" x14ac:dyDescent="0.25">
      <c r="A229" s="20" t="s">
        <v>370</v>
      </c>
      <c r="B229" s="220">
        <v>0</v>
      </c>
      <c r="C229" s="216"/>
      <c r="D229" s="220"/>
      <c r="E229" s="32">
        <f t="shared" si="13"/>
        <v>0</v>
      </c>
    </row>
    <row r="230" spans="1:5" x14ac:dyDescent="0.25">
      <c r="A230" s="20" t="s">
        <v>371</v>
      </c>
      <c r="B230" s="220">
        <v>21225836</v>
      </c>
      <c r="C230" s="216">
        <v>1656107</v>
      </c>
      <c r="D230" s="220"/>
      <c r="E230" s="32">
        <f t="shared" si="13"/>
        <v>22881943</v>
      </c>
    </row>
    <row r="231" spans="1:5" x14ac:dyDescent="0.25">
      <c r="A231" s="20" t="s">
        <v>372</v>
      </c>
      <c r="B231" s="220">
        <v>0</v>
      </c>
      <c r="C231" s="216"/>
      <c r="D231" s="220"/>
      <c r="E231" s="32">
        <f t="shared" si="13"/>
        <v>0</v>
      </c>
    </row>
    <row r="232" spans="1:5" x14ac:dyDescent="0.25">
      <c r="A232" s="20" t="s">
        <v>373</v>
      </c>
      <c r="B232" s="220">
        <v>256285</v>
      </c>
      <c r="C232" s="216"/>
      <c r="D232" s="220">
        <v>256285</v>
      </c>
      <c r="E232" s="32">
        <f t="shared" si="13"/>
        <v>0</v>
      </c>
    </row>
    <row r="233" spans="1:5" x14ac:dyDescent="0.25">
      <c r="A233" s="20" t="s">
        <v>374</v>
      </c>
      <c r="B233" s="220">
        <v>0</v>
      </c>
      <c r="C233" s="216"/>
      <c r="D233" s="220"/>
      <c r="E233" s="32">
        <f t="shared" si="13"/>
        <v>0</v>
      </c>
    </row>
    <row r="234" spans="1:5" x14ac:dyDescent="0.25">
      <c r="A234" s="20" t="s">
        <v>215</v>
      </c>
      <c r="B234" s="32">
        <v>13934897</v>
      </c>
      <c r="C234" s="266"/>
      <c r="D234" s="32">
        <v>13934897</v>
      </c>
      <c r="E234" s="32">
        <f>SUM(E225:E233)</f>
        <v>42882416</v>
      </c>
    </row>
    <row r="235" spans="1:5" x14ac:dyDescent="0.25">
      <c r="A235" s="20"/>
      <c r="B235" s="20"/>
      <c r="C235" s="27"/>
      <c r="D235" s="20"/>
      <c r="E235" s="20"/>
    </row>
    <row r="236" spans="1:5" x14ac:dyDescent="0.25">
      <c r="A236" s="38" t="s">
        <v>376</v>
      </c>
      <c r="B236" s="38"/>
      <c r="C236" s="38"/>
      <c r="D236" s="38"/>
      <c r="E236" s="38"/>
    </row>
    <row r="237" spans="1:5" x14ac:dyDescent="0.25">
      <c r="A237" s="38"/>
      <c r="B237" s="345" t="s">
        <v>377</v>
      </c>
      <c r="C237" s="345"/>
      <c r="D237" s="38"/>
      <c r="E237" s="38"/>
    </row>
    <row r="238" spans="1:5" x14ac:dyDescent="0.25">
      <c r="A238" s="56" t="s">
        <v>377</v>
      </c>
      <c r="B238" s="38"/>
      <c r="C238" s="216">
        <v>13892281</v>
      </c>
      <c r="D238" s="40">
        <f>C238</f>
        <v>13892281</v>
      </c>
      <c r="E238" s="38"/>
    </row>
    <row r="239" spans="1:5" x14ac:dyDescent="0.25">
      <c r="A239" s="45" t="s">
        <v>378</v>
      </c>
      <c r="B239" s="45"/>
      <c r="C239" s="45"/>
      <c r="D239" s="45"/>
      <c r="E239" s="45"/>
    </row>
    <row r="240" spans="1:5" x14ac:dyDescent="0.25">
      <c r="A240" s="20" t="s">
        <v>379</v>
      </c>
      <c r="B240" s="46" t="s">
        <v>284</v>
      </c>
      <c r="C240" s="216">
        <v>82081900</v>
      </c>
      <c r="D240" s="20"/>
      <c r="E240" s="20"/>
    </row>
    <row r="241" spans="1:5" x14ac:dyDescent="0.25">
      <c r="A241" s="20" t="s">
        <v>380</v>
      </c>
      <c r="B241" s="46" t="s">
        <v>284</v>
      </c>
      <c r="C241" s="216">
        <v>71942968</v>
      </c>
      <c r="D241" s="20"/>
      <c r="E241" s="20"/>
    </row>
    <row r="242" spans="1:5" x14ac:dyDescent="0.25">
      <c r="A242" s="20" t="s">
        <v>381</v>
      </c>
      <c r="B242" s="46" t="s">
        <v>284</v>
      </c>
      <c r="C242" s="216">
        <v>4145002</v>
      </c>
      <c r="D242" s="20"/>
      <c r="E242" s="20"/>
    </row>
    <row r="243" spans="1:5" x14ac:dyDescent="0.25">
      <c r="A243" s="20" t="s">
        <v>382</v>
      </c>
      <c r="B243" s="46" t="s">
        <v>284</v>
      </c>
      <c r="C243" s="216"/>
      <c r="D243" s="20"/>
      <c r="E243" s="20"/>
    </row>
    <row r="244" spans="1:5" x14ac:dyDescent="0.25">
      <c r="A244" s="20" t="s">
        <v>383</v>
      </c>
      <c r="B244" s="46" t="s">
        <v>284</v>
      </c>
      <c r="C244" s="216">
        <v>11651097</v>
      </c>
      <c r="D244" s="20"/>
      <c r="E244" s="20"/>
    </row>
    <row r="245" spans="1:5" x14ac:dyDescent="0.25">
      <c r="A245" s="20" t="s">
        <v>384</v>
      </c>
      <c r="B245" s="46" t="s">
        <v>284</v>
      </c>
      <c r="C245" s="216"/>
      <c r="D245" s="20"/>
      <c r="E245" s="20"/>
    </row>
    <row r="246" spans="1:5" x14ac:dyDescent="0.25">
      <c r="A246" s="20" t="s">
        <v>385</v>
      </c>
      <c r="B246" s="20"/>
      <c r="C246" s="27"/>
      <c r="D246" s="32">
        <f>SUM(C240:C245)</f>
        <v>169820967</v>
      </c>
      <c r="E246" s="20"/>
    </row>
    <row r="247" spans="1:5" x14ac:dyDescent="0.25">
      <c r="A247" s="45" t="s">
        <v>386</v>
      </c>
      <c r="B247" s="45"/>
      <c r="C247" s="45"/>
      <c r="D247" s="45"/>
      <c r="E247" s="45"/>
    </row>
    <row r="248" spans="1:5" x14ac:dyDescent="0.25">
      <c r="A248" s="26" t="s">
        <v>387</v>
      </c>
      <c r="B248" s="46" t="s">
        <v>284</v>
      </c>
      <c r="C248" s="216"/>
      <c r="D248" s="20"/>
      <c r="E248" s="20"/>
    </row>
    <row r="249" spans="1:5" x14ac:dyDescent="0.25">
      <c r="A249" s="26"/>
      <c r="B249" s="46"/>
      <c r="C249" s="27"/>
      <c r="D249" s="20"/>
      <c r="E249" s="20"/>
    </row>
    <row r="250" spans="1:5" x14ac:dyDescent="0.25">
      <c r="A250" s="26" t="s">
        <v>388</v>
      </c>
      <c r="B250" s="46" t="s">
        <v>284</v>
      </c>
      <c r="C250" s="216"/>
      <c r="D250" s="20"/>
      <c r="E250" s="20"/>
    </row>
    <row r="251" spans="1:5" x14ac:dyDescent="0.25">
      <c r="A251" s="26" t="s">
        <v>389</v>
      </c>
      <c r="B251" s="46" t="s">
        <v>284</v>
      </c>
      <c r="C251" s="216">
        <v>2096011</v>
      </c>
      <c r="D251" s="20"/>
      <c r="E251" s="20"/>
    </row>
    <row r="252" spans="1:5" x14ac:dyDescent="0.25">
      <c r="A252" s="20"/>
      <c r="B252" s="20"/>
      <c r="C252" s="27"/>
      <c r="D252" s="20"/>
      <c r="E252" s="20"/>
    </row>
    <row r="253" spans="1:5" x14ac:dyDescent="0.25">
      <c r="A253" s="26" t="s">
        <v>390</v>
      </c>
      <c r="B253" s="20"/>
      <c r="C253" s="27"/>
      <c r="D253" s="32">
        <f>SUM(C250:C252)</f>
        <v>2096011</v>
      </c>
      <c r="E253" s="20"/>
    </row>
    <row r="254" spans="1:5" x14ac:dyDescent="0.25">
      <c r="A254" s="45" t="s">
        <v>391</v>
      </c>
      <c r="B254" s="45"/>
      <c r="C254" s="45"/>
      <c r="D254" s="45"/>
      <c r="E254" s="45"/>
    </row>
    <row r="255" spans="1:5" x14ac:dyDescent="0.25">
      <c r="A255" s="20" t="s">
        <v>392</v>
      </c>
      <c r="B255" s="46" t="s">
        <v>284</v>
      </c>
      <c r="C255" s="47"/>
      <c r="D255" s="20"/>
      <c r="E255" s="20"/>
    </row>
    <row r="256" spans="1:5" x14ac:dyDescent="0.25">
      <c r="A256" s="20" t="s">
        <v>391</v>
      </c>
      <c r="B256" s="46" t="s">
        <v>284</v>
      </c>
      <c r="C256" s="47"/>
      <c r="D256" s="20"/>
      <c r="E256" s="20"/>
    </row>
    <row r="257" spans="1:5" x14ac:dyDescent="0.2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25">
      <c r="A258" s="20"/>
      <c r="B258" s="20"/>
      <c r="C258" s="27"/>
      <c r="D258" s="20"/>
      <c r="E258" s="20"/>
    </row>
    <row r="259" spans="1:5" x14ac:dyDescent="0.25">
      <c r="A259" s="20" t="s">
        <v>394</v>
      </c>
      <c r="B259" s="20"/>
      <c r="C259" s="27"/>
      <c r="D259" s="32">
        <f>D238+D246+D253+D257</f>
        <v>185809259</v>
      </c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20"/>
      <c r="B264" s="20"/>
      <c r="C264" s="27"/>
      <c r="D264" s="20"/>
      <c r="E264" s="20"/>
    </row>
    <row r="265" spans="1:5" x14ac:dyDescent="0.25">
      <c r="A265" s="38" t="s">
        <v>395</v>
      </c>
      <c r="B265" s="38"/>
      <c r="C265" s="38"/>
      <c r="D265" s="38"/>
      <c r="E265" s="38"/>
    </row>
    <row r="266" spans="1:5" x14ac:dyDescent="0.25">
      <c r="A266" s="45" t="s">
        <v>396</v>
      </c>
      <c r="B266" s="45"/>
      <c r="C266" s="45"/>
      <c r="D266" s="45"/>
      <c r="E266" s="45"/>
    </row>
    <row r="267" spans="1:5" x14ac:dyDescent="0.25">
      <c r="A267" s="20" t="s">
        <v>397</v>
      </c>
      <c r="B267" s="46" t="s">
        <v>284</v>
      </c>
      <c r="C267" s="216">
        <v>3260687</v>
      </c>
      <c r="D267" s="20"/>
      <c r="E267" s="20"/>
    </row>
    <row r="268" spans="1:5" x14ac:dyDescent="0.25">
      <c r="A268" s="20" t="s">
        <v>398</v>
      </c>
      <c r="B268" s="46" t="s">
        <v>284</v>
      </c>
      <c r="C268" s="216"/>
      <c r="D268" s="20"/>
      <c r="E268" s="20"/>
    </row>
    <row r="269" spans="1:5" x14ac:dyDescent="0.25">
      <c r="A269" s="20" t="s">
        <v>399</v>
      </c>
      <c r="B269" s="46" t="s">
        <v>284</v>
      </c>
      <c r="C269" s="216">
        <v>68249996</v>
      </c>
      <c r="D269" s="20"/>
      <c r="E269" s="20"/>
    </row>
    <row r="270" spans="1:5" x14ac:dyDescent="0.25">
      <c r="A270" s="20" t="s">
        <v>400</v>
      </c>
      <c r="B270" s="46" t="s">
        <v>284</v>
      </c>
      <c r="C270" s="216">
        <v>51721611</v>
      </c>
      <c r="D270" s="20"/>
      <c r="E270" s="20"/>
    </row>
    <row r="271" spans="1:5" x14ac:dyDescent="0.25">
      <c r="A271" s="20" t="s">
        <v>401</v>
      </c>
      <c r="B271" s="46" t="s">
        <v>284</v>
      </c>
      <c r="C271" s="216"/>
      <c r="D271" s="20"/>
      <c r="E271" s="20"/>
    </row>
    <row r="272" spans="1:5" x14ac:dyDescent="0.25">
      <c r="A272" s="20" t="s">
        <v>402</v>
      </c>
      <c r="B272" s="46" t="s">
        <v>284</v>
      </c>
      <c r="C272" s="216">
        <v>11192504</v>
      </c>
      <c r="D272" s="20"/>
      <c r="E272" s="20"/>
    </row>
    <row r="273" spans="1:5" x14ac:dyDescent="0.25">
      <c r="A273" s="20" t="s">
        <v>403</v>
      </c>
      <c r="B273" s="46" t="s">
        <v>284</v>
      </c>
      <c r="C273" s="216"/>
      <c r="D273" s="20"/>
      <c r="E273" s="20"/>
    </row>
    <row r="274" spans="1:5" x14ac:dyDescent="0.25">
      <c r="A274" s="20" t="s">
        <v>404</v>
      </c>
      <c r="B274" s="46" t="s">
        <v>284</v>
      </c>
      <c r="C274" s="216">
        <v>2199179</v>
      </c>
      <c r="D274" s="20"/>
      <c r="E274" s="20"/>
    </row>
    <row r="275" spans="1:5" x14ac:dyDescent="0.25">
      <c r="A275" s="20" t="s">
        <v>405</v>
      </c>
      <c r="B275" s="46" t="s">
        <v>284</v>
      </c>
      <c r="C275" s="216">
        <v>193519</v>
      </c>
      <c r="D275" s="20"/>
      <c r="E275" s="20"/>
    </row>
    <row r="276" spans="1:5" x14ac:dyDescent="0.25">
      <c r="A276" s="20" t="s">
        <v>406</v>
      </c>
      <c r="B276" s="46" t="s">
        <v>284</v>
      </c>
      <c r="C276" s="216"/>
      <c r="D276" s="20"/>
      <c r="E276" s="20"/>
    </row>
    <row r="277" spans="1:5" x14ac:dyDescent="0.25">
      <c r="A277" s="20" t="s">
        <v>407</v>
      </c>
      <c r="B277" s="20"/>
      <c r="C277" s="27"/>
      <c r="D277" s="32">
        <f>SUM(C267:C269)-C270+SUM(C271:C276)</f>
        <v>33374274</v>
      </c>
      <c r="E277" s="20"/>
    </row>
    <row r="278" spans="1:5" x14ac:dyDescent="0.25">
      <c r="A278" s="45" t="s">
        <v>408</v>
      </c>
      <c r="B278" s="45"/>
      <c r="C278" s="45"/>
      <c r="D278" s="45"/>
      <c r="E278" s="45"/>
    </row>
    <row r="279" spans="1:5" x14ac:dyDescent="0.25">
      <c r="A279" s="20" t="s">
        <v>397</v>
      </c>
      <c r="B279" s="46" t="s">
        <v>284</v>
      </c>
      <c r="C279" s="47"/>
      <c r="D279" s="20"/>
      <c r="E279" s="20"/>
    </row>
    <row r="280" spans="1:5" x14ac:dyDescent="0.25">
      <c r="A280" s="20" t="s">
        <v>398</v>
      </c>
      <c r="B280" s="46" t="s">
        <v>284</v>
      </c>
      <c r="C280" s="47"/>
      <c r="D280" s="20"/>
      <c r="E280" s="20"/>
    </row>
    <row r="281" spans="1:5" x14ac:dyDescent="0.25">
      <c r="A281" s="20" t="s">
        <v>409</v>
      </c>
      <c r="B281" s="46" t="s">
        <v>284</v>
      </c>
      <c r="C281" s="47"/>
      <c r="D281" s="20"/>
      <c r="E281" s="20"/>
    </row>
    <row r="282" spans="1:5" x14ac:dyDescent="0.2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25">
      <c r="A283" s="45" t="s">
        <v>411</v>
      </c>
      <c r="B283" s="45"/>
      <c r="C283" s="45"/>
      <c r="D283" s="45"/>
      <c r="E283" s="45"/>
    </row>
    <row r="284" spans="1:5" x14ac:dyDescent="0.25">
      <c r="A284" s="20" t="s">
        <v>366</v>
      </c>
      <c r="B284" s="46" t="s">
        <v>284</v>
      </c>
      <c r="C284" s="216">
        <v>5072349</v>
      </c>
      <c r="D284" s="20"/>
      <c r="E284" s="20"/>
    </row>
    <row r="285" spans="1:5" x14ac:dyDescent="0.25">
      <c r="A285" s="20" t="s">
        <v>367</v>
      </c>
      <c r="B285" s="46" t="s">
        <v>284</v>
      </c>
      <c r="C285" s="216">
        <v>1430910</v>
      </c>
      <c r="D285" s="20"/>
      <c r="E285" s="20"/>
    </row>
    <row r="286" spans="1:5" x14ac:dyDescent="0.25">
      <c r="A286" s="20" t="s">
        <v>368</v>
      </c>
      <c r="B286" s="46" t="s">
        <v>284</v>
      </c>
      <c r="C286" s="216">
        <v>24903609</v>
      </c>
      <c r="D286" s="20"/>
      <c r="E286" s="20"/>
    </row>
    <row r="287" spans="1:5" x14ac:dyDescent="0.25">
      <c r="A287" s="20" t="s">
        <v>412</v>
      </c>
      <c r="B287" s="46" t="s">
        <v>284</v>
      </c>
      <c r="C287" s="216">
        <v>2817279</v>
      </c>
      <c r="D287" s="20"/>
      <c r="E287" s="20"/>
    </row>
    <row r="288" spans="1:5" x14ac:dyDescent="0.25">
      <c r="A288" s="20" t="s">
        <v>413</v>
      </c>
      <c r="B288" s="46" t="s">
        <v>284</v>
      </c>
      <c r="C288" s="216"/>
      <c r="D288" s="20"/>
      <c r="E288" s="20"/>
    </row>
    <row r="289" spans="1:5" x14ac:dyDescent="0.25">
      <c r="A289" s="20" t="s">
        <v>414</v>
      </c>
      <c r="B289" s="46" t="s">
        <v>284</v>
      </c>
      <c r="C289" s="216">
        <v>27123066</v>
      </c>
      <c r="D289" s="20"/>
      <c r="E289" s="20"/>
    </row>
    <row r="290" spans="1:5" x14ac:dyDescent="0.25">
      <c r="A290" s="20" t="s">
        <v>373</v>
      </c>
      <c r="B290" s="46" t="s">
        <v>284</v>
      </c>
      <c r="C290" s="216"/>
      <c r="D290" s="20"/>
      <c r="E290" s="20"/>
    </row>
    <row r="291" spans="1:5" x14ac:dyDescent="0.25">
      <c r="A291" s="20" t="s">
        <v>374</v>
      </c>
      <c r="B291" s="46" t="s">
        <v>284</v>
      </c>
      <c r="C291" s="216"/>
      <c r="D291" s="20"/>
      <c r="E291" s="20"/>
    </row>
    <row r="292" spans="1:5" x14ac:dyDescent="0.25">
      <c r="A292" s="20" t="s">
        <v>415</v>
      </c>
      <c r="B292" s="20"/>
      <c r="C292" s="27"/>
      <c r="D292" s="32">
        <f>SUM(C284:C291)</f>
        <v>61347213</v>
      </c>
      <c r="E292" s="20"/>
    </row>
    <row r="293" spans="1:5" x14ac:dyDescent="0.25">
      <c r="A293" s="20" t="s">
        <v>416</v>
      </c>
      <c r="B293" s="46" t="s">
        <v>284</v>
      </c>
      <c r="C293" s="47">
        <v>42882416</v>
      </c>
      <c r="D293" s="20"/>
      <c r="E293" s="20"/>
    </row>
    <row r="294" spans="1:5" x14ac:dyDescent="0.25">
      <c r="A294" s="20" t="s">
        <v>417</v>
      </c>
      <c r="B294" s="20"/>
      <c r="C294" s="27"/>
      <c r="D294" s="32">
        <f>D292-C293</f>
        <v>18464797</v>
      </c>
      <c r="E294" s="20"/>
    </row>
    <row r="295" spans="1:5" x14ac:dyDescent="0.25">
      <c r="A295" s="45" t="s">
        <v>418</v>
      </c>
      <c r="B295" s="45"/>
      <c r="C295" s="45"/>
      <c r="D295" s="45"/>
      <c r="E295" s="45"/>
    </row>
    <row r="296" spans="1:5" x14ac:dyDescent="0.25">
      <c r="A296" s="20" t="s">
        <v>419</v>
      </c>
      <c r="B296" s="46" t="s">
        <v>284</v>
      </c>
      <c r="C296" s="216"/>
      <c r="D296" s="20"/>
      <c r="E296" s="20"/>
    </row>
    <row r="297" spans="1:5" x14ac:dyDescent="0.25">
      <c r="A297" s="20" t="s">
        <v>420</v>
      </c>
      <c r="B297" s="46" t="s">
        <v>284</v>
      </c>
      <c r="C297" s="216"/>
      <c r="D297" s="20"/>
      <c r="E297" s="20"/>
    </row>
    <row r="298" spans="1:5" x14ac:dyDescent="0.25">
      <c r="A298" s="20" t="s">
        <v>421</v>
      </c>
      <c r="B298" s="46" t="s">
        <v>284</v>
      </c>
      <c r="C298" s="216"/>
      <c r="D298" s="20"/>
      <c r="E298" s="20"/>
    </row>
    <row r="299" spans="1:5" x14ac:dyDescent="0.25">
      <c r="A299" s="20" t="s">
        <v>409</v>
      </c>
      <c r="B299" s="46" t="s">
        <v>284</v>
      </c>
      <c r="C299" s="216">
        <v>897331</v>
      </c>
      <c r="D299" s="20"/>
      <c r="E299" s="20"/>
    </row>
    <row r="300" spans="1:5" x14ac:dyDescent="0.25">
      <c r="A300" s="20" t="s">
        <v>422</v>
      </c>
      <c r="B300" s="20"/>
      <c r="C300" s="27"/>
      <c r="D300" s="32">
        <f>C296-C297+C298+C299</f>
        <v>897331</v>
      </c>
      <c r="E300" s="20"/>
    </row>
    <row r="301" spans="1:5" x14ac:dyDescent="0.25">
      <c r="A301" s="20"/>
      <c r="B301" s="20"/>
      <c r="C301" s="27"/>
      <c r="D301" s="20"/>
      <c r="E301" s="20"/>
    </row>
    <row r="302" spans="1:5" x14ac:dyDescent="0.25">
      <c r="A302" s="45" t="s">
        <v>423</v>
      </c>
      <c r="B302" s="45"/>
      <c r="C302" s="45"/>
      <c r="D302" s="45"/>
      <c r="E302" s="45"/>
    </row>
    <row r="303" spans="1:5" x14ac:dyDescent="0.25">
      <c r="A303" s="20" t="s">
        <v>424</v>
      </c>
      <c r="B303" s="46" t="s">
        <v>284</v>
      </c>
      <c r="C303" s="216"/>
      <c r="D303" s="20"/>
      <c r="E303" s="20"/>
    </row>
    <row r="304" spans="1:5" x14ac:dyDescent="0.25">
      <c r="A304" s="20" t="s">
        <v>425</v>
      </c>
      <c r="B304" s="46" t="s">
        <v>284</v>
      </c>
      <c r="C304" s="216"/>
      <c r="D304" s="20"/>
      <c r="E304" s="20"/>
    </row>
    <row r="305" spans="1:5" x14ac:dyDescent="0.25">
      <c r="A305" s="20" t="s">
        <v>426</v>
      </c>
      <c r="B305" s="46" t="s">
        <v>284</v>
      </c>
      <c r="C305" s="216"/>
      <c r="D305" s="20"/>
      <c r="E305" s="20"/>
    </row>
    <row r="306" spans="1:5" x14ac:dyDescent="0.25">
      <c r="A306" s="20" t="s">
        <v>427</v>
      </c>
      <c r="B306" s="46" t="s">
        <v>284</v>
      </c>
      <c r="C306" s="216"/>
      <c r="D306" s="20"/>
      <c r="E306" s="20"/>
    </row>
    <row r="307" spans="1:5" x14ac:dyDescent="0.2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25">
      <c r="A308" s="20"/>
      <c r="B308" s="20"/>
      <c r="C308" s="27"/>
      <c r="D308" s="20"/>
      <c r="E308" s="20"/>
    </row>
    <row r="309" spans="1:5" x14ac:dyDescent="0.25">
      <c r="A309" s="20" t="s">
        <v>429</v>
      </c>
      <c r="B309" s="20"/>
      <c r="C309" s="27"/>
      <c r="D309" s="32">
        <f>D277+D282+D294+D300+D307</f>
        <v>52736402</v>
      </c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20"/>
      <c r="B312" s="20"/>
      <c r="C312" s="27"/>
      <c r="D312" s="20"/>
      <c r="E312" s="20"/>
    </row>
    <row r="313" spans="1:5" x14ac:dyDescent="0.25">
      <c r="A313" s="38" t="s">
        <v>430</v>
      </c>
      <c r="B313" s="38"/>
      <c r="C313" s="38"/>
      <c r="D313" s="38"/>
      <c r="E313" s="38"/>
    </row>
    <row r="314" spans="1:5" x14ac:dyDescent="0.25">
      <c r="A314" s="45" t="s">
        <v>431</v>
      </c>
      <c r="B314" s="45"/>
      <c r="C314" s="45"/>
      <c r="D314" s="45"/>
      <c r="E314" s="45"/>
    </row>
    <row r="315" spans="1:5" x14ac:dyDescent="0.25">
      <c r="A315" s="20" t="s">
        <v>432</v>
      </c>
      <c r="B315" s="46" t="s">
        <v>284</v>
      </c>
      <c r="C315" s="216"/>
      <c r="D315" s="20"/>
      <c r="E315" s="20"/>
    </row>
    <row r="316" spans="1:5" x14ac:dyDescent="0.25">
      <c r="A316" s="20" t="s">
        <v>433</v>
      </c>
      <c r="B316" s="46" t="s">
        <v>284</v>
      </c>
      <c r="C316" s="216">
        <v>6469357</v>
      </c>
      <c r="D316" s="20"/>
      <c r="E316" s="20"/>
    </row>
    <row r="317" spans="1:5" x14ac:dyDescent="0.25">
      <c r="A317" s="20" t="s">
        <v>434</v>
      </c>
      <c r="B317" s="46" t="s">
        <v>284</v>
      </c>
      <c r="C317" s="216">
        <v>4701116</v>
      </c>
      <c r="D317" s="20"/>
      <c r="E317" s="20"/>
    </row>
    <row r="318" spans="1:5" x14ac:dyDescent="0.25">
      <c r="A318" s="20" t="s">
        <v>435</v>
      </c>
      <c r="B318" s="46" t="s">
        <v>284</v>
      </c>
      <c r="C318" s="216">
        <v>3084</v>
      </c>
      <c r="D318" s="20"/>
      <c r="E318" s="20"/>
    </row>
    <row r="319" spans="1:5" x14ac:dyDescent="0.25">
      <c r="A319" s="20" t="s">
        <v>436</v>
      </c>
      <c r="B319" s="46" t="s">
        <v>284</v>
      </c>
      <c r="C319" s="216"/>
      <c r="D319" s="20"/>
      <c r="E319" s="20"/>
    </row>
    <row r="320" spans="1:5" x14ac:dyDescent="0.25">
      <c r="A320" s="20" t="s">
        <v>437</v>
      </c>
      <c r="B320" s="46" t="s">
        <v>284</v>
      </c>
      <c r="C320" s="216">
        <v>1974956</v>
      </c>
      <c r="D320" s="20"/>
      <c r="E320" s="20"/>
    </row>
    <row r="321" spans="1:5" x14ac:dyDescent="0.25">
      <c r="A321" s="20" t="s">
        <v>438</v>
      </c>
      <c r="B321" s="46" t="s">
        <v>284</v>
      </c>
      <c r="C321" s="216"/>
      <c r="D321" s="20"/>
      <c r="E321" s="20"/>
    </row>
    <row r="322" spans="1:5" x14ac:dyDescent="0.25">
      <c r="A322" s="20" t="s">
        <v>439</v>
      </c>
      <c r="B322" s="46" t="s">
        <v>284</v>
      </c>
      <c r="C322" s="216"/>
      <c r="D322" s="20"/>
      <c r="E322" s="20"/>
    </row>
    <row r="323" spans="1:5" x14ac:dyDescent="0.25">
      <c r="A323" s="20" t="s">
        <v>440</v>
      </c>
      <c r="B323" s="46" t="s">
        <v>284</v>
      </c>
      <c r="C323" s="216">
        <v>1190509</v>
      </c>
      <c r="D323" s="20"/>
      <c r="E323" s="20"/>
    </row>
    <row r="324" spans="1:5" x14ac:dyDescent="0.25">
      <c r="A324" s="20" t="s">
        <v>441</v>
      </c>
      <c r="B324" s="46" t="s">
        <v>284</v>
      </c>
      <c r="C324" s="216"/>
      <c r="D324" s="20"/>
      <c r="E324" s="20"/>
    </row>
    <row r="325" spans="1:5" x14ac:dyDescent="0.25">
      <c r="A325" s="20" t="s">
        <v>442</v>
      </c>
      <c r="B325" s="20"/>
      <c r="C325" s="27"/>
      <c r="D325" s="32">
        <f>SUM(C315:C324)</f>
        <v>14339022</v>
      </c>
      <c r="E325" s="20"/>
    </row>
    <row r="326" spans="1:5" x14ac:dyDescent="0.25">
      <c r="A326" s="45" t="s">
        <v>443</v>
      </c>
      <c r="B326" s="45"/>
      <c r="C326" s="45"/>
      <c r="D326" s="45"/>
      <c r="E326" s="45"/>
    </row>
    <row r="327" spans="1:5" x14ac:dyDescent="0.25">
      <c r="A327" s="20" t="s">
        <v>444</v>
      </c>
      <c r="B327" s="46" t="s">
        <v>284</v>
      </c>
      <c r="C327" s="216"/>
      <c r="D327" s="20"/>
      <c r="E327" s="20"/>
    </row>
    <row r="328" spans="1:5" x14ac:dyDescent="0.25">
      <c r="A328" s="20" t="s">
        <v>445</v>
      </c>
      <c r="B328" s="46" t="s">
        <v>284</v>
      </c>
      <c r="C328" s="216"/>
      <c r="D328" s="20"/>
      <c r="E328" s="20"/>
    </row>
    <row r="329" spans="1:5" x14ac:dyDescent="0.25">
      <c r="A329" s="20" t="s">
        <v>446</v>
      </c>
      <c r="B329" s="46" t="s">
        <v>284</v>
      </c>
      <c r="C329" s="216"/>
      <c r="D329" s="20"/>
      <c r="E329" s="20"/>
    </row>
    <row r="330" spans="1:5" x14ac:dyDescent="0.2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25">
      <c r="A331" s="45" t="s">
        <v>448</v>
      </c>
      <c r="B331" s="45"/>
      <c r="C331" s="45"/>
      <c r="D331" s="45"/>
      <c r="E331" s="45"/>
    </row>
    <row r="332" spans="1:5" x14ac:dyDescent="0.25">
      <c r="A332" s="20" t="s">
        <v>449</v>
      </c>
      <c r="B332" s="46" t="s">
        <v>284</v>
      </c>
      <c r="C332" s="216"/>
      <c r="D332" s="20"/>
      <c r="E332" s="20"/>
    </row>
    <row r="333" spans="1:5" x14ac:dyDescent="0.25">
      <c r="A333" s="20" t="s">
        <v>450</v>
      </c>
      <c r="B333" s="46" t="s">
        <v>284</v>
      </c>
      <c r="C333" s="216"/>
      <c r="D333" s="20"/>
      <c r="E333" s="20"/>
    </row>
    <row r="334" spans="1:5" x14ac:dyDescent="0.25">
      <c r="A334" s="20" t="s">
        <v>451</v>
      </c>
      <c r="B334" s="46" t="s">
        <v>284</v>
      </c>
      <c r="C334" s="216"/>
      <c r="D334" s="20"/>
      <c r="E334" s="20"/>
    </row>
    <row r="335" spans="1:5" x14ac:dyDescent="0.25">
      <c r="A335" s="26" t="s">
        <v>452</v>
      </c>
      <c r="B335" s="46" t="s">
        <v>284</v>
      </c>
      <c r="C335" s="216"/>
      <c r="D335" s="20"/>
      <c r="E335" s="20"/>
    </row>
    <row r="336" spans="1:5" x14ac:dyDescent="0.25">
      <c r="A336" s="20" t="s">
        <v>453</v>
      </c>
      <c r="B336" s="46" t="s">
        <v>284</v>
      </c>
      <c r="C336" s="216"/>
      <c r="D336" s="20"/>
      <c r="E336" s="20"/>
    </row>
    <row r="337" spans="1:5" x14ac:dyDescent="0.25">
      <c r="A337" s="26" t="s">
        <v>454</v>
      </c>
      <c r="B337" s="46" t="s">
        <v>284</v>
      </c>
      <c r="C337" s="216"/>
      <c r="D337" s="20"/>
      <c r="E337" s="20"/>
    </row>
    <row r="338" spans="1:5" x14ac:dyDescent="0.25">
      <c r="A338" s="26" t="s">
        <v>455</v>
      </c>
      <c r="B338" s="46" t="s">
        <v>284</v>
      </c>
      <c r="C338" s="272"/>
      <c r="D338" s="20"/>
      <c r="E338" s="20"/>
    </row>
    <row r="339" spans="1:5" x14ac:dyDescent="0.25">
      <c r="A339" s="20" t="s">
        <v>456</v>
      </c>
      <c r="B339" s="46" t="s">
        <v>284</v>
      </c>
      <c r="C339" s="216"/>
      <c r="D339" s="20"/>
      <c r="E339" s="20"/>
    </row>
    <row r="340" spans="1:5" x14ac:dyDescent="0.25">
      <c r="A340" s="20" t="s">
        <v>215</v>
      </c>
      <c r="B340" s="20"/>
      <c r="C340" s="27"/>
      <c r="D340" s="32">
        <f>SUM(C332:C339)</f>
        <v>0</v>
      </c>
      <c r="E340" s="20"/>
    </row>
    <row r="341" spans="1:5" x14ac:dyDescent="0.2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25">
      <c r="A342" s="20" t="s">
        <v>458</v>
      </c>
      <c r="B342" s="20"/>
      <c r="C342" s="27"/>
      <c r="D342" s="32">
        <f>D340-D341</f>
        <v>0</v>
      </c>
      <c r="E342" s="20"/>
    </row>
    <row r="343" spans="1:5" x14ac:dyDescent="0.25">
      <c r="A343" s="20"/>
      <c r="B343" s="20"/>
      <c r="C343" s="27"/>
      <c r="D343" s="20"/>
      <c r="E343" s="20"/>
    </row>
    <row r="344" spans="1:5" x14ac:dyDescent="0.25">
      <c r="A344" s="20" t="s">
        <v>459</v>
      </c>
      <c r="B344" s="46" t="s">
        <v>284</v>
      </c>
      <c r="C344" s="221">
        <v>38397380</v>
      </c>
      <c r="D344" s="20"/>
      <c r="E344" s="20"/>
    </row>
    <row r="345" spans="1:5" x14ac:dyDescent="0.25">
      <c r="A345" s="20"/>
      <c r="B345" s="46"/>
      <c r="C345" s="57"/>
      <c r="D345" s="20"/>
      <c r="E345" s="20"/>
    </row>
    <row r="346" spans="1:5" x14ac:dyDescent="0.25">
      <c r="A346" s="20" t="s">
        <v>460</v>
      </c>
      <c r="B346" s="46" t="s">
        <v>284</v>
      </c>
      <c r="C346" s="234"/>
      <c r="D346" s="20"/>
      <c r="E346" s="20"/>
    </row>
    <row r="347" spans="1:5" x14ac:dyDescent="0.25">
      <c r="A347" s="20" t="s">
        <v>461</v>
      </c>
      <c r="B347" s="46" t="s">
        <v>284</v>
      </c>
      <c r="C347" s="234"/>
      <c r="D347" s="20"/>
      <c r="E347" s="20"/>
    </row>
    <row r="348" spans="1:5" x14ac:dyDescent="0.25">
      <c r="A348" s="20" t="s">
        <v>462</v>
      </c>
      <c r="B348" s="46" t="s">
        <v>284</v>
      </c>
      <c r="C348" s="234"/>
      <c r="D348" s="20"/>
      <c r="E348" s="20"/>
    </row>
    <row r="349" spans="1:5" x14ac:dyDescent="0.25">
      <c r="A349" s="20" t="s">
        <v>463</v>
      </c>
      <c r="B349" s="46" t="s">
        <v>284</v>
      </c>
      <c r="C349" s="234"/>
      <c r="D349" s="20"/>
      <c r="E349" s="20"/>
    </row>
    <row r="350" spans="1:5" x14ac:dyDescent="0.25">
      <c r="A350" s="20" t="s">
        <v>464</v>
      </c>
      <c r="B350" s="46" t="s">
        <v>284</v>
      </c>
      <c r="C350" s="234"/>
      <c r="D350" s="20"/>
      <c r="E350" s="20"/>
    </row>
    <row r="351" spans="1:5" x14ac:dyDescent="0.25">
      <c r="A351" s="20" t="s">
        <v>465</v>
      </c>
      <c r="B351" s="20"/>
      <c r="C351" s="27"/>
      <c r="D351" s="32">
        <f>D325+D330+D342+C344+C348+C349</f>
        <v>52736402</v>
      </c>
      <c r="E351" s="20"/>
    </row>
    <row r="352" spans="1:5" x14ac:dyDescent="0.25">
      <c r="A352" s="20"/>
      <c r="B352" s="20"/>
      <c r="C352" s="27"/>
      <c r="D352" s="20"/>
      <c r="E352" s="20"/>
    </row>
    <row r="353" spans="1:5" x14ac:dyDescent="0.25">
      <c r="A353" s="20" t="s">
        <v>466</v>
      </c>
      <c r="B353" s="20"/>
      <c r="C353" s="27"/>
      <c r="D353" s="32">
        <f>D309</f>
        <v>52736402</v>
      </c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20"/>
      <c r="B356" s="20"/>
      <c r="C356" s="27"/>
      <c r="D356" s="20"/>
      <c r="E356" s="20"/>
    </row>
    <row r="357" spans="1:5" x14ac:dyDescent="0.25">
      <c r="A357" s="38" t="s">
        <v>467</v>
      </c>
      <c r="B357" s="38"/>
      <c r="C357" s="38"/>
      <c r="D357" s="38"/>
      <c r="E357" s="38"/>
    </row>
    <row r="358" spans="1:5" x14ac:dyDescent="0.25">
      <c r="A358" s="45" t="s">
        <v>468</v>
      </c>
      <c r="B358" s="45"/>
      <c r="C358" s="45"/>
      <c r="D358" s="45"/>
      <c r="E358" s="45"/>
    </row>
    <row r="359" spans="1:5" x14ac:dyDescent="0.25">
      <c r="A359" s="20" t="s">
        <v>469</v>
      </c>
      <c r="B359" s="46" t="s">
        <v>284</v>
      </c>
      <c r="C359" s="235">
        <v>98512481</v>
      </c>
      <c r="D359" s="20"/>
      <c r="E359" s="20"/>
    </row>
    <row r="360" spans="1:5" x14ac:dyDescent="0.25">
      <c r="A360" s="20" t="s">
        <v>470</v>
      </c>
      <c r="B360" s="46" t="s">
        <v>284</v>
      </c>
      <c r="C360" s="235">
        <v>178112541</v>
      </c>
      <c r="D360" s="20"/>
      <c r="E360" s="20"/>
    </row>
    <row r="361" spans="1:5" x14ac:dyDescent="0.25">
      <c r="A361" s="20" t="s">
        <v>471</v>
      </c>
      <c r="B361" s="20"/>
      <c r="C361" s="27"/>
      <c r="D361" s="32">
        <f>SUM(C359:C360)</f>
        <v>276625022</v>
      </c>
      <c r="E361" s="20"/>
    </row>
    <row r="362" spans="1:5" x14ac:dyDescent="0.25">
      <c r="A362" s="45" t="s">
        <v>472</v>
      </c>
      <c r="B362" s="45"/>
      <c r="C362" s="45"/>
      <c r="D362" s="45"/>
      <c r="E362" s="45"/>
    </row>
    <row r="363" spans="1:5" x14ac:dyDescent="0.25">
      <c r="A363" s="20" t="s">
        <v>377</v>
      </c>
      <c r="B363" s="45"/>
      <c r="C363" s="216">
        <v>13892281</v>
      </c>
      <c r="D363" s="20"/>
      <c r="E363" s="45"/>
    </row>
    <row r="364" spans="1:5" x14ac:dyDescent="0.25">
      <c r="A364" s="20" t="s">
        <v>473</v>
      </c>
      <c r="B364" s="46" t="s">
        <v>284</v>
      </c>
      <c r="C364" s="216">
        <v>169820967</v>
      </c>
      <c r="D364" s="20"/>
      <c r="E364" s="20"/>
    </row>
    <row r="365" spans="1:5" x14ac:dyDescent="0.25">
      <c r="A365" s="20" t="s">
        <v>474</v>
      </c>
      <c r="B365" s="46" t="s">
        <v>284</v>
      </c>
      <c r="C365" s="216">
        <v>2096011</v>
      </c>
      <c r="D365" s="20"/>
      <c r="E365" s="20"/>
    </row>
    <row r="366" spans="1:5" x14ac:dyDescent="0.25">
      <c r="A366" s="20" t="s">
        <v>475</v>
      </c>
      <c r="B366" s="46" t="s">
        <v>284</v>
      </c>
      <c r="C366" s="216"/>
      <c r="D366" s="20"/>
      <c r="E366" s="20"/>
    </row>
    <row r="367" spans="1:5" x14ac:dyDescent="0.25">
      <c r="A367" s="20" t="s">
        <v>394</v>
      </c>
      <c r="B367" s="20"/>
      <c r="C367" s="27"/>
      <c r="D367" s="32">
        <f>SUM(C363:C366)</f>
        <v>185809259</v>
      </c>
      <c r="E367" s="20"/>
    </row>
    <row r="368" spans="1:5" x14ac:dyDescent="0.25">
      <c r="A368" s="20" t="s">
        <v>476</v>
      </c>
      <c r="B368" s="20"/>
      <c r="C368" s="27"/>
      <c r="D368" s="32">
        <f>D361-D367</f>
        <v>90815763</v>
      </c>
      <c r="E368" s="20"/>
    </row>
    <row r="369" spans="1:6" x14ac:dyDescent="0.25">
      <c r="A369" s="58" t="s">
        <v>477</v>
      </c>
      <c r="B369" s="45"/>
      <c r="C369" s="45"/>
      <c r="D369" s="45"/>
      <c r="E369" s="45"/>
    </row>
    <row r="370" spans="1:6" x14ac:dyDescent="0.25">
      <c r="A370" s="32" t="s">
        <v>478</v>
      </c>
      <c r="B370" s="20"/>
      <c r="C370" s="20"/>
      <c r="D370" s="20"/>
      <c r="E370" s="20"/>
    </row>
    <row r="371" spans="1:6" x14ac:dyDescent="0.25">
      <c r="A371" s="59" t="s">
        <v>479</v>
      </c>
      <c r="B371" s="40" t="s">
        <v>284</v>
      </c>
      <c r="C371" s="273"/>
      <c r="D371" s="32"/>
      <c r="E371" s="32"/>
    </row>
    <row r="372" spans="1:6" x14ac:dyDescent="0.25">
      <c r="A372" s="59" t="s">
        <v>480</v>
      </c>
      <c r="B372" s="40" t="s">
        <v>284</v>
      </c>
      <c r="C372" s="273"/>
      <c r="D372" s="32"/>
      <c r="E372" s="32"/>
    </row>
    <row r="373" spans="1:6" x14ac:dyDescent="0.25">
      <c r="A373" s="59" t="s">
        <v>481</v>
      </c>
      <c r="B373" s="40" t="s">
        <v>284</v>
      </c>
      <c r="C373" s="273"/>
      <c r="D373" s="32"/>
      <c r="E373" s="32"/>
    </row>
    <row r="374" spans="1:6" x14ac:dyDescent="0.25">
      <c r="A374" s="59" t="s">
        <v>482</v>
      </c>
      <c r="B374" s="40" t="s">
        <v>284</v>
      </c>
      <c r="C374" s="273"/>
      <c r="D374" s="32"/>
      <c r="E374" s="32"/>
    </row>
    <row r="375" spans="1:6" x14ac:dyDescent="0.25">
      <c r="A375" s="59" t="s">
        <v>483</v>
      </c>
      <c r="B375" s="40" t="s">
        <v>284</v>
      </c>
      <c r="C375" s="273"/>
      <c r="D375" s="32"/>
      <c r="E375" s="32"/>
    </row>
    <row r="376" spans="1:6" x14ac:dyDescent="0.25">
      <c r="A376" s="59" t="s">
        <v>484</v>
      </c>
      <c r="B376" s="40" t="s">
        <v>284</v>
      </c>
      <c r="C376" s="273"/>
      <c r="D376" s="32"/>
      <c r="E376" s="32"/>
    </row>
    <row r="377" spans="1:6" x14ac:dyDescent="0.25">
      <c r="A377" s="59" t="s">
        <v>485</v>
      </c>
      <c r="B377" s="40" t="s">
        <v>284</v>
      </c>
      <c r="C377" s="273"/>
      <c r="D377" s="32"/>
      <c r="E377" s="32"/>
    </row>
    <row r="378" spans="1:6" x14ac:dyDescent="0.25">
      <c r="A378" s="59" t="s">
        <v>486</v>
      </c>
      <c r="B378" s="40" t="s">
        <v>284</v>
      </c>
      <c r="C378" s="273"/>
      <c r="D378" s="32"/>
      <c r="E378" s="32"/>
    </row>
    <row r="379" spans="1:6" x14ac:dyDescent="0.25">
      <c r="A379" s="59" t="s">
        <v>487</v>
      </c>
      <c r="B379" s="40" t="s">
        <v>284</v>
      </c>
      <c r="C379" s="273"/>
      <c r="D379" s="32"/>
      <c r="E379" s="32"/>
    </row>
    <row r="380" spans="1:6" x14ac:dyDescent="0.25">
      <c r="A380" s="59" t="s">
        <v>488</v>
      </c>
      <c r="B380" s="40" t="s">
        <v>284</v>
      </c>
      <c r="C380" s="273"/>
      <c r="D380" s="32"/>
      <c r="E380" s="32"/>
    </row>
    <row r="381" spans="1:6" x14ac:dyDescent="0.25">
      <c r="A381" s="59" t="s">
        <v>489</v>
      </c>
      <c r="B381" s="40" t="s">
        <v>284</v>
      </c>
      <c r="C381" s="236">
        <v>10215323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25">
      <c r="A382" s="61" t="s">
        <v>490</v>
      </c>
      <c r="B382" s="46"/>
      <c r="C382" s="46"/>
      <c r="D382" s="32">
        <f>SUM(C371:C381)</f>
        <v>10215323</v>
      </c>
      <c r="E382" s="32"/>
      <c r="F382" s="60"/>
    </row>
    <row r="383" spans="1:6" x14ac:dyDescent="0.25">
      <c r="A383" s="56" t="s">
        <v>491</v>
      </c>
      <c r="B383" s="46" t="s">
        <v>284</v>
      </c>
      <c r="C383" s="47"/>
      <c r="D383" s="32"/>
      <c r="E383" s="20"/>
    </row>
    <row r="384" spans="1:6" x14ac:dyDescent="0.25">
      <c r="A384" s="20" t="s">
        <v>492</v>
      </c>
      <c r="B384" s="20"/>
      <c r="C384" s="27"/>
      <c r="D384" s="32">
        <f>D382+C383</f>
        <v>10215323</v>
      </c>
      <c r="E384" s="20"/>
    </row>
    <row r="385" spans="1:5" x14ac:dyDescent="0.25">
      <c r="A385" s="20" t="s">
        <v>493</v>
      </c>
      <c r="B385" s="20"/>
      <c r="C385" s="27"/>
      <c r="D385" s="32">
        <f>D368+D384</f>
        <v>101031086</v>
      </c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20"/>
      <c r="B388" s="20"/>
      <c r="C388" s="27"/>
      <c r="D388" s="20"/>
      <c r="E388" s="20"/>
    </row>
    <row r="389" spans="1:5" x14ac:dyDescent="0.25">
      <c r="A389" s="45" t="s">
        <v>494</v>
      </c>
      <c r="B389" s="45"/>
      <c r="C389" s="45"/>
      <c r="D389" s="45"/>
      <c r="E389" s="45"/>
    </row>
    <row r="390" spans="1:5" x14ac:dyDescent="0.25">
      <c r="A390" s="20" t="s">
        <v>495</v>
      </c>
      <c r="B390" s="46" t="s">
        <v>284</v>
      </c>
      <c r="C390" s="216">
        <v>27814396</v>
      </c>
      <c r="D390" s="20"/>
      <c r="E390" s="20"/>
    </row>
    <row r="391" spans="1:5" x14ac:dyDescent="0.25">
      <c r="A391" s="20" t="s">
        <v>9</v>
      </c>
      <c r="B391" s="46" t="s">
        <v>284</v>
      </c>
      <c r="C391" s="216">
        <v>4902620</v>
      </c>
      <c r="D391" s="20"/>
      <c r="E391" s="20"/>
    </row>
    <row r="392" spans="1:5" x14ac:dyDescent="0.25">
      <c r="A392" s="20" t="s">
        <v>249</v>
      </c>
      <c r="B392" s="46" t="s">
        <v>284</v>
      </c>
      <c r="C392" s="216">
        <v>1830383</v>
      </c>
      <c r="D392" s="20"/>
      <c r="E392" s="20"/>
    </row>
    <row r="393" spans="1:5" x14ac:dyDescent="0.25">
      <c r="A393" s="20" t="s">
        <v>496</v>
      </c>
      <c r="B393" s="46" t="s">
        <v>284</v>
      </c>
      <c r="C393" s="216">
        <v>15019378</v>
      </c>
      <c r="D393" s="20"/>
      <c r="E393" s="20"/>
    </row>
    <row r="394" spans="1:5" x14ac:dyDescent="0.25">
      <c r="A394" s="20" t="s">
        <v>497</v>
      </c>
      <c r="B394" s="46" t="s">
        <v>284</v>
      </c>
      <c r="C394" s="216">
        <v>941070</v>
      </c>
      <c r="D394" s="20"/>
      <c r="E394" s="20"/>
    </row>
    <row r="395" spans="1:5" x14ac:dyDescent="0.25">
      <c r="A395" s="20" t="s">
        <v>498</v>
      </c>
      <c r="B395" s="46" t="s">
        <v>284</v>
      </c>
      <c r="C395" s="216">
        <v>28218700</v>
      </c>
      <c r="D395" s="20"/>
      <c r="E395" s="20"/>
    </row>
    <row r="396" spans="1:5" x14ac:dyDescent="0.25">
      <c r="A396" s="20" t="s">
        <v>11</v>
      </c>
      <c r="B396" s="46" t="s">
        <v>284</v>
      </c>
      <c r="C396" s="216">
        <v>2432715</v>
      </c>
      <c r="D396" s="20"/>
      <c r="E396" s="20"/>
    </row>
    <row r="397" spans="1:5" x14ac:dyDescent="0.25">
      <c r="A397" s="20" t="s">
        <v>499</v>
      </c>
      <c r="B397" s="46" t="s">
        <v>284</v>
      </c>
      <c r="C397" s="216">
        <v>931750</v>
      </c>
      <c r="D397" s="20"/>
      <c r="E397" s="20"/>
    </row>
    <row r="398" spans="1:5" x14ac:dyDescent="0.25">
      <c r="A398" s="20" t="s">
        <v>500</v>
      </c>
      <c r="B398" s="46" t="s">
        <v>284</v>
      </c>
      <c r="C398" s="216">
        <v>1704231</v>
      </c>
      <c r="D398" s="20"/>
      <c r="E398" s="20"/>
    </row>
    <row r="399" spans="1:5" x14ac:dyDescent="0.25">
      <c r="A399" s="20" t="s">
        <v>501</v>
      </c>
      <c r="B399" s="46" t="s">
        <v>284</v>
      </c>
      <c r="C399" s="216">
        <v>907092</v>
      </c>
      <c r="D399" s="20"/>
      <c r="E399" s="20"/>
    </row>
    <row r="400" spans="1:5" x14ac:dyDescent="0.25">
      <c r="A400" s="20" t="s">
        <v>502</v>
      </c>
      <c r="B400" s="46" t="s">
        <v>284</v>
      </c>
      <c r="C400" s="216">
        <v>4580016</v>
      </c>
      <c r="D400" s="20"/>
      <c r="E400" s="20"/>
    </row>
    <row r="401" spans="1:9" x14ac:dyDescent="0.25">
      <c r="A401" s="32" t="s">
        <v>503</v>
      </c>
      <c r="B401" s="20"/>
      <c r="C401" s="20"/>
      <c r="D401" s="20"/>
      <c r="E401" s="20"/>
    </row>
    <row r="402" spans="1:9" x14ac:dyDescent="0.25">
      <c r="A402" s="33" t="s">
        <v>255</v>
      </c>
      <c r="B402" s="40" t="s">
        <v>284</v>
      </c>
      <c r="C402" s="273"/>
      <c r="D402" s="32"/>
      <c r="E402" s="32"/>
    </row>
    <row r="403" spans="1:9" x14ac:dyDescent="0.25">
      <c r="A403" s="33" t="s">
        <v>256</v>
      </c>
      <c r="B403" s="40" t="s">
        <v>284</v>
      </c>
      <c r="C403" s="273"/>
      <c r="D403" s="32"/>
      <c r="E403" s="32"/>
    </row>
    <row r="404" spans="1:9" x14ac:dyDescent="0.25">
      <c r="A404" s="33" t="s">
        <v>504</v>
      </c>
      <c r="B404" s="40" t="s">
        <v>284</v>
      </c>
      <c r="C404" s="273"/>
      <c r="D404" s="32"/>
      <c r="E404" s="32"/>
    </row>
    <row r="405" spans="1:9" x14ac:dyDescent="0.25">
      <c r="A405" s="33" t="s">
        <v>258</v>
      </c>
      <c r="B405" s="40" t="s">
        <v>284</v>
      </c>
      <c r="C405" s="273"/>
      <c r="D405" s="32"/>
      <c r="E405" s="32"/>
    </row>
    <row r="406" spans="1:9" x14ac:dyDescent="0.25">
      <c r="A406" s="33" t="s">
        <v>259</v>
      </c>
      <c r="B406" s="40" t="s">
        <v>284</v>
      </c>
      <c r="C406" s="273"/>
      <c r="D406" s="32"/>
      <c r="E406" s="32"/>
    </row>
    <row r="407" spans="1:9" x14ac:dyDescent="0.25">
      <c r="A407" s="33" t="s">
        <v>260</v>
      </c>
      <c r="B407" s="40" t="s">
        <v>284</v>
      </c>
      <c r="C407" s="273"/>
      <c r="D407" s="32"/>
      <c r="E407" s="32"/>
    </row>
    <row r="408" spans="1:9" x14ac:dyDescent="0.25">
      <c r="A408" s="33" t="s">
        <v>261</v>
      </c>
      <c r="B408" s="40" t="s">
        <v>284</v>
      </c>
      <c r="C408" s="273"/>
      <c r="D408" s="32"/>
      <c r="E408" s="32"/>
    </row>
    <row r="409" spans="1:9" x14ac:dyDescent="0.25">
      <c r="A409" s="33" t="s">
        <v>262</v>
      </c>
      <c r="B409" s="40" t="s">
        <v>284</v>
      </c>
      <c r="C409" s="273"/>
      <c r="D409" s="32"/>
      <c r="E409" s="32"/>
    </row>
    <row r="410" spans="1:9" x14ac:dyDescent="0.25">
      <c r="A410" s="33" t="s">
        <v>263</v>
      </c>
      <c r="B410" s="40" t="s">
        <v>284</v>
      </c>
      <c r="C410" s="273"/>
      <c r="D410" s="32"/>
      <c r="E410" s="32"/>
    </row>
    <row r="411" spans="1:9" x14ac:dyDescent="0.25">
      <c r="A411" s="33" t="s">
        <v>264</v>
      </c>
      <c r="B411" s="40" t="s">
        <v>284</v>
      </c>
      <c r="C411" s="273"/>
      <c r="D411" s="32"/>
      <c r="E411" s="32"/>
    </row>
    <row r="412" spans="1:9" x14ac:dyDescent="0.25">
      <c r="A412" s="33" t="s">
        <v>265</v>
      </c>
      <c r="B412" s="40" t="s">
        <v>284</v>
      </c>
      <c r="C412" s="273"/>
      <c r="D412" s="32"/>
      <c r="E412" s="32"/>
    </row>
    <row r="413" spans="1:9" x14ac:dyDescent="0.25">
      <c r="A413" s="33" t="s">
        <v>266</v>
      </c>
      <c r="B413" s="40" t="s">
        <v>284</v>
      </c>
      <c r="C413" s="273"/>
      <c r="D413" s="32"/>
      <c r="E413" s="32"/>
    </row>
    <row r="414" spans="1:9" x14ac:dyDescent="0.25">
      <c r="A414" s="33" t="s">
        <v>267</v>
      </c>
      <c r="B414" s="40" t="s">
        <v>284</v>
      </c>
      <c r="C414" s="273"/>
      <c r="D414" s="32"/>
      <c r="E414" s="32"/>
    </row>
    <row r="415" spans="1:9" x14ac:dyDescent="0.25">
      <c r="A415" s="33" t="s">
        <v>268</v>
      </c>
      <c r="B415" s="40" t="s">
        <v>284</v>
      </c>
      <c r="C415" s="236">
        <v>737227</v>
      </c>
      <c r="D415" s="32"/>
      <c r="E415" s="237" t="str">
        <f>IF(OR(C415&gt;999999,C415/(D417)&gt;0.01),"Additional Classification Necessary - See Responses-2 Tab","")</f>
        <v/>
      </c>
      <c r="F415" s="60"/>
      <c r="G415" s="60"/>
      <c r="H415" s="60"/>
      <c r="I415" s="60"/>
    </row>
    <row r="416" spans="1:9" x14ac:dyDescent="0.25">
      <c r="A416" s="62" t="s">
        <v>505</v>
      </c>
      <c r="B416" s="46"/>
      <c r="C416" s="46"/>
      <c r="D416" s="32">
        <f>SUM(C402:C415)</f>
        <v>737227</v>
      </c>
      <c r="E416" s="32"/>
      <c r="F416" s="60"/>
      <c r="G416" s="60"/>
      <c r="H416" s="60"/>
      <c r="I416" s="60"/>
    </row>
    <row r="417" spans="1:13" x14ac:dyDescent="0.25">
      <c r="A417" s="32" t="s">
        <v>506</v>
      </c>
      <c r="B417" s="20"/>
      <c r="C417" s="27"/>
      <c r="D417" s="32">
        <f>SUM(C390:C400,D416)</f>
        <v>90019578</v>
      </c>
      <c r="E417" s="32"/>
    </row>
    <row r="418" spans="1:13" x14ac:dyDescent="0.25">
      <c r="A418" s="32" t="s">
        <v>507</v>
      </c>
      <c r="B418" s="20"/>
      <c r="C418" s="27"/>
      <c r="D418" s="32">
        <f>D385-D417</f>
        <v>11011508</v>
      </c>
      <c r="E418" s="32"/>
    </row>
    <row r="419" spans="1:13" x14ac:dyDescent="0.25">
      <c r="A419" s="32" t="s">
        <v>508</v>
      </c>
      <c r="B419" s="20"/>
      <c r="C419" s="236">
        <v>159585</v>
      </c>
      <c r="D419" s="32"/>
      <c r="E419" s="32"/>
    </row>
    <row r="420" spans="1:13" x14ac:dyDescent="0.25">
      <c r="A420" s="59" t="s">
        <v>509</v>
      </c>
      <c r="B420" s="46" t="s">
        <v>284</v>
      </c>
      <c r="C420" s="273"/>
      <c r="D420" s="32"/>
      <c r="E420" s="32"/>
    </row>
    <row r="421" spans="1:13" x14ac:dyDescent="0.25">
      <c r="A421" s="61" t="s">
        <v>510</v>
      </c>
      <c r="B421" s="20"/>
      <c r="C421" s="20"/>
      <c r="D421" s="32">
        <f>SUM(C419:C420)</f>
        <v>159585</v>
      </c>
      <c r="E421" s="32"/>
    </row>
    <row r="422" spans="1:13" x14ac:dyDescent="0.25">
      <c r="A422" s="32" t="s">
        <v>511</v>
      </c>
      <c r="B422" s="20"/>
      <c r="C422" s="27"/>
      <c r="D422" s="32">
        <f>D418+D421</f>
        <v>11171093</v>
      </c>
      <c r="E422" s="32"/>
      <c r="F422" s="63"/>
    </row>
    <row r="423" spans="1:13" x14ac:dyDescent="0.25">
      <c r="A423" s="32" t="s">
        <v>512</v>
      </c>
      <c r="B423" s="46" t="s">
        <v>284</v>
      </c>
      <c r="C423" s="47"/>
      <c r="D423" s="32"/>
      <c r="E423" s="20"/>
    </row>
    <row r="424" spans="1:13" x14ac:dyDescent="0.25">
      <c r="A424" s="20" t="s">
        <v>513</v>
      </c>
      <c r="B424" s="46" t="s">
        <v>284</v>
      </c>
      <c r="C424" s="47"/>
      <c r="D424" s="32"/>
      <c r="E424" s="20"/>
    </row>
    <row r="425" spans="1:13" x14ac:dyDescent="0.25">
      <c r="A425" s="20" t="s">
        <v>514</v>
      </c>
      <c r="B425" s="20"/>
      <c r="C425" s="27"/>
      <c r="D425" s="32">
        <f>D422+C423-C424</f>
        <v>11171093</v>
      </c>
      <c r="E425" s="20"/>
    </row>
    <row r="428" spans="1:13" x14ac:dyDescent="0.25">
      <c r="M428" s="64"/>
    </row>
    <row r="429" spans="1:13" x14ac:dyDescent="0.25">
      <c r="M429" s="64"/>
    </row>
    <row r="430" spans="1:13" x14ac:dyDescent="0.25">
      <c r="M430" s="64"/>
    </row>
    <row r="434" spans="2:7" x14ac:dyDescent="0.25">
      <c r="B434" s="65"/>
      <c r="C434" s="65"/>
      <c r="D434" s="65"/>
      <c r="E434" s="65"/>
      <c r="F434" s="65"/>
      <c r="G434" s="65"/>
    </row>
    <row r="575" spans="2:83" x14ac:dyDescent="0.2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2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2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" customHeight="1" x14ac:dyDescent="0.2">
      <c r="A613" s="251"/>
      <c r="C613" s="249" t="s">
        <v>515</v>
      </c>
      <c r="D613" s="256">
        <f>CE91-(BE91+CD91)</f>
        <v>104457</v>
      </c>
      <c r="E613" s="258">
        <f>SUM(C625:D648)+SUM(C669:D714)</f>
        <v>67918163.220626682</v>
      </c>
      <c r="F613" s="258">
        <f>CE65-(AX65+BD65+BE65+BG65+BJ65+BN65+BP65+BQ65+CB65+CC65+CD65)</f>
        <v>14909484</v>
      </c>
      <c r="G613" s="256">
        <f>CE92-(AX92+AY92+BD92+BE92+BG92+BJ92+BN92+BP92+BQ92+CB92+CC92+CD92)</f>
        <v>26443</v>
      </c>
      <c r="H613" s="261">
        <f>CE61-(AX61+AY61+AZ61+BD61+BE61+BG61+BJ61+BN61+BO61+BP61+BQ61+BR61+CB61+CC61+CD61)</f>
        <v>311.43999999999988</v>
      </c>
      <c r="I613" s="256">
        <f>CE93-(AX93+AY93+AZ93+BD93+BE93+BF93+BG93+BJ93+BN93+BO93+BP93+BQ93+BR93+CB93+CC93+CD93)</f>
        <v>37235</v>
      </c>
      <c r="J613" s="256">
        <f>CE94-(AX94+AY94+AZ94+BA94+BD94+BE94+BF94+BG94+BJ94+BN94+BO94+BP94+BQ94+BR94+CB94+CC94+CD94)</f>
        <v>425711.98</v>
      </c>
      <c r="K613" s="256">
        <f>CE90-(AW90+AX90+AY90+AZ90+BA90+BB90+BC90+BD90+BE90+BF90+BG90+BH90+BI90+BJ90+BK90+BL90+BM90+BN90+BO90+BP90+BQ90+BR90+BS90+BT90+BU90+BV90+BW90+BX90+CB90+CC90+CD90)</f>
        <v>367319</v>
      </c>
      <c r="L613" s="262">
        <f>CE95-(AW95+AX95+AY95+AZ95+BA95+BB95+BC95+BD95+BE95+BF95+BG95+BH95+BI95+BJ95+BK95+BL95+BM95+BN95+BO95+BP95+BQ95+BR95+BS95+BT95+BU95+BV95+BW95+BX95+BY95+BZ95+CA95+CB95+CC95+CD95)</f>
        <v>69.42</v>
      </c>
    </row>
    <row r="614" spans="1:14" s="231" customFormat="1" ht="12.6" customHeight="1" x14ac:dyDescent="0.2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" customHeight="1" x14ac:dyDescent="0.2">
      <c r="A615" s="251">
        <v>8430</v>
      </c>
      <c r="B615" s="250" t="s">
        <v>152</v>
      </c>
      <c r="C615" s="256">
        <f>BE86</f>
        <v>1503539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" customHeight="1" x14ac:dyDescent="0.2">
      <c r="A616" s="251"/>
      <c r="B616" s="250" t="s">
        <v>527</v>
      </c>
      <c r="C616" s="256">
        <f>CD70-CD85</f>
        <v>0</v>
      </c>
      <c r="D616" s="256">
        <f>SUM(C615:C616)</f>
        <v>1503539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" customHeight="1" x14ac:dyDescent="0.2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" customHeight="1" x14ac:dyDescent="0.2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" customHeight="1" x14ac:dyDescent="0.2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" customHeight="1" x14ac:dyDescent="0.2">
      <c r="A620" s="251">
        <v>8610</v>
      </c>
      <c r="B620" s="255" t="s">
        <v>534</v>
      </c>
      <c r="C620" s="256">
        <f>BN86</f>
        <v>13094393</v>
      </c>
      <c r="D620" s="256">
        <f>(D616/D613)*BN91</f>
        <v>238362.2527930153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" customHeight="1" x14ac:dyDescent="0.2">
      <c r="A621" s="251">
        <v>8790</v>
      </c>
      <c r="B621" s="255" t="s">
        <v>536</v>
      </c>
      <c r="C621" s="256">
        <f>CC86</f>
        <v>720925</v>
      </c>
      <c r="D621" s="256">
        <f>(D616/D613)*CC91</f>
        <v>18913.526580315345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" customHeight="1" x14ac:dyDescent="0.2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" customHeight="1" x14ac:dyDescent="0.2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" customHeight="1" x14ac:dyDescent="0.2">
      <c r="A624" s="251">
        <v>8640</v>
      </c>
      <c r="B624" s="255" t="s">
        <v>542</v>
      </c>
      <c r="C624" s="256">
        <f>BQ86</f>
        <v>100256</v>
      </c>
      <c r="D624" s="256">
        <f>(D616/D613)*BQ91</f>
        <v>0</v>
      </c>
      <c r="E624" s="258">
        <f>SUM(C617:D624)</f>
        <v>14172849.779373331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" customHeight="1" x14ac:dyDescent="0.2">
      <c r="A625" s="251">
        <v>8420</v>
      </c>
      <c r="B625" s="255" t="s">
        <v>151</v>
      </c>
      <c r="C625" s="256">
        <f>BD86</f>
        <v>301996</v>
      </c>
      <c r="D625" s="256">
        <f>(D616/D613)*BD91</f>
        <v>0</v>
      </c>
      <c r="E625" s="258">
        <f>(E624/E613)*SUM(C625:D625)</f>
        <v>63019.135662840672</v>
      </c>
      <c r="F625" s="258">
        <f>SUM(C625:E625)</f>
        <v>365015.13566284068</v>
      </c>
      <c r="G625" s="256"/>
      <c r="H625" s="258"/>
      <c r="I625" s="256"/>
      <c r="J625" s="256"/>
      <c r="N625" s="252" t="s">
        <v>544</v>
      </c>
    </row>
    <row r="626" spans="1:14" s="231" customFormat="1" ht="12.6" customHeight="1" x14ac:dyDescent="0.2">
      <c r="A626" s="251">
        <v>8320</v>
      </c>
      <c r="B626" s="255" t="s">
        <v>147</v>
      </c>
      <c r="C626" s="256">
        <f>AY86</f>
        <v>791321</v>
      </c>
      <c r="D626" s="256">
        <f>(D616/D613)*AY91</f>
        <v>45139.131929885021</v>
      </c>
      <c r="E626" s="258">
        <f>(E624/E613)*SUM(C626:D626)</f>
        <v>174548.6514081214</v>
      </c>
      <c r="F626" s="258">
        <f>(F625/F613)*AY65</f>
        <v>8897.5212525092211</v>
      </c>
      <c r="G626" s="256">
        <f>SUM(C626:F626)</f>
        <v>1019906.3045905156</v>
      </c>
      <c r="H626" s="258"/>
      <c r="I626" s="256"/>
      <c r="J626" s="256"/>
      <c r="N626" s="252" t="s">
        <v>545</v>
      </c>
    </row>
    <row r="627" spans="1:14" s="231" customFormat="1" ht="12.6" customHeight="1" x14ac:dyDescent="0.2">
      <c r="A627" s="251">
        <v>8650</v>
      </c>
      <c r="B627" s="255" t="s">
        <v>164</v>
      </c>
      <c r="C627" s="256">
        <f>BR86</f>
        <v>67624</v>
      </c>
      <c r="D627" s="256">
        <f>(D616/D613)*BR91</f>
        <v>0</v>
      </c>
      <c r="E627" s="258">
        <f>(E624/E613)*SUM(C627:D627)</f>
        <v>14111.465152068033</v>
      </c>
      <c r="F627" s="258">
        <f>(F625/F613)*BR65</f>
        <v>131.98287723159126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" customHeight="1" x14ac:dyDescent="0.2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" customHeight="1" x14ac:dyDescent="0.2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81867.44802929963</v>
      </c>
      <c r="I629" s="256"/>
      <c r="J629" s="256"/>
      <c r="N629" s="252" t="s">
        <v>549</v>
      </c>
    </row>
    <row r="630" spans="1:14" s="231" customFormat="1" ht="12.6" customHeight="1" x14ac:dyDescent="0.2">
      <c r="A630" s="251">
        <v>8460</v>
      </c>
      <c r="B630" s="255" t="s">
        <v>153</v>
      </c>
      <c r="C630" s="256">
        <f>BF86</f>
        <v>1053847</v>
      </c>
      <c r="D630" s="256">
        <f>(D616/D613)*BF91</f>
        <v>1597.717998793762</v>
      </c>
      <c r="E630" s="258">
        <f>(E624/E613)*SUM(C630:D630)</f>
        <v>220245.34718405077</v>
      </c>
      <c r="F630" s="258">
        <f>(F625/F613)*BF65</f>
        <v>1309.7911207364371</v>
      </c>
      <c r="G630" s="256">
        <f>(G626/G613)*BF92</f>
        <v>0</v>
      </c>
      <c r="H630" s="258">
        <f>(H629/H613)*BF61</f>
        <v>5133.8018880433547</v>
      </c>
      <c r="I630" s="256">
        <f>SUM(C630:H630)</f>
        <v>1282133.6581916243</v>
      </c>
      <c r="J630" s="256"/>
      <c r="N630" s="252" t="s">
        <v>550</v>
      </c>
    </row>
    <row r="631" spans="1:14" s="231" customFormat="1" ht="12.6" customHeight="1" x14ac:dyDescent="0.2">
      <c r="A631" s="251">
        <v>8350</v>
      </c>
      <c r="B631" s="255" t="s">
        <v>551</v>
      </c>
      <c r="C631" s="256">
        <f>BA86</f>
        <v>235260</v>
      </c>
      <c r="D631" s="256">
        <f>(D616/D613)*BA91</f>
        <v>9600.7018486075613</v>
      </c>
      <c r="E631" s="258">
        <f>(E624/E613)*SUM(C631:D631)</f>
        <v>51096.404549384039</v>
      </c>
      <c r="F631" s="258">
        <f>(F625/F613)*BA65</f>
        <v>29.109189580478947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295986.21558757208</v>
      </c>
      <c r="N631" s="252" t="s">
        <v>552</v>
      </c>
    </row>
    <row r="632" spans="1:14" s="231" customFormat="1" ht="12.6" customHeight="1" x14ac:dyDescent="0.2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" customHeight="1" x14ac:dyDescent="0.2">
      <c r="A633" s="251">
        <v>8360</v>
      </c>
      <c r="B633" s="255" t="s">
        <v>555</v>
      </c>
      <c r="C633" s="256">
        <f>BB86</f>
        <v>162141</v>
      </c>
      <c r="D633" s="256">
        <f>(D616/D613)*BB91</f>
        <v>1396.2040169639181</v>
      </c>
      <c r="E633" s="258">
        <f>(E624/E613)*SUM(C633:D633)</f>
        <v>34126.19122725699</v>
      </c>
      <c r="F633" s="258">
        <f>(F625/F613)*BB65</f>
        <v>6.7815353354017391</v>
      </c>
      <c r="G633" s="256">
        <f>(G626/G613)*BB92</f>
        <v>0</v>
      </c>
      <c r="H633" s="258">
        <f>(H629/H613)*BB61</f>
        <v>528.36363517496886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" customHeight="1" x14ac:dyDescent="0.2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" customHeight="1" x14ac:dyDescent="0.2">
      <c r="A635" s="251">
        <v>8490</v>
      </c>
      <c r="B635" s="255" t="s">
        <v>559</v>
      </c>
      <c r="C635" s="256">
        <f>BI86</f>
        <v>200091</v>
      </c>
      <c r="D635" s="256">
        <f>(D616/D613)*BI91</f>
        <v>0</v>
      </c>
      <c r="E635" s="258">
        <f>(E624/E613)*SUM(C635:D635)</f>
        <v>41754.069172815041</v>
      </c>
      <c r="F635" s="258">
        <f>(F625/F613)*BI65</f>
        <v>113.49890907914246</v>
      </c>
      <c r="G635" s="256">
        <f>(G626/G613)*BI92</f>
        <v>0</v>
      </c>
      <c r="H635" s="258">
        <f>(H629/H613)*BI61</f>
        <v>241.83808177162757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" customHeight="1" x14ac:dyDescent="0.2">
      <c r="A636" s="251">
        <v>8530</v>
      </c>
      <c r="B636" s="255" t="s">
        <v>561</v>
      </c>
      <c r="C636" s="256">
        <f>BK86</f>
        <v>45600</v>
      </c>
      <c r="D636" s="256">
        <f>(D616/D613)*BK91</f>
        <v>30284.672697856535</v>
      </c>
      <c r="E636" s="258">
        <f>(E624/E613)*SUM(C636:D636)</f>
        <v>15835.264319648213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17079.046447241726</v>
      </c>
      <c r="J636" s="256">
        <f>(J631/J613)*BK94</f>
        <v>0</v>
      </c>
      <c r="N636" s="252" t="s">
        <v>562</v>
      </c>
    </row>
    <row r="637" spans="1:14" s="231" customFormat="1" ht="12.6" customHeight="1" x14ac:dyDescent="0.2">
      <c r="A637" s="251">
        <v>8480</v>
      </c>
      <c r="B637" s="255" t="s">
        <v>563</v>
      </c>
      <c r="C637" s="256">
        <f>BH86</f>
        <v>1875384</v>
      </c>
      <c r="D637" s="256">
        <f>(D616/D613)*BH91</f>
        <v>0</v>
      </c>
      <c r="E637" s="258">
        <f>(E624/E613)*SUM(C637:D637)</f>
        <v>391346.50364879263</v>
      </c>
      <c r="F637" s="258">
        <f>(F625/F613)*BH65</f>
        <v>5482.6632210176103</v>
      </c>
      <c r="G637" s="256">
        <f>(G626/G613)*BH92</f>
        <v>0</v>
      </c>
      <c r="H637" s="258">
        <f>(H629/H613)*BH61</f>
        <v>4408.2876427284718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" customHeight="1" x14ac:dyDescent="0.2">
      <c r="A638" s="251">
        <v>8560</v>
      </c>
      <c r="B638" s="255" t="s">
        <v>159</v>
      </c>
      <c r="C638" s="256">
        <f>BL86</f>
        <v>877396</v>
      </c>
      <c r="D638" s="256">
        <f>(D616/D613)*BL91</f>
        <v>0</v>
      </c>
      <c r="E638" s="258">
        <f>(E624/E613)*SUM(C638:D638)</f>
        <v>183090.95999295934</v>
      </c>
      <c r="F638" s="258">
        <f>(F625/F613)*BL65</f>
        <v>486.28749591005328</v>
      </c>
      <c r="G638" s="256">
        <f>(G626/G613)*BL92</f>
        <v>0</v>
      </c>
      <c r="H638" s="258">
        <f>(H629/H613)*BL61</f>
        <v>5018.1401967612719</v>
      </c>
      <c r="I638" s="256">
        <f>(I630/I613)*BL93</f>
        <v>29234.093616347229</v>
      </c>
      <c r="J638" s="256">
        <f>(J631/J613)*BL94</f>
        <v>0</v>
      </c>
      <c r="N638" s="252" t="s">
        <v>565</v>
      </c>
    </row>
    <row r="639" spans="1:14" s="231" customFormat="1" ht="12.6" customHeight="1" x14ac:dyDescent="0.2">
      <c r="A639" s="251">
        <v>8590</v>
      </c>
      <c r="B639" s="255" t="s">
        <v>566</v>
      </c>
      <c r="C639" s="256">
        <f>BM86</f>
        <v>393176</v>
      </c>
      <c r="D639" s="256">
        <f>(D616/D613)*BM91</f>
        <v>0</v>
      </c>
      <c r="E639" s="258">
        <f>(E624/E613)*SUM(C639:D639)</f>
        <v>82046.15850333462</v>
      </c>
      <c r="F639" s="258">
        <f>(F625/F613)*BM65</f>
        <v>120.91697841714509</v>
      </c>
      <c r="G639" s="256">
        <f>(G626/G613)*BM92</f>
        <v>0</v>
      </c>
      <c r="H639" s="258">
        <f>(H629/H613)*BM61</f>
        <v>1235.4771568767931</v>
      </c>
      <c r="I639" s="256">
        <f>(I630/I613)*BM93</f>
        <v>4751.8314712083838</v>
      </c>
      <c r="J639" s="256">
        <f>(J631/J613)*BM94</f>
        <v>0</v>
      </c>
      <c r="N639" s="252" t="s">
        <v>567</v>
      </c>
    </row>
    <row r="640" spans="1:14" s="231" customFormat="1" ht="12.6" customHeight="1" x14ac:dyDescent="0.2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" customHeight="1" x14ac:dyDescent="0.2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" customHeight="1" x14ac:dyDescent="0.2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" customHeight="1" x14ac:dyDescent="0.2">
      <c r="A643" s="251">
        <v>8690</v>
      </c>
      <c r="B643" s="255" t="s">
        <v>574</v>
      </c>
      <c r="C643" s="256">
        <f>BV86</f>
        <v>733022</v>
      </c>
      <c r="D643" s="256">
        <f>(D616/D613)*BV91</f>
        <v>38244.474980135368</v>
      </c>
      <c r="E643" s="258">
        <f>(E624/E613)*SUM(C643:D643)</f>
        <v>160944.33906069637</v>
      </c>
      <c r="F643" s="258">
        <f>(F625/F613)*BV65</f>
        <v>336.75096945289141</v>
      </c>
      <c r="G643" s="256">
        <f>(G626/G613)*BV92</f>
        <v>0</v>
      </c>
      <c r="H643" s="258">
        <f>(H629/H613)*BV61</f>
        <v>2045.1089958513721</v>
      </c>
      <c r="I643" s="256">
        <f>(I630/I613)*BV93</f>
        <v>4751.8314712083838</v>
      </c>
      <c r="J643" s="256">
        <f>(J631/J613)*BV94</f>
        <v>0</v>
      </c>
      <c r="N643" s="252" t="s">
        <v>575</v>
      </c>
    </row>
    <row r="644" spans="1:14" s="231" customFormat="1" ht="12.6" customHeight="1" x14ac:dyDescent="0.2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" customHeight="1" x14ac:dyDescent="0.2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5341719.7554448424</v>
      </c>
      <c r="L645" s="258"/>
      <c r="N645" s="252" t="s">
        <v>579</v>
      </c>
    </row>
    <row r="646" spans="1:14" s="231" customFormat="1" ht="12.6" customHeight="1" x14ac:dyDescent="0.2">
      <c r="A646" s="251">
        <v>8720</v>
      </c>
      <c r="B646" s="255" t="s">
        <v>580</v>
      </c>
      <c r="C646" s="256">
        <f>BY86</f>
        <v>1158170</v>
      </c>
      <c r="D646" s="256">
        <f>(D616/D613)*BY91</f>
        <v>2691.6510430129142</v>
      </c>
      <c r="E646" s="258">
        <f>(E624/E613)*SUM(C646:D646)</f>
        <v>242243.26770178691</v>
      </c>
      <c r="F646" s="258">
        <f>(F625/F613)*BY65</f>
        <v>90.412310446348826</v>
      </c>
      <c r="G646" s="256">
        <f>(G626/G613)*BY92</f>
        <v>0</v>
      </c>
      <c r="H646" s="258">
        <f>(H629/H613)*BY61</f>
        <v>1190.7896852450792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" customHeight="1" x14ac:dyDescent="0.2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" customHeight="1" x14ac:dyDescent="0.2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1404386.1207404914</v>
      </c>
      <c r="N648" s="252" t="s">
        <v>585</v>
      </c>
    </row>
    <row r="649" spans="1:14" s="231" customFormat="1" ht="12.6" customHeight="1" x14ac:dyDescent="0.2">
      <c r="A649" s="251"/>
      <c r="B649" s="251"/>
      <c r="C649" s="231">
        <f>SUM(C615:C648)</f>
        <v>23314141</v>
      </c>
      <c r="L649" s="254"/>
    </row>
    <row r="667" spans="1:14" s="231" customFormat="1" ht="12.6" customHeight="1" x14ac:dyDescent="0.2">
      <c r="C667" s="249" t="s">
        <v>586</v>
      </c>
      <c r="M667" s="249" t="s">
        <v>587</v>
      </c>
    </row>
    <row r="668" spans="1:14" s="231" customFormat="1" ht="12.6" customHeight="1" x14ac:dyDescent="0.2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" customHeight="1" x14ac:dyDescent="0.2">
      <c r="A669" s="251">
        <v>6010</v>
      </c>
      <c r="B669" s="250" t="s">
        <v>315</v>
      </c>
      <c r="C669" s="256">
        <f>C86</f>
        <v>3139407</v>
      </c>
      <c r="D669" s="256">
        <f>(D616/D613)*C91</f>
        <v>32170.267813550072</v>
      </c>
      <c r="E669" s="258">
        <f>(E624/E613)*SUM(C669:D669)</f>
        <v>661830.15041763347</v>
      </c>
      <c r="F669" s="258">
        <f>(F625/F613)*C65</f>
        <v>3995.7687550959881</v>
      </c>
      <c r="G669" s="256">
        <f>(G626/G613)*C92</f>
        <v>272574.13510347437</v>
      </c>
      <c r="H669" s="258">
        <f>(H629/H613)*C61</f>
        <v>3709.0601454322441</v>
      </c>
      <c r="I669" s="256">
        <f>(I630/I613)*C93</f>
        <v>73240.185067103128</v>
      </c>
      <c r="J669" s="256">
        <f>(J631/J613)*C94</f>
        <v>41248.262490933193</v>
      </c>
      <c r="K669" s="256">
        <f>(K645/K613)*C90</f>
        <v>15487.713784336658</v>
      </c>
      <c r="L669" s="256">
        <f>(L648/L613)*C95</f>
        <v>285449.26769876597</v>
      </c>
      <c r="M669" s="231">
        <f t="shared" ref="M669:M714" si="14">ROUND(SUM(D669:L669),0)</f>
        <v>1389705</v>
      </c>
      <c r="N669" s="250" t="s">
        <v>589</v>
      </c>
    </row>
    <row r="670" spans="1:14" s="231" customFormat="1" ht="12.6" customHeight="1" x14ac:dyDescent="0.2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4"/>
        <v>0</v>
      </c>
      <c r="N670" s="250" t="s">
        <v>590</v>
      </c>
    </row>
    <row r="671" spans="1:14" s="231" customFormat="1" ht="12.6" customHeight="1" x14ac:dyDescent="0.2">
      <c r="A671" s="251">
        <v>6070</v>
      </c>
      <c r="B671" s="250" t="s">
        <v>591</v>
      </c>
      <c r="C671" s="256">
        <f>E86</f>
        <v>6911895</v>
      </c>
      <c r="D671" s="256">
        <f>(D616/D613)*E91</f>
        <v>281961.24214748654</v>
      </c>
      <c r="E671" s="258">
        <f>(E624/E613)*SUM(C671:D671)</f>
        <v>1501180.8184971511</v>
      </c>
      <c r="F671" s="258">
        <f>(F625/F613)*E65</f>
        <v>8647.8530310275346</v>
      </c>
      <c r="G671" s="256">
        <f>(G626/G613)*E92</f>
        <v>632162.17268231849</v>
      </c>
      <c r="H671" s="258">
        <f>(H629/H613)*E61</f>
        <v>9003.2111963893949</v>
      </c>
      <c r="I671" s="256">
        <f>(I630/I613)*E93</f>
        <v>287899.00674473401</v>
      </c>
      <c r="J671" s="256">
        <f>(J631/J613)*E94</f>
        <v>102957.40603310549</v>
      </c>
      <c r="K671" s="256">
        <f>(K645/K613)*E90</f>
        <v>110231.80327255576</v>
      </c>
      <c r="L671" s="256">
        <f>(L648/L613)*E95</f>
        <v>692887.13101932919</v>
      </c>
      <c r="M671" s="231">
        <f t="shared" si="14"/>
        <v>3626931</v>
      </c>
      <c r="N671" s="250" t="s">
        <v>592</v>
      </c>
    </row>
    <row r="672" spans="1:14" s="231" customFormat="1" ht="12.6" customHeight="1" x14ac:dyDescent="0.2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4"/>
        <v>0</v>
      </c>
      <c r="N672" s="250" t="s">
        <v>594</v>
      </c>
    </row>
    <row r="673" spans="1:14" s="231" customFormat="1" ht="12.6" customHeight="1" x14ac:dyDescent="0.2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4"/>
        <v>0</v>
      </c>
      <c r="N673" s="250" t="s">
        <v>596</v>
      </c>
    </row>
    <row r="674" spans="1:14" s="231" customFormat="1" ht="12.6" customHeight="1" x14ac:dyDescent="0.2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4"/>
        <v>0</v>
      </c>
      <c r="N674" s="250" t="s">
        <v>598</v>
      </c>
    </row>
    <row r="675" spans="1:14" s="231" customFormat="1" ht="12.6" customHeight="1" x14ac:dyDescent="0.2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4"/>
        <v>0</v>
      </c>
      <c r="N675" s="250" t="s">
        <v>600</v>
      </c>
    </row>
    <row r="676" spans="1:14" s="231" customFormat="1" ht="12.6" customHeight="1" x14ac:dyDescent="0.2">
      <c r="A676" s="251">
        <v>6170</v>
      </c>
      <c r="B676" s="250" t="s">
        <v>110</v>
      </c>
      <c r="C676" s="256">
        <f>J86</f>
        <v>294</v>
      </c>
      <c r="D676" s="256">
        <f>(D616/D613)*J91</f>
        <v>0</v>
      </c>
      <c r="E676" s="258">
        <f>(E624/E613)*SUM(C676:D676)</f>
        <v>61.350567175973048</v>
      </c>
      <c r="F676" s="258">
        <f>(F625/F613)*J65</f>
        <v>7.1977306447946257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4"/>
        <v>69</v>
      </c>
      <c r="N676" s="250" t="s">
        <v>601</v>
      </c>
    </row>
    <row r="677" spans="1:14" s="231" customFormat="1" ht="12.6" customHeight="1" x14ac:dyDescent="0.2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4"/>
        <v>0</v>
      </c>
      <c r="N677" s="250" t="s">
        <v>602</v>
      </c>
    </row>
    <row r="678" spans="1:14" s="231" customFormat="1" ht="12.6" customHeight="1" x14ac:dyDescent="0.2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4"/>
        <v>0</v>
      </c>
      <c r="N678" s="250" t="s">
        <v>603</v>
      </c>
    </row>
    <row r="679" spans="1:14" s="231" customFormat="1" ht="12.6" customHeight="1" x14ac:dyDescent="0.2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4"/>
        <v>0</v>
      </c>
      <c r="N679" s="250" t="s">
        <v>605</v>
      </c>
    </row>
    <row r="680" spans="1:14" s="231" customFormat="1" ht="12.6" customHeight="1" x14ac:dyDescent="0.2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4"/>
        <v>0</v>
      </c>
      <c r="N680" s="250" t="s">
        <v>607</v>
      </c>
    </row>
    <row r="681" spans="1:14" s="231" customFormat="1" ht="12.6" customHeight="1" x14ac:dyDescent="0.2">
      <c r="A681" s="251">
        <v>7010</v>
      </c>
      <c r="B681" s="250" t="s">
        <v>608</v>
      </c>
      <c r="C681" s="256">
        <f>O86</f>
        <v>81274</v>
      </c>
      <c r="D681" s="256">
        <f>(D616/D613)*O91</f>
        <v>53976.959418708175</v>
      </c>
      <c r="E681" s="258">
        <f>(E624/E613)*SUM(C681:D681)</f>
        <v>28223.54786201449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4"/>
        <v>82201</v>
      </c>
      <c r="N681" s="250" t="s">
        <v>609</v>
      </c>
    </row>
    <row r="682" spans="1:14" s="231" customFormat="1" ht="12.6" customHeight="1" x14ac:dyDescent="0.2">
      <c r="A682" s="251">
        <v>7020</v>
      </c>
      <c r="B682" s="250" t="s">
        <v>610</v>
      </c>
      <c r="C682" s="256">
        <f>P86</f>
        <v>4931878</v>
      </c>
      <c r="D682" s="256">
        <f>(D616/D613)*P91</f>
        <v>55272.406444757173</v>
      </c>
      <c r="E682" s="258">
        <f>(E624/E613)*SUM(C682:D682)</f>
        <v>1040695.5987322121</v>
      </c>
      <c r="F682" s="258">
        <f>(F625/F613)*P65</f>
        <v>83193.500733237292</v>
      </c>
      <c r="G682" s="256">
        <f>(G626/G613)*P92</f>
        <v>0</v>
      </c>
      <c r="H682" s="258">
        <f>(H629/H613)*P61</f>
        <v>2799.5386639867756</v>
      </c>
      <c r="I682" s="256">
        <f>(I630/I613)*P93</f>
        <v>109877.49438134748</v>
      </c>
      <c r="J682" s="256">
        <f>(J631/J613)*P94</f>
        <v>20961.519615359368</v>
      </c>
      <c r="K682" s="256">
        <f>(K645/K613)*P90</f>
        <v>727951.63277233811</v>
      </c>
      <c r="L682" s="256">
        <f>(L648/L613)*P95</f>
        <v>215452.4947549155</v>
      </c>
      <c r="M682" s="231">
        <f t="shared" si="14"/>
        <v>2256204</v>
      </c>
      <c r="N682" s="250" t="s">
        <v>611</v>
      </c>
    </row>
    <row r="683" spans="1:14" s="231" customFormat="1" ht="12.6" customHeight="1" x14ac:dyDescent="0.2">
      <c r="A683" s="251">
        <v>7030</v>
      </c>
      <c r="B683" s="250" t="s">
        <v>612</v>
      </c>
      <c r="C683" s="256">
        <f>Q86</f>
        <v>496381</v>
      </c>
      <c r="D683" s="256">
        <f>(D616/D613)*Q91</f>
        <v>16624.903500962118</v>
      </c>
      <c r="E683" s="258">
        <f>(E624/E613)*SUM(C683:D683)</f>
        <v>107051.7113755324</v>
      </c>
      <c r="F683" s="258">
        <f>(F625/F613)*Q65</f>
        <v>669.82962735231627</v>
      </c>
      <c r="G683" s="256">
        <f>(G626/G613)*Q92</f>
        <v>0</v>
      </c>
      <c r="H683" s="258">
        <f>(H629/H613)*Q61</f>
        <v>641.39665165518613</v>
      </c>
      <c r="I683" s="256">
        <f>(I630/I613)*Q93</f>
        <v>17251.214254169568</v>
      </c>
      <c r="J683" s="256">
        <f>(J631/J613)*Q94</f>
        <v>10317.509613452212</v>
      </c>
      <c r="K683" s="256">
        <f>(K645/K613)*Q90</f>
        <v>1308.8208831833797</v>
      </c>
      <c r="L683" s="256">
        <f>(L648/L613)*Q95</f>
        <v>49361.886122252938</v>
      </c>
      <c r="M683" s="231">
        <f t="shared" si="14"/>
        <v>203227</v>
      </c>
      <c r="N683" s="250" t="s">
        <v>613</v>
      </c>
    </row>
    <row r="684" spans="1:14" s="231" customFormat="1" ht="12.6" customHeight="1" x14ac:dyDescent="0.2">
      <c r="A684" s="251">
        <v>7040</v>
      </c>
      <c r="B684" s="250" t="s">
        <v>118</v>
      </c>
      <c r="C684" s="256">
        <f>R86</f>
        <v>1162567</v>
      </c>
      <c r="D684" s="256">
        <f>(D616/D613)*R91</f>
        <v>0</v>
      </c>
      <c r="E684" s="258">
        <f>(E624/E613)*SUM(C684:D684)</f>
        <v>242599.13207506618</v>
      </c>
      <c r="F684" s="258">
        <f>(F625/F613)*R65</f>
        <v>1933.0558375907963</v>
      </c>
      <c r="G684" s="256">
        <f>(G626/G613)*R92</f>
        <v>0</v>
      </c>
      <c r="H684" s="258">
        <f>(H629/H613)*R61</f>
        <v>0</v>
      </c>
      <c r="I684" s="256">
        <f>(I630/I613)*R93</f>
        <v>0</v>
      </c>
      <c r="J684" s="256">
        <f>(J631/J613)*R94</f>
        <v>0</v>
      </c>
      <c r="K684" s="256">
        <f>(K645/K613)*R90</f>
        <v>0</v>
      </c>
      <c r="L684" s="256">
        <f>(L648/L613)*R95</f>
        <v>0</v>
      </c>
      <c r="M684" s="231">
        <f t="shared" si="14"/>
        <v>244532</v>
      </c>
      <c r="N684" s="250" t="s">
        <v>614</v>
      </c>
    </row>
    <row r="685" spans="1:14" s="231" customFormat="1" ht="12.6" customHeight="1" x14ac:dyDescent="0.2">
      <c r="A685" s="251">
        <v>7050</v>
      </c>
      <c r="B685" s="250" t="s">
        <v>615</v>
      </c>
      <c r="C685" s="256">
        <f>S86</f>
        <v>331983</v>
      </c>
      <c r="D685" s="256">
        <f>(D616/D613)*S91</f>
        <v>22296.082703887725</v>
      </c>
      <c r="E685" s="258">
        <f>(E624/E613)*SUM(C685:D685)</f>
        <v>73929.328783901277</v>
      </c>
      <c r="F685" s="258">
        <f>(F625/F613)*S65</f>
        <v>2281.0195983202725</v>
      </c>
      <c r="G685" s="256">
        <f>(G626/G613)*S92</f>
        <v>0</v>
      </c>
      <c r="H685" s="258">
        <f>(H629/H613)*S61</f>
        <v>467.904114732062</v>
      </c>
      <c r="I685" s="256">
        <f>(I630/I613)*S93</f>
        <v>13876.725238383904</v>
      </c>
      <c r="J685" s="256">
        <f>(J631/J613)*S94</f>
        <v>261.20031076395611</v>
      </c>
      <c r="K685" s="256">
        <f>(K645/K613)*S90</f>
        <v>0</v>
      </c>
      <c r="L685" s="256">
        <f>(L648/L613)*S95</f>
        <v>36009.900531807471</v>
      </c>
      <c r="M685" s="231">
        <f t="shared" si="14"/>
        <v>149122</v>
      </c>
      <c r="N685" s="250" t="s">
        <v>616</v>
      </c>
    </row>
    <row r="686" spans="1:14" s="231" customFormat="1" ht="12.6" customHeight="1" x14ac:dyDescent="0.2">
      <c r="A686" s="251">
        <v>7060</v>
      </c>
      <c r="B686" s="250" t="s">
        <v>617</v>
      </c>
      <c r="C686" s="256">
        <f>T86</f>
        <v>152071</v>
      </c>
      <c r="D686" s="256">
        <f>(D616/D613)*T91</f>
        <v>0</v>
      </c>
      <c r="E686" s="258">
        <f>(E624/E613)*SUM(C686:D686)</f>
        <v>31733.476534072779</v>
      </c>
      <c r="F686" s="258">
        <f>(F625/F613)*T65</f>
        <v>3743.309576833668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4"/>
        <v>35477</v>
      </c>
      <c r="N686" s="250" t="s">
        <v>618</v>
      </c>
    </row>
    <row r="687" spans="1:14" s="231" customFormat="1" ht="12.6" customHeight="1" x14ac:dyDescent="0.2">
      <c r="A687" s="251">
        <v>7070</v>
      </c>
      <c r="B687" s="250" t="s">
        <v>121</v>
      </c>
      <c r="C687" s="256">
        <f>U86</f>
        <v>4938165</v>
      </c>
      <c r="D687" s="256">
        <f>(D616/D613)*U91</f>
        <v>0</v>
      </c>
      <c r="E687" s="258">
        <f>(E624/E613)*SUM(C687:D687)</f>
        <v>1030473.5495188399</v>
      </c>
      <c r="F687" s="258">
        <f>(F625/F613)*U65</f>
        <v>42820.474745580337</v>
      </c>
      <c r="G687" s="256">
        <f>(G626/G613)*U92</f>
        <v>0</v>
      </c>
      <c r="H687" s="258">
        <f>(H629/H613)*U61</f>
        <v>6148.4703615634444</v>
      </c>
      <c r="I687" s="256">
        <f>(I630/I613)*U93</f>
        <v>28269.953897551328</v>
      </c>
      <c r="J687" s="256">
        <f>(J631/J613)*U94</f>
        <v>108.83114524031637</v>
      </c>
      <c r="K687" s="256">
        <f>(K645/K613)*U90</f>
        <v>173084.29057387315</v>
      </c>
      <c r="L687" s="256">
        <f>(L648/L613)*U95</f>
        <v>0</v>
      </c>
      <c r="M687" s="231">
        <f t="shared" si="14"/>
        <v>1280906</v>
      </c>
      <c r="N687" s="250" t="s">
        <v>619</v>
      </c>
    </row>
    <row r="688" spans="1:14" s="231" customFormat="1" ht="12.6" customHeight="1" x14ac:dyDescent="0.2">
      <c r="A688" s="251">
        <v>7110</v>
      </c>
      <c r="B688" s="250" t="s">
        <v>620</v>
      </c>
      <c r="C688" s="256">
        <f>V86</f>
        <v>283569</v>
      </c>
      <c r="D688" s="256">
        <f>(D616/D613)*V91</f>
        <v>36977.815665776347</v>
      </c>
      <c r="E688" s="258">
        <f>(E624/E613)*SUM(C688:D688)</f>
        <v>66890.234515467557</v>
      </c>
      <c r="F688" s="258">
        <f>(F625/F613)*V65</f>
        <v>5.0188257897377495</v>
      </c>
      <c r="G688" s="256">
        <f>(G626/G613)*V92</f>
        <v>0</v>
      </c>
      <c r="H688" s="258">
        <f>(H629/H613)*V61</f>
        <v>481.0474887413896</v>
      </c>
      <c r="I688" s="256">
        <f>(I630/I613)*V93</f>
        <v>4923.9992781362234</v>
      </c>
      <c r="J688" s="256">
        <f>(J631/J613)*V94</f>
        <v>718.30780733487552</v>
      </c>
      <c r="K688" s="256">
        <f>(K645/K613)*V90</f>
        <v>16796.534667520038</v>
      </c>
      <c r="L688" s="256">
        <f>(L648/L613)*V95</f>
        <v>0</v>
      </c>
      <c r="M688" s="231">
        <f t="shared" si="14"/>
        <v>126793</v>
      </c>
      <c r="N688" s="250" t="s">
        <v>621</v>
      </c>
    </row>
    <row r="689" spans="1:14" s="231" customFormat="1" ht="12.6" customHeight="1" x14ac:dyDescent="0.2">
      <c r="A689" s="251">
        <v>7120</v>
      </c>
      <c r="B689" s="250" t="s">
        <v>622</v>
      </c>
      <c r="C689" s="256">
        <f>W86</f>
        <v>352957</v>
      </c>
      <c r="D689" s="256">
        <f>(D616/D613)*W91</f>
        <v>0</v>
      </c>
      <c r="E689" s="258">
        <f>(E624/E613)*SUM(C689:D689)</f>
        <v>73653.442648741227</v>
      </c>
      <c r="F689" s="258">
        <f>(F625/F613)*W65</f>
        <v>379.59460424333565</v>
      </c>
      <c r="G689" s="256">
        <f>(G626/G613)*W92</f>
        <v>0</v>
      </c>
      <c r="H689" s="258">
        <f>(H629/H613)*W61</f>
        <v>523.10628557123789</v>
      </c>
      <c r="I689" s="256">
        <f>(I630/I613)*W93</f>
        <v>5509.3698216908797</v>
      </c>
      <c r="J689" s="256">
        <f>(J631/J613)*W94</f>
        <v>2111.385401721303</v>
      </c>
      <c r="K689" s="256">
        <f>(K645/K613)*W90</f>
        <v>10150.633071799988</v>
      </c>
      <c r="L689" s="256">
        <f>(L648/L613)*W95</f>
        <v>0</v>
      </c>
      <c r="M689" s="231">
        <f t="shared" si="14"/>
        <v>92328</v>
      </c>
      <c r="N689" s="250" t="s">
        <v>623</v>
      </c>
    </row>
    <row r="690" spans="1:14" s="231" customFormat="1" ht="12.6" customHeight="1" x14ac:dyDescent="0.2">
      <c r="A690" s="251">
        <v>7130</v>
      </c>
      <c r="B690" s="250" t="s">
        <v>624</v>
      </c>
      <c r="C690" s="256">
        <f>X86</f>
        <v>552731</v>
      </c>
      <c r="D690" s="256">
        <f>(D616/D613)*X91</f>
        <v>0</v>
      </c>
      <c r="E690" s="258">
        <f>(E624/E613)*SUM(C690:D690)</f>
        <v>115341.36172021346</v>
      </c>
      <c r="F690" s="258">
        <f>(F625/F613)*X65</f>
        <v>513.0219240192904</v>
      </c>
      <c r="G690" s="256">
        <f>(G626/G613)*X92</f>
        <v>0</v>
      </c>
      <c r="H690" s="258">
        <f>(H629/H613)*X61</f>
        <v>1153.9882380189617</v>
      </c>
      <c r="I690" s="256">
        <f>(I630/I613)*X93</f>
        <v>0</v>
      </c>
      <c r="J690" s="256">
        <f>(J631/J613)*X94</f>
        <v>2720.8620638158618</v>
      </c>
      <c r="K690" s="256">
        <f>(K645/K613)*X90</f>
        <v>9903.411349420905</v>
      </c>
      <c r="L690" s="256">
        <f>(L648/L613)*X95</f>
        <v>0</v>
      </c>
      <c r="M690" s="231">
        <f t="shared" si="14"/>
        <v>129633</v>
      </c>
      <c r="N690" s="250" t="s">
        <v>625</v>
      </c>
    </row>
    <row r="691" spans="1:14" s="231" customFormat="1" ht="12.6" customHeight="1" x14ac:dyDescent="0.2">
      <c r="A691" s="251">
        <v>7140</v>
      </c>
      <c r="B691" s="250" t="s">
        <v>626</v>
      </c>
      <c r="C691" s="256">
        <f>Y86</f>
        <v>4836901</v>
      </c>
      <c r="D691" s="256">
        <f>(D616/D613)*Y91</f>
        <v>62958.725465981217</v>
      </c>
      <c r="E691" s="258">
        <f>(E624/E613)*SUM(C691:D691)</f>
        <v>1022480.1810885903</v>
      </c>
      <c r="F691" s="258">
        <f>(F625/F613)*Y65</f>
        <v>23531.95209592106</v>
      </c>
      <c r="G691" s="256">
        <f>(G626/G613)*Y92</f>
        <v>0</v>
      </c>
      <c r="H691" s="258">
        <f>(H629/H613)*Y61</f>
        <v>4728.985968556065</v>
      </c>
      <c r="I691" s="256">
        <f>(I630/I613)*Y93</f>
        <v>51443.74071003859</v>
      </c>
      <c r="J691" s="256">
        <f>(J631/J613)*Y94</f>
        <v>27926.928445493497</v>
      </c>
      <c r="K691" s="256">
        <f>(K645/K613)*Y90</f>
        <v>533519.01934831834</v>
      </c>
      <c r="L691" s="256">
        <f>(L648/L613)*Y95</f>
        <v>0</v>
      </c>
      <c r="M691" s="231">
        <f t="shared" si="14"/>
        <v>1726590</v>
      </c>
      <c r="N691" s="250" t="s">
        <v>627</v>
      </c>
    </row>
    <row r="692" spans="1:14" s="231" customFormat="1" ht="12.6" customHeight="1" x14ac:dyDescent="0.2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4"/>
        <v>0</v>
      </c>
      <c r="N692" s="250" t="s">
        <v>629</v>
      </c>
    </row>
    <row r="693" spans="1:14" s="231" customFormat="1" ht="12.6" customHeight="1" x14ac:dyDescent="0.2">
      <c r="A693" s="251">
        <v>7160</v>
      </c>
      <c r="B693" s="250" t="s">
        <v>630</v>
      </c>
      <c r="C693" s="256">
        <f>AA86</f>
        <v>364329</v>
      </c>
      <c r="D693" s="256">
        <f>(D616/D613)*AA91</f>
        <v>3368.1622677273904</v>
      </c>
      <c r="E693" s="258">
        <f>(E624/E613)*SUM(C693:D693)</f>
        <v>76729.351884764867</v>
      </c>
      <c r="F693" s="258">
        <f>(F625/F613)*AA65</f>
        <v>2918.1656528467356</v>
      </c>
      <c r="G693" s="256">
        <f>(G626/G613)*AA92</f>
        <v>0</v>
      </c>
      <c r="H693" s="258">
        <f>(H629/H613)*AA61</f>
        <v>254.98145578095514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4"/>
        <v>83271</v>
      </c>
      <c r="N693" s="250" t="s">
        <v>631</v>
      </c>
    </row>
    <row r="694" spans="1:14" s="231" customFormat="1" ht="12.6" customHeight="1" x14ac:dyDescent="0.2">
      <c r="A694" s="251">
        <v>7170</v>
      </c>
      <c r="B694" s="250" t="s">
        <v>127</v>
      </c>
      <c r="C694" s="256">
        <f>AB86</f>
        <v>6891769</v>
      </c>
      <c r="D694" s="256">
        <f>(D616/D613)*AB91</f>
        <v>0</v>
      </c>
      <c r="E694" s="258">
        <f>(E624/E613)*SUM(C694:D694)</f>
        <v>1438142.6428428183</v>
      </c>
      <c r="F694" s="258">
        <f>(F625/F613)*AB65</f>
        <v>139699.08930358134</v>
      </c>
      <c r="G694" s="256">
        <f>(G626/G613)*AB92</f>
        <v>0</v>
      </c>
      <c r="H694" s="258">
        <f>(H629/H613)*AB61</f>
        <v>2074.0244186718928</v>
      </c>
      <c r="I694" s="256">
        <f>(I630/I613)*AB93</f>
        <v>10639.970468140511</v>
      </c>
      <c r="J694" s="256">
        <f>(J631/J613)*AB94</f>
        <v>0</v>
      </c>
      <c r="K694" s="256">
        <f>(K645/K613)*AB90</f>
        <v>746944.07803275471</v>
      </c>
      <c r="L694" s="256">
        <f>(L648/L613)*AB95</f>
        <v>0</v>
      </c>
      <c r="M694" s="231">
        <f t="shared" si="14"/>
        <v>2337500</v>
      </c>
      <c r="N694" s="250" t="s">
        <v>632</v>
      </c>
    </row>
    <row r="695" spans="1:14" s="231" customFormat="1" ht="12.6" customHeight="1" x14ac:dyDescent="0.2">
      <c r="A695" s="251">
        <v>7180</v>
      </c>
      <c r="B695" s="250" t="s">
        <v>633</v>
      </c>
      <c r="C695" s="256">
        <f>AC86</f>
        <v>759613</v>
      </c>
      <c r="D695" s="256">
        <f>(D616/D613)*AC91</f>
        <v>3540.8885378672562</v>
      </c>
      <c r="E695" s="258">
        <f>(E624/E613)*SUM(C695:D695)</f>
        <v>159251.44185152202</v>
      </c>
      <c r="F695" s="258">
        <f>(F625/F613)*AC65</f>
        <v>2270.1250740449882</v>
      </c>
      <c r="G695" s="256">
        <f>(G626/G613)*AC92</f>
        <v>0</v>
      </c>
      <c r="H695" s="258">
        <f>(H629/H613)*AC61</f>
        <v>0</v>
      </c>
      <c r="I695" s="256">
        <f>(I630/I613)*AC93</f>
        <v>15357.368377963327</v>
      </c>
      <c r="J695" s="256">
        <f>(J631/J613)*AC94</f>
        <v>0</v>
      </c>
      <c r="K695" s="256">
        <f>(K645/K613)*AC90</f>
        <v>50898.589901575877</v>
      </c>
      <c r="L695" s="256">
        <f>(L648/L613)*AC95</f>
        <v>0</v>
      </c>
      <c r="M695" s="231">
        <f t="shared" si="14"/>
        <v>231318</v>
      </c>
      <c r="N695" s="250" t="s">
        <v>634</v>
      </c>
    </row>
    <row r="696" spans="1:14" s="231" customFormat="1" ht="12.6" customHeight="1" x14ac:dyDescent="0.2">
      <c r="A696" s="251">
        <v>7190</v>
      </c>
      <c r="B696" s="250" t="s">
        <v>129</v>
      </c>
      <c r="C696" s="256">
        <f>AD86</f>
        <v>317310</v>
      </c>
      <c r="D696" s="256">
        <f>(D616/D613)*AD91</f>
        <v>0</v>
      </c>
      <c r="E696" s="258">
        <f>(E624/E613)*SUM(C696:D696)</f>
        <v>66214.790716353775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4"/>
        <v>66215</v>
      </c>
      <c r="N696" s="250" t="s">
        <v>635</v>
      </c>
    </row>
    <row r="697" spans="1:14" s="231" customFormat="1" ht="12.6" customHeight="1" x14ac:dyDescent="0.2">
      <c r="A697" s="251">
        <v>7200</v>
      </c>
      <c r="B697" s="250" t="s">
        <v>636</v>
      </c>
      <c r="C697" s="256">
        <f>AE86</f>
        <v>520108</v>
      </c>
      <c r="D697" s="256">
        <f>(D616/D613)*AE91</f>
        <v>0</v>
      </c>
      <c r="E697" s="258">
        <f>(E624/E613)*SUM(C697:D697)</f>
        <v>108533.74419306459</v>
      </c>
      <c r="F697" s="258">
        <f>(F625/F613)*AE65</f>
        <v>120.2559623375211</v>
      </c>
      <c r="G697" s="256">
        <f>(G626/G613)*AE92</f>
        <v>0</v>
      </c>
      <c r="H697" s="258">
        <f>(H629/H613)*AE61</f>
        <v>1343.2528237532792</v>
      </c>
      <c r="I697" s="256">
        <f>(I630/I613)*AE93</f>
        <v>17079.046447241726</v>
      </c>
      <c r="J697" s="256">
        <f>(J631/J613)*AE94</f>
        <v>0</v>
      </c>
      <c r="K697" s="256">
        <f>(K645/K613)*AE90</f>
        <v>1001815.1313513316</v>
      </c>
      <c r="L697" s="256">
        <f>(L648/L613)*AE95</f>
        <v>0</v>
      </c>
      <c r="M697" s="231">
        <f t="shared" si="14"/>
        <v>1128891</v>
      </c>
      <c r="N697" s="250" t="s">
        <v>637</v>
      </c>
    </row>
    <row r="698" spans="1:14" s="231" customFormat="1" ht="12.6" customHeight="1" x14ac:dyDescent="0.2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4"/>
        <v>0</v>
      </c>
      <c r="N698" s="250" t="s">
        <v>639</v>
      </c>
    </row>
    <row r="699" spans="1:14" s="231" customFormat="1" ht="12.6" customHeight="1" x14ac:dyDescent="0.2">
      <c r="A699" s="251">
        <v>7230</v>
      </c>
      <c r="B699" s="250" t="s">
        <v>640</v>
      </c>
      <c r="C699" s="256">
        <f>AG86</f>
        <v>5366083</v>
      </c>
      <c r="D699" s="256">
        <f>(D616/D613)*AG91</f>
        <v>116187.20438074997</v>
      </c>
      <c r="E699" s="258">
        <f>(E624/E613)*SUM(C699:D699)</f>
        <v>1144014.9199003289</v>
      </c>
      <c r="F699" s="258">
        <f>(F625/F613)*AG65</f>
        <v>11928.916511587844</v>
      </c>
      <c r="G699" s="256">
        <f>(G626/G613)*AG92</f>
        <v>0</v>
      </c>
      <c r="H699" s="258">
        <f>(H629/H613)*AG61</f>
        <v>5228.4341809105135</v>
      </c>
      <c r="I699" s="256">
        <f>(I630/I613)*AG93</f>
        <v>134359.75652648634</v>
      </c>
      <c r="J699" s="256">
        <f>(J631/J613)*AG94</f>
        <v>65561.882889610642</v>
      </c>
      <c r="K699" s="256">
        <f>(K645/K613)*AG90</f>
        <v>148943.8165062686</v>
      </c>
      <c r="L699" s="256">
        <f>(L648/L613)*AG95</f>
        <v>0</v>
      </c>
      <c r="M699" s="231">
        <f t="shared" si="14"/>
        <v>1626225</v>
      </c>
      <c r="N699" s="250" t="s">
        <v>641</v>
      </c>
    </row>
    <row r="700" spans="1:14" s="231" customFormat="1" ht="12.6" customHeight="1" x14ac:dyDescent="0.2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4"/>
        <v>0</v>
      </c>
      <c r="N700" s="250" t="s">
        <v>642</v>
      </c>
    </row>
    <row r="701" spans="1:14" s="231" customFormat="1" ht="12.6" customHeight="1" x14ac:dyDescent="0.2">
      <c r="A701" s="251">
        <v>7250</v>
      </c>
      <c r="B701" s="250" t="s">
        <v>643</v>
      </c>
      <c r="C701" s="256">
        <f>AI86</f>
        <v>831714</v>
      </c>
      <c r="D701" s="256">
        <f>(D616/D613)*AI91</f>
        <v>0</v>
      </c>
      <c r="E701" s="258">
        <f>(E624/E613)*SUM(C701:D701)</f>
        <v>173558.25043604505</v>
      </c>
      <c r="F701" s="258">
        <f>(F625/F613)*AI65</f>
        <v>2388.3979881436371</v>
      </c>
      <c r="G701" s="256">
        <f>(G626/G613)*AI92</f>
        <v>115169.99680472258</v>
      </c>
      <c r="H701" s="258">
        <f>(H629/H613)*AI61</f>
        <v>1627.1497023547552</v>
      </c>
      <c r="I701" s="256">
        <f>(I630/I613)*AI93</f>
        <v>39288.693540933084</v>
      </c>
      <c r="J701" s="256">
        <f>(J631/J613)*AI94</f>
        <v>15498.026477585983</v>
      </c>
      <c r="K701" s="256">
        <f>(K645/K613)*AI90</f>
        <v>0</v>
      </c>
      <c r="L701" s="256">
        <f>(L648/L613)*AI95</f>
        <v>125225.44061342037</v>
      </c>
      <c r="M701" s="231">
        <f t="shared" si="14"/>
        <v>472756</v>
      </c>
      <c r="N701" s="250" t="s">
        <v>644</v>
      </c>
    </row>
    <row r="702" spans="1:14" s="231" customFormat="1" ht="12.6" customHeight="1" x14ac:dyDescent="0.2">
      <c r="A702" s="251">
        <v>7260</v>
      </c>
      <c r="B702" s="250" t="s">
        <v>133</v>
      </c>
      <c r="C702" s="256">
        <f>AJ86</f>
        <v>12345891</v>
      </c>
      <c r="D702" s="256">
        <f>(D616/D613)*AJ91</f>
        <v>422949.0601491523</v>
      </c>
      <c r="E702" s="258">
        <f>(E624/E613)*SUM(C702:D702)</f>
        <v>2664542.7886715517</v>
      </c>
      <c r="F702" s="258">
        <f>(F625/F613)*AJ65</f>
        <v>15324.13991730692</v>
      </c>
      <c r="G702" s="256">
        <f>(G626/G613)*AJ92</f>
        <v>0</v>
      </c>
      <c r="H702" s="258">
        <f>(H629/H613)*AJ61</f>
        <v>18208.830352522436</v>
      </c>
      <c r="I702" s="256">
        <f>(I630/I613)*AJ93</f>
        <v>326602.32974211249</v>
      </c>
      <c r="J702" s="256">
        <f>(J631/J613)*AJ94</f>
        <v>0</v>
      </c>
      <c r="K702" s="256">
        <f>(K645/K613)*AJ90</f>
        <v>1694661.2795458399</v>
      </c>
      <c r="L702" s="256">
        <f>(L648/L613)*AJ95</f>
        <v>0</v>
      </c>
      <c r="M702" s="231">
        <f t="shared" si="14"/>
        <v>5142288</v>
      </c>
      <c r="N702" s="250" t="s">
        <v>645</v>
      </c>
    </row>
    <row r="703" spans="1:14" s="231" customFormat="1" ht="12.6" customHeight="1" x14ac:dyDescent="0.2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4"/>
        <v>0</v>
      </c>
      <c r="N703" s="250" t="s">
        <v>647</v>
      </c>
    </row>
    <row r="704" spans="1:14" s="231" customFormat="1" ht="12.6" customHeight="1" x14ac:dyDescent="0.2">
      <c r="A704" s="251">
        <v>7320</v>
      </c>
      <c r="B704" s="250" t="s">
        <v>648</v>
      </c>
      <c r="C704" s="256">
        <f>AL86</f>
        <v>243406</v>
      </c>
      <c r="D704" s="256">
        <f>(D616/D613)*AL91</f>
        <v>0</v>
      </c>
      <c r="E704" s="258">
        <f>(E624/E613)*SUM(C704:D704)</f>
        <v>50792.844061343181</v>
      </c>
      <c r="F704" s="258">
        <f>(F625/F613)*AL65</f>
        <v>1283.1056567812461</v>
      </c>
      <c r="G704" s="256">
        <f>(G626/G613)*AL92</f>
        <v>0</v>
      </c>
      <c r="H704" s="258">
        <f>(H629/H613)*AL61</f>
        <v>575.67978160854818</v>
      </c>
      <c r="I704" s="256">
        <f>(I630/I613)*AL93</f>
        <v>46691.909238830209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4"/>
        <v>99344</v>
      </c>
      <c r="N704" s="250" t="s">
        <v>649</v>
      </c>
    </row>
    <row r="705" spans="1:14" s="231" customFormat="1" ht="12.6" customHeight="1" x14ac:dyDescent="0.2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4"/>
        <v>0</v>
      </c>
      <c r="N705" s="250" t="s">
        <v>651</v>
      </c>
    </row>
    <row r="706" spans="1:14" s="231" customFormat="1" ht="12.6" customHeight="1" x14ac:dyDescent="0.2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4"/>
        <v>0</v>
      </c>
      <c r="N706" s="250" t="s">
        <v>653</v>
      </c>
    </row>
    <row r="707" spans="1:14" s="231" customFormat="1" ht="12.6" customHeight="1" x14ac:dyDescent="0.2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4"/>
        <v>0</v>
      </c>
      <c r="N707" s="250" t="s">
        <v>655</v>
      </c>
    </row>
    <row r="708" spans="1:14" s="231" customFormat="1" ht="12.6" customHeight="1" x14ac:dyDescent="0.2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4"/>
        <v>0</v>
      </c>
      <c r="N708" s="250" t="s">
        <v>657</v>
      </c>
    </row>
    <row r="709" spans="1:14" s="231" customFormat="1" ht="12.6" customHeight="1" x14ac:dyDescent="0.2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4"/>
        <v>0</v>
      </c>
      <c r="N709" s="250" t="s">
        <v>659</v>
      </c>
    </row>
    <row r="710" spans="1:14" s="231" customFormat="1" ht="12.6" customHeight="1" x14ac:dyDescent="0.2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4"/>
        <v>0</v>
      </c>
      <c r="N710" s="250" t="s">
        <v>661</v>
      </c>
    </row>
    <row r="711" spans="1:14" s="231" customFormat="1" ht="12.6" customHeight="1" x14ac:dyDescent="0.2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4"/>
        <v>0</v>
      </c>
      <c r="N711" s="250" t="s">
        <v>662</v>
      </c>
    </row>
    <row r="712" spans="1:14" s="231" customFormat="1" ht="12.6" customHeight="1" x14ac:dyDescent="0.2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4"/>
        <v>0</v>
      </c>
      <c r="N712" s="250" t="s">
        <v>664</v>
      </c>
    </row>
    <row r="713" spans="1:14" s="231" customFormat="1" ht="12.6" customHeight="1" x14ac:dyDescent="0.2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4"/>
        <v>0</v>
      </c>
      <c r="N713" s="250" t="s">
        <v>666</v>
      </c>
    </row>
    <row r="714" spans="1:14" s="231" customFormat="1" ht="12.6" customHeight="1" x14ac:dyDescent="0.2">
      <c r="A714" s="251">
        <v>7490</v>
      </c>
      <c r="B714" s="250" t="s">
        <v>667</v>
      </c>
      <c r="C714" s="256">
        <f>AV86</f>
        <v>2964576</v>
      </c>
      <c r="D714" s="256">
        <f>(D616/D613)*AV91</f>
        <v>9024.9476148080066</v>
      </c>
      <c r="E714" s="258">
        <f>(E624/E613)*SUM(C714:D714)</f>
        <v>620517.36289516801</v>
      </c>
      <c r="F714" s="258">
        <f>(F625/F613)*AV65</f>
        <v>355.62665083770997</v>
      </c>
      <c r="G714" s="256">
        <f>(G626/G613)*AV92</f>
        <v>0</v>
      </c>
      <c r="H714" s="258">
        <f>(H629/H613)*AV61</f>
        <v>3096.5789165975789</v>
      </c>
      <c r="I714" s="256">
        <f>(I630/I613)*AV93</f>
        <v>44006.091450755899</v>
      </c>
      <c r="J714" s="256">
        <f>(J631/J613)*AV94</f>
        <v>5594.0932931553634</v>
      </c>
      <c r="K714" s="256">
        <f>(K645/K613)*AV90</f>
        <v>100023.00038372539</v>
      </c>
      <c r="L714" s="256">
        <f>(L648/L613)*AV95</f>
        <v>0</v>
      </c>
      <c r="M714" s="231">
        <f t="shared" si="14"/>
        <v>782618</v>
      </c>
      <c r="N714" s="252" t="s">
        <v>668</v>
      </c>
    </row>
    <row r="715" spans="1:14" s="231" customFormat="1" ht="12.6" customHeight="1" x14ac:dyDescent="0.2"/>
    <row r="716" spans="1:14" s="231" customFormat="1" ht="12.6" customHeight="1" x14ac:dyDescent="0.2">
      <c r="C716" s="253">
        <f>SUM(C615:C648)+SUM(C669:C714)</f>
        <v>82091013</v>
      </c>
      <c r="D716" s="231">
        <f>SUM(D617:D648)+SUM(D669:D714)</f>
        <v>1503539</v>
      </c>
      <c r="E716" s="231">
        <f>SUM(E625:E648)+SUM(E669:E714)</f>
        <v>14172849.779373329</v>
      </c>
      <c r="F716" s="231">
        <f>SUM(F626:F649)+SUM(F669:F714)</f>
        <v>365015.13566284074</v>
      </c>
      <c r="G716" s="231">
        <f>SUM(G627:G648)+SUM(G669:G714)</f>
        <v>1019906.3045905154</v>
      </c>
      <c r="H716" s="231">
        <f>SUM(H630:H648)+SUM(H669:H714)</f>
        <v>81867.44802929966</v>
      </c>
      <c r="I716" s="231">
        <f>SUM(I631:I648)+SUM(I669:I714)</f>
        <v>1282133.6581916243</v>
      </c>
      <c r="J716" s="231">
        <f>SUM(J632:J648)+SUM(J669:J714)</f>
        <v>295986.21558757214</v>
      </c>
      <c r="K716" s="231">
        <f>SUM(K669:K714)</f>
        <v>5341719.7554448424</v>
      </c>
      <c r="L716" s="231">
        <f>SUM(L669:L714)</f>
        <v>1404386.1207404917</v>
      </c>
      <c r="M716" s="231">
        <f>SUM(M669:M714)</f>
        <v>23314144</v>
      </c>
      <c r="N716" s="250" t="s">
        <v>669</v>
      </c>
    </row>
    <row r="717" spans="1:14" s="231" customFormat="1" ht="12.6" customHeight="1" x14ac:dyDescent="0.2">
      <c r="C717" s="253">
        <f>CE86</f>
        <v>82091013</v>
      </c>
      <c r="D717" s="231">
        <f>D616</f>
        <v>1503539</v>
      </c>
      <c r="E717" s="231">
        <f>E624</f>
        <v>14172849.779373331</v>
      </c>
      <c r="F717" s="231">
        <f>F625</f>
        <v>365015.13566284068</v>
      </c>
      <c r="G717" s="231">
        <f>G626</f>
        <v>1019906.3045905156</v>
      </c>
      <c r="H717" s="231">
        <f>H629</f>
        <v>81867.44802929963</v>
      </c>
      <c r="I717" s="231">
        <f>I630</f>
        <v>1282133.6581916243</v>
      </c>
      <c r="J717" s="231">
        <f>J631</f>
        <v>295986.21558757208</v>
      </c>
      <c r="K717" s="231">
        <f>K645</f>
        <v>5341719.7554448424</v>
      </c>
      <c r="L717" s="231">
        <f>L648</f>
        <v>1404386.1207404914</v>
      </c>
      <c r="M717" s="231">
        <f>C649</f>
        <v>23314141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2" customWidth="1"/>
    <col min="3" max="3" width="38.77734375" style="12" bestFit="1" customWidth="1"/>
    <col min="4" max="10" width="9" style="12" customWidth="1"/>
    <col min="11" max="11" width="13.33203125" style="12" customWidth="1"/>
    <col min="12" max="12" width="12.109375" style="12" customWidth="1"/>
    <col min="13" max="14" width="9" style="12" customWidth="1"/>
    <col min="15" max="16384" width="9" style="12"/>
  </cols>
  <sheetData>
    <row r="1" spans="1:14" x14ac:dyDescent="0.2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25">
      <c r="A2" s="12" t="str">
        <f>RIGHT(data!C96,4)</f>
        <v>2022</v>
      </c>
      <c r="B2" s="225" t="str">
        <f>RIGHT(data!C97,3)</f>
        <v>198</v>
      </c>
      <c r="C2" s="12" t="str">
        <f>SUBSTITUTE(LEFT(data!C98,49),",","")</f>
        <v>Astria Sunnyside Hospital</v>
      </c>
      <c r="D2" s="12" t="str">
        <f>LEFT(data!C99,49)</f>
        <v>PO Box 719</v>
      </c>
      <c r="E2" s="12" t="str">
        <f>RIGHT(data!C100,100)</f>
        <v xml:space="preserve">Sunnyside </v>
      </c>
      <c r="F2" s="12" t="str">
        <f>RIGHT(data!C101,100)</f>
        <v xml:space="preserve">WA </v>
      </c>
      <c r="G2" s="12" t="str">
        <f>RIGHT(data!C102,100)</f>
        <v>98944</v>
      </c>
      <c r="H2" s="12" t="str">
        <f>RIGHT(data!C103,100)</f>
        <v>Yakima</v>
      </c>
      <c r="I2" s="12" t="str">
        <f>LEFT(data!C104,49)</f>
        <v>Brian P. Gibbons, Jr</v>
      </c>
      <c r="J2" s="12" t="str">
        <f>LEFT(data!C105,49)</f>
        <v>Maxwell Owens</v>
      </c>
      <c r="K2" s="12" t="str">
        <f>LEFT(data!C107,49)</f>
        <v>(509) 837-1641</v>
      </c>
      <c r="L2" s="12" t="str">
        <f>LEFT(data!C107,49)</f>
        <v>(509) 837-1641</v>
      </c>
      <c r="M2" s="12" t="str">
        <f>LEFT(data!C109,49)</f>
        <v>Sandra Cortez</v>
      </c>
      <c r="N2" s="12" t="str">
        <f>LEFT(data!C110,49)</f>
        <v>sandra.cortez@astria.health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777343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77734375" style="9" bestFit="1" customWidth="1"/>
    <col min="56" max="57" width="10.5546875" style="9" bestFit="1" customWidth="1"/>
    <col min="58" max="58" width="9.5546875" style="9" bestFit="1" customWidth="1"/>
    <col min="59" max="59" width="9.777343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777343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6" width="8.6640625" style="9" customWidth="1"/>
    <col min="87" max="16384" width="8.6640625" style="9"/>
  </cols>
  <sheetData>
    <row r="1" spans="1:84" s="10" customFormat="1" ht="12.6" customHeight="1" x14ac:dyDescent="0.2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" customHeight="1" x14ac:dyDescent="0.25">
      <c r="A2" s="16" t="str">
        <f>RIGHT(data!C97,3)</f>
        <v>198</v>
      </c>
      <c r="B2" s="224" t="str">
        <f>RIGHT(data!C96,4)</f>
        <v>2022</v>
      </c>
      <c r="C2" s="16" t="s">
        <v>1123</v>
      </c>
      <c r="D2" s="223">
        <f>ROUND(data!C181,0)</f>
        <v>2013763</v>
      </c>
      <c r="E2" s="223">
        <f>ROUND(data!C182,0)</f>
        <v>106343</v>
      </c>
      <c r="F2" s="223">
        <f>ROUND(data!C183,0)</f>
        <v>371178</v>
      </c>
      <c r="G2" s="223">
        <f>ROUND(data!C184,0)</f>
        <v>4530652</v>
      </c>
      <c r="H2" s="223">
        <f>ROUND(data!C185,0)</f>
        <v>0</v>
      </c>
      <c r="I2" s="223">
        <f>ROUND(data!C186,0)</f>
        <v>880245</v>
      </c>
      <c r="J2" s="223">
        <f>ROUND(data!C187+data!C188,0)</f>
        <v>9293</v>
      </c>
      <c r="K2" s="223">
        <f>ROUND(data!C191,0)</f>
        <v>544788</v>
      </c>
      <c r="L2" s="223">
        <f>ROUND(data!C192,0)</f>
        <v>460125</v>
      </c>
      <c r="M2" s="223">
        <f>ROUND(data!C195,0)</f>
        <v>1869833</v>
      </c>
      <c r="N2" s="223">
        <f>ROUND(data!C196,0)</f>
        <v>49529</v>
      </c>
      <c r="O2" s="223">
        <f>ROUND(data!C199,0)</f>
        <v>75128</v>
      </c>
      <c r="P2" s="223">
        <f>ROUND(data!C200,0)</f>
        <v>931564</v>
      </c>
      <c r="Q2" s="223">
        <f>ROUND(data!C201,0)</f>
        <v>0</v>
      </c>
      <c r="R2" s="223">
        <f>ROUND(data!C204,0)</f>
        <v>4575199</v>
      </c>
      <c r="S2" s="223">
        <f>ROUND(data!C205,0)</f>
        <v>54649</v>
      </c>
      <c r="T2" s="223">
        <f>ROUND(data!B211,0)</f>
        <v>5072349</v>
      </c>
      <c r="U2" s="223">
        <f>ROUND(data!C211,0)</f>
        <v>0</v>
      </c>
      <c r="V2" s="223">
        <f>ROUND(data!D211,0)</f>
        <v>0</v>
      </c>
      <c r="W2" s="223">
        <f>ROUND(data!B212,0)</f>
        <v>1430910</v>
      </c>
      <c r="X2" s="223">
        <f>ROUND(data!C212,0)</f>
        <v>0</v>
      </c>
      <c r="Y2" s="223">
        <f>ROUND(data!D212,0)</f>
        <v>0</v>
      </c>
      <c r="Z2" s="223">
        <f>ROUND(data!B213,0)</f>
        <v>24903609</v>
      </c>
      <c r="AA2" s="223">
        <f>ROUND(data!C213,0)</f>
        <v>0</v>
      </c>
      <c r="AB2" s="223">
        <f>ROUND(data!D213,0)</f>
        <v>0</v>
      </c>
      <c r="AC2" s="223">
        <f>ROUND(data!B214,0)</f>
        <v>2817279</v>
      </c>
      <c r="AD2" s="223">
        <f>ROUND(data!C214,0)</f>
        <v>40943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27123066</v>
      </c>
      <c r="AJ2" s="223">
        <f>ROUND(data!C216,0)</f>
        <v>506271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2658937</v>
      </c>
      <c r="AQ2" s="223">
        <f>ROUND(data!D218,0)</f>
        <v>0</v>
      </c>
      <c r="AR2" s="223">
        <f>ROUND(data!B219,0)</f>
        <v>0</v>
      </c>
      <c r="AS2" s="223">
        <f>ROUND(data!C219,0)</f>
        <v>65582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1066433</v>
      </c>
      <c r="AY2" s="223">
        <f>ROUND(data!C225,0)</f>
        <v>16761</v>
      </c>
      <c r="AZ2" s="223">
        <f>ROUND(data!D225,0)</f>
        <v>0</v>
      </c>
      <c r="BA2" s="223">
        <f>ROUND(data!B226,0)</f>
        <v>16353968</v>
      </c>
      <c r="BB2" s="223">
        <f>ROUND(data!C226,0)</f>
        <v>649884</v>
      </c>
      <c r="BC2" s="223">
        <f>ROUND(data!D226,0)</f>
        <v>0</v>
      </c>
      <c r="BD2" s="223">
        <f>ROUND(data!B227,0)</f>
        <v>2580072</v>
      </c>
      <c r="BE2" s="223">
        <f>ROUND(data!C227,0)</f>
        <v>23216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22881943</v>
      </c>
      <c r="BK2" s="223">
        <f>ROUND(data!C229,0)</f>
        <v>1483798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79932329</v>
      </c>
      <c r="BW2" s="223">
        <f>ROUND(data!C240,0)</f>
        <v>69992443</v>
      </c>
      <c r="BX2" s="223">
        <f>ROUND(data!C241,0)</f>
        <v>0</v>
      </c>
      <c r="BY2" s="223">
        <f>ROUND(data!C242,0)</f>
        <v>0</v>
      </c>
      <c r="BZ2" s="223">
        <f>ROUND(data!C243,0)</f>
        <v>14657685</v>
      </c>
      <c r="CA2" s="223">
        <f>ROUND(data!C244,0)</f>
        <v>7980215</v>
      </c>
      <c r="CB2" s="223">
        <f>ROUND(data!C247,0)</f>
        <v>0</v>
      </c>
      <c r="CC2" s="223">
        <f>ROUND(data!C249,0)</f>
        <v>0</v>
      </c>
      <c r="CD2" s="223">
        <f>ROUND(data!C250,0)</f>
        <v>3753852</v>
      </c>
      <c r="CE2" s="223">
        <f>ROUND(data!C254+data!C255,0)</f>
        <v>0</v>
      </c>
      <c r="CF2" s="223">
        <f>data!D237</f>
        <v>5965953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E22" sqref="E22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" customHeight="1" x14ac:dyDescent="0.2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" customHeight="1" x14ac:dyDescent="0.25">
      <c r="A2" s="16" t="str">
        <f>RIGHT(data!C97,3)</f>
        <v>198</v>
      </c>
      <c r="B2" s="16" t="str">
        <f>RIGHT(data!C96,4)</f>
        <v>2022</v>
      </c>
      <c r="C2" s="16" t="s">
        <v>1123</v>
      </c>
      <c r="D2" s="222">
        <f>ROUND(data!C127,0)</f>
        <v>1338</v>
      </c>
      <c r="E2" s="222">
        <f>ROUND(data!C128,0)</f>
        <v>0</v>
      </c>
      <c r="F2" s="222">
        <f>ROUND(data!C129,0)</f>
        <v>0</v>
      </c>
      <c r="G2" s="222">
        <f>ROUND(data!C130,0)</f>
        <v>235</v>
      </c>
      <c r="H2" s="222">
        <f>ROUND(data!D127,0)</f>
        <v>6250</v>
      </c>
      <c r="I2" s="222">
        <f>ROUND(data!D128,0)</f>
        <v>0</v>
      </c>
      <c r="J2" s="222">
        <f>ROUND(data!D129,0)</f>
        <v>0</v>
      </c>
      <c r="K2" s="222">
        <f>ROUND(data!D130,0)</f>
        <v>322</v>
      </c>
      <c r="L2" s="222">
        <f>ROUND(data!C132,0)</f>
        <v>7</v>
      </c>
      <c r="M2" s="222">
        <f>ROUND(data!C133,0)</f>
        <v>0</v>
      </c>
      <c r="N2" s="222">
        <f>ROUND(data!C134,0)</f>
        <v>14</v>
      </c>
      <c r="O2" s="222">
        <f>ROUND(data!C135,0)</f>
        <v>0</v>
      </c>
      <c r="P2" s="222">
        <f>ROUND(data!C136,0)</f>
        <v>4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38</v>
      </c>
      <c r="X2" s="222">
        <f>ROUND(data!C145,0)</f>
        <v>6</v>
      </c>
      <c r="Y2" s="222">
        <f>ROUND(data!B154,0)</f>
        <v>728</v>
      </c>
      <c r="Z2" s="222">
        <f>ROUND(data!B155,0)</f>
        <v>3407</v>
      </c>
      <c r="AA2" s="222">
        <f>ROUND(data!B156,0)</f>
        <v>0</v>
      </c>
      <c r="AB2" s="222">
        <f>ROUND(data!B157,0)</f>
        <v>48698253</v>
      </c>
      <c r="AC2" s="222">
        <f>ROUND(data!B158,0)</f>
        <v>66902242</v>
      </c>
      <c r="AD2" s="222">
        <f>ROUND(data!C154,0)</f>
        <v>343</v>
      </c>
      <c r="AE2" s="222">
        <f>ROUND(data!C155,0)</f>
        <v>1606</v>
      </c>
      <c r="AF2" s="222">
        <f>ROUND(data!C156,0)</f>
        <v>0</v>
      </c>
      <c r="AG2" s="222">
        <f>ROUND(data!C157,0)</f>
        <v>22836328</v>
      </c>
      <c r="AH2" s="222">
        <f>ROUND(data!C158,0)</f>
        <v>69885171</v>
      </c>
      <c r="AI2" s="222">
        <f>ROUND(data!D154,0)</f>
        <v>267</v>
      </c>
      <c r="AJ2" s="222">
        <f>ROUND(data!D155,0)</f>
        <v>1237</v>
      </c>
      <c r="AK2" s="222">
        <f>ROUND(data!D156,0)</f>
        <v>0</v>
      </c>
      <c r="AL2" s="222">
        <f>ROUND(data!D157,0)</f>
        <v>19179377</v>
      </c>
      <c r="AM2" s="222">
        <f>ROUND(data!D158,0)</f>
        <v>57557944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777343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6" width="8.777343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77734375" style="9" bestFit="1" customWidth="1"/>
    <col min="22" max="22" width="10.5546875" style="9" bestFit="1" customWidth="1"/>
    <col min="23" max="23" width="9.5546875" style="9" bestFit="1" customWidth="1"/>
    <col min="24" max="25" width="9.77734375" style="9" bestFit="1" customWidth="1"/>
    <col min="26" max="26" width="11.77734375" style="9" bestFit="1" customWidth="1"/>
    <col min="27" max="27" width="9.5546875" style="9" bestFit="1" customWidth="1"/>
    <col min="28" max="28" width="8.777343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77734375" style="9" customWidth="1"/>
    <col min="64" max="66" width="11.777343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77734375" style="9" bestFit="1" customWidth="1"/>
    <col min="74" max="74" width="10.5546875" style="9" bestFit="1" customWidth="1"/>
    <col min="75" max="75" width="9.21875" style="9" bestFit="1" customWidth="1"/>
    <col min="76" max="76" width="9.777343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77734375" style="9" bestFit="1" customWidth="1"/>
    <col min="98" max="98" width="6.5546875" style="9" bestFit="1" customWidth="1"/>
    <col min="99" max="100" width="7.44140625" style="9" bestFit="1" customWidth="1"/>
    <col min="101" max="101" width="6.77734375" style="9" bestFit="1" customWidth="1"/>
    <col min="102" max="106" width="7.44140625" style="9" bestFit="1" customWidth="1"/>
    <col min="107" max="108" width="7.5546875" style="9" bestFit="1" customWidth="1"/>
    <col min="109" max="109" width="10.5546875" style="12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2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" customHeight="1" x14ac:dyDescent="0.25">
      <c r="A2" s="223" t="str">
        <f>RIGHT(data!C97,3)</f>
        <v>198</v>
      </c>
      <c r="B2" s="224" t="str">
        <f>RIGHT(data!C96,4)</f>
        <v>2022</v>
      </c>
      <c r="C2" s="16" t="s">
        <v>1123</v>
      </c>
      <c r="D2" s="222">
        <f>ROUND(data!C266,0)</f>
        <v>2897040</v>
      </c>
      <c r="E2" s="222">
        <f>ROUND(data!C267,0)</f>
        <v>0</v>
      </c>
      <c r="F2" s="222">
        <f>ROUND(data!C268,0)</f>
        <v>75132443</v>
      </c>
      <c r="G2" s="222">
        <f>ROUND(data!C269,0)</f>
        <v>58467839</v>
      </c>
      <c r="H2" s="222">
        <f>ROUND(data!C270,0)</f>
        <v>0</v>
      </c>
      <c r="I2" s="222">
        <f>ROUND(data!C271,0)</f>
        <v>15389455</v>
      </c>
      <c r="J2" s="222">
        <f>ROUND(data!C272,0)</f>
        <v>0</v>
      </c>
      <c r="K2" s="222">
        <f>ROUND(data!C273,0)</f>
        <v>2828935</v>
      </c>
      <c r="L2" s="222">
        <f>ROUND(data!C274,0)</f>
        <v>306230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5072349</v>
      </c>
      <c r="R2" s="222">
        <f>ROUND(data!C284,0)</f>
        <v>1430910</v>
      </c>
      <c r="S2" s="222">
        <f>ROUND(data!C285,0)</f>
        <v>24903609</v>
      </c>
      <c r="T2" s="222">
        <f>ROUND(data!C286,0)</f>
        <v>2858222</v>
      </c>
      <c r="U2" s="222">
        <f>ROUND(data!C287,0)</f>
        <v>0</v>
      </c>
      <c r="V2" s="222">
        <f>ROUND(data!C288,0)</f>
        <v>27629337</v>
      </c>
      <c r="W2" s="222">
        <f>ROUND(data!C289,0)</f>
        <v>2658937</v>
      </c>
      <c r="X2" s="222">
        <f>ROUND(data!C290,0)</f>
        <v>65582</v>
      </c>
      <c r="Y2" s="222">
        <f>ROUND(data!C291,0)</f>
        <v>0</v>
      </c>
      <c r="Z2" s="222">
        <f>ROUND(data!C292,0)</f>
        <v>45114408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858022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5237006</v>
      </c>
      <c r="AK2" s="222">
        <f>ROUND(data!C316,0)</f>
        <v>3056632</v>
      </c>
      <c r="AL2" s="222">
        <f>ROUND(data!C317,0)</f>
        <v>0</v>
      </c>
      <c r="AM2" s="222">
        <f>ROUND(data!C318,0)</f>
        <v>0</v>
      </c>
      <c r="AN2" s="222">
        <f>ROUND(data!C319,0)</f>
        <v>1878006</v>
      </c>
      <c r="AO2" s="222">
        <f>ROUND(data!C320,0)</f>
        <v>0</v>
      </c>
      <c r="AP2" s="222">
        <f>ROUND(data!C321,0)</f>
        <v>0</v>
      </c>
      <c r="AQ2" s="222">
        <f>ROUND(data!C322,0)</f>
        <v>1345960</v>
      </c>
      <c r="AR2" s="222">
        <f>ROUND(data!C323,0)</f>
        <v>500032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2605417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44325803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350.55</v>
      </c>
      <c r="BL2" s="222">
        <f>ROUND(data!C358,0)</f>
        <v>90713958</v>
      </c>
      <c r="BM2" s="222">
        <f>ROUND(data!C359,0)</f>
        <v>194345357</v>
      </c>
      <c r="BN2" s="222">
        <f>ROUND(data!C363,0)</f>
        <v>172562672</v>
      </c>
      <c r="BO2" s="222">
        <f>ROUND(data!C364,0)</f>
        <v>3753852</v>
      </c>
      <c r="BP2" s="222">
        <f>ROUND(data!C365,0)</f>
        <v>0</v>
      </c>
      <c r="BQ2" s="222">
        <f>ROUND(data!D381,0)</f>
        <v>709275</v>
      </c>
      <c r="BR2" s="222">
        <f>ROUND(data!C370,0)</f>
        <v>0</v>
      </c>
      <c r="BS2" s="222">
        <f>ROUND(data!C371,0)</f>
        <v>412915</v>
      </c>
      <c r="BT2" s="222">
        <f>ROUND(data!C372,0)</f>
        <v>0</v>
      </c>
      <c r="BU2" s="222">
        <f>ROUND(data!C373,0)</f>
        <v>0</v>
      </c>
      <c r="BV2" s="222">
        <f>ROUND(data!C374,0)</f>
        <v>4926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174506</v>
      </c>
      <c r="CB2" s="222">
        <f>ROUND(data!C380,0)</f>
        <v>116928</v>
      </c>
      <c r="CC2" s="222">
        <f>ROUND(data!C382,0)</f>
        <v>0</v>
      </c>
      <c r="CD2" s="222">
        <f>ROUND(data!C389,0)</f>
        <v>30739422</v>
      </c>
      <c r="CE2" s="222">
        <f>ROUND(data!C390,0)</f>
        <v>7911474</v>
      </c>
      <c r="CF2" s="222">
        <f>ROUND(data!C391,0)</f>
        <v>1936519</v>
      </c>
      <c r="CG2" s="222">
        <f>ROUND(data!C392,0)</f>
        <v>13249903</v>
      </c>
      <c r="CH2" s="222">
        <f>ROUND(data!C393,0)</f>
        <v>843535</v>
      </c>
      <c r="CI2" s="222">
        <f>ROUND(data!C394,0)</f>
        <v>10902800</v>
      </c>
      <c r="CJ2" s="222">
        <f>ROUND(data!C395,0)</f>
        <v>2265107</v>
      </c>
      <c r="CK2" s="222">
        <f>ROUND(data!C396,0)</f>
        <v>1004913</v>
      </c>
      <c r="CL2" s="222">
        <f>ROUND(data!C397,0)</f>
        <v>1919362</v>
      </c>
      <c r="CM2" s="222">
        <f>ROUND(data!C398,0)</f>
        <v>1006692</v>
      </c>
      <c r="CN2" s="222">
        <f>ROUND(data!C399,0)</f>
        <v>4629848</v>
      </c>
      <c r="CO2" s="222">
        <f>ROUND(data!C362,0)</f>
        <v>5965953</v>
      </c>
      <c r="CP2" s="222">
        <f>ROUND(data!D415,0)</f>
        <v>24041242</v>
      </c>
      <c r="CQ2" s="65">
        <f>ROUND(data!C401,0)</f>
        <v>484051</v>
      </c>
      <c r="CR2" s="65">
        <f>ROUND(data!C402,0)</f>
        <v>6490162</v>
      </c>
      <c r="CS2" s="65">
        <f>ROUND(data!C403,0)</f>
        <v>0</v>
      </c>
      <c r="CT2" s="65">
        <f>ROUND(data!C404,0)</f>
        <v>0</v>
      </c>
      <c r="CU2" s="65">
        <f>ROUND(data!C405,0)</f>
        <v>261643</v>
      </c>
      <c r="CV2" s="65">
        <f>ROUND(data!C406,0)</f>
        <v>153705</v>
      </c>
      <c r="CW2" s="65">
        <f>ROUND(data!C407,0)</f>
        <v>917085</v>
      </c>
      <c r="CX2" s="65">
        <f>ROUND(data!C408,0)</f>
        <v>494921</v>
      </c>
      <c r="CY2" s="65">
        <f>ROUND(data!C409,0)</f>
        <v>14501192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738483</v>
      </c>
      <c r="DE2" s="65">
        <f>ROUND(data!C419,0)</f>
        <v>0</v>
      </c>
      <c r="DF2" s="222">
        <f>ROUND(data!D420,0)</f>
        <v>-58043</v>
      </c>
      <c r="DG2" s="222">
        <f>ROUND(data!C422,0)</f>
        <v>-446826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77734375" style="9" bestFit="1" customWidth="1"/>
    <col min="4" max="4" width="10.5546875" style="9" bestFit="1" customWidth="1"/>
    <col min="5" max="37" width="12.5546875" style="9" customWidth="1"/>
    <col min="38" max="39" width="8.6640625" style="9" customWidth="1"/>
    <col min="40" max="16384" width="8.6640625" style="9"/>
  </cols>
  <sheetData>
    <row r="1" spans="1:89" s="10" customFormat="1" ht="12.6" customHeight="1" x14ac:dyDescent="0.2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" customHeight="1" x14ac:dyDescent="0.25">
      <c r="A2" s="16" t="str">
        <f>RIGHT(data!$C$97,3)</f>
        <v>198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1806</v>
      </c>
      <c r="F2" s="212">
        <f>ROUND(data!C60,2)</f>
        <v>12.21</v>
      </c>
      <c r="G2" s="222">
        <f>ROUND(data!C61,0)</f>
        <v>1163489</v>
      </c>
      <c r="H2" s="222">
        <f>ROUND(data!C62,0)</f>
        <v>305387</v>
      </c>
      <c r="I2" s="222">
        <f>ROUND(data!C63,0)</f>
        <v>0</v>
      </c>
      <c r="J2" s="222">
        <f>ROUND(data!C64,0)</f>
        <v>120779</v>
      </c>
      <c r="K2" s="222">
        <f>ROUND(data!C65,0)</f>
        <v>0</v>
      </c>
      <c r="L2" s="222">
        <f>ROUND(data!C66,0)</f>
        <v>14326</v>
      </c>
      <c r="M2" s="66">
        <f>ROUND(data!C67,0)</f>
        <v>45102</v>
      </c>
      <c r="N2" s="222">
        <f>ROUND(data!C68,0)</f>
        <v>8276</v>
      </c>
      <c r="O2" s="222">
        <f>ROUND(data!C69,0)</f>
        <v>2071993</v>
      </c>
      <c r="P2" s="222">
        <f>ROUND(data!C70,0)</f>
        <v>0</v>
      </c>
      <c r="Q2" s="222">
        <f>ROUND(data!C71,0)</f>
        <v>2068448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3260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285</v>
      </c>
      <c r="AD2" s="222">
        <f>ROUND(data!C84,0)</f>
        <v>0</v>
      </c>
      <c r="AE2" s="222">
        <f>ROUND(data!C89,0)</f>
        <v>8282856</v>
      </c>
      <c r="AF2" s="222">
        <f>ROUND(data!C87,0)</f>
        <v>8267064</v>
      </c>
      <c r="AG2" s="222">
        <f>IF(data!C90&gt;0,ROUND(data!C90,0),0)</f>
        <v>2235</v>
      </c>
      <c r="AH2" s="222">
        <f>IF(data!C91&gt;0,ROUND(data!C91,0),0)</f>
        <v>4522</v>
      </c>
      <c r="AI2" s="222">
        <f>IF(data!C92&gt;0,ROUND(data!C92,0),0)</f>
        <v>2315</v>
      </c>
      <c r="AJ2" s="222">
        <f>IF(data!C93&gt;0,ROUND(data!C93,0),0)</f>
        <v>53368</v>
      </c>
      <c r="AK2" s="212">
        <f>IF(data!C94&gt;0,ROUND(data!C94,2),0)</f>
        <v>12.21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" customHeight="1" x14ac:dyDescent="0.25">
      <c r="A3" s="16" t="str">
        <f>RIGHT(data!$C$97,3)</f>
        <v>198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" customHeight="1" x14ac:dyDescent="0.25">
      <c r="A4" s="16" t="str">
        <f>RIGHT(data!$C$97,3)</f>
        <v>198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4444</v>
      </c>
      <c r="F4" s="212">
        <f>ROUND(data!E60,2)</f>
        <v>28.97</v>
      </c>
      <c r="G4" s="222">
        <f>ROUND(data!E61,0)</f>
        <v>2649250</v>
      </c>
      <c r="H4" s="222">
        <f>ROUND(data!E62,0)</f>
        <v>714398</v>
      </c>
      <c r="I4" s="222">
        <f>ROUND(data!E63,0)</f>
        <v>0</v>
      </c>
      <c r="J4" s="222">
        <f>ROUND(data!E64,0)</f>
        <v>276823</v>
      </c>
      <c r="K4" s="222">
        <f>ROUND(data!E65,0)</f>
        <v>0</v>
      </c>
      <c r="L4" s="222">
        <f>ROUND(data!E66,0)</f>
        <v>1069144</v>
      </c>
      <c r="M4" s="66">
        <f>ROUND(data!E67,0)</f>
        <v>395303</v>
      </c>
      <c r="N4" s="222">
        <f>ROUND(data!E68,0)</f>
        <v>113791</v>
      </c>
      <c r="O4" s="222">
        <f>ROUND(data!E69,0)</f>
        <v>2817587</v>
      </c>
      <c r="P4" s="222">
        <f>ROUND(data!E70,0)</f>
        <v>0</v>
      </c>
      <c r="Q4" s="222">
        <f>ROUND(data!E71,0)</f>
        <v>2804669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7729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5189</v>
      </c>
      <c r="AD4" s="222">
        <f>ROUND(data!E84,0)</f>
        <v>0</v>
      </c>
      <c r="AE4" s="222">
        <f>ROUND(data!E89,0)</f>
        <v>15844196</v>
      </c>
      <c r="AF4" s="222">
        <f>ROUND(data!E87,0)</f>
        <v>14114320</v>
      </c>
      <c r="AG4" s="222">
        <f>IF(data!E90&gt;0,ROUND(data!E90,0),0)</f>
        <v>19589</v>
      </c>
      <c r="AH4" s="222">
        <f>IF(data!E91&gt;0,ROUND(data!E91,0),0)</f>
        <v>19069</v>
      </c>
      <c r="AI4" s="222">
        <f>IF(data!E92&gt;0,ROUND(data!E92,0),0)</f>
        <v>9100</v>
      </c>
      <c r="AJ4" s="222">
        <f>IF(data!E93&gt;0,ROUND(data!E93,0),0)</f>
        <v>133209</v>
      </c>
      <c r="AK4" s="212">
        <f>IF(data!E94&gt;0,ROUND(data!E94,2),0)</f>
        <v>28.97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" customHeight="1" x14ac:dyDescent="0.25">
      <c r="A5" s="16" t="str">
        <f>RIGHT(data!$C$97,3)</f>
        <v>198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" customHeight="1" x14ac:dyDescent="0.25">
      <c r="A6" s="16" t="str">
        <f>RIGHT(data!$C$97,3)</f>
        <v>198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" customHeight="1" x14ac:dyDescent="0.25">
      <c r="A7" s="16" t="str">
        <f>RIGHT(data!$C$97,3)</f>
        <v>198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" customHeight="1" x14ac:dyDescent="0.25">
      <c r="A8" s="16" t="str">
        <f>RIGHT(data!$C$97,3)</f>
        <v>198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" customHeight="1" x14ac:dyDescent="0.25">
      <c r="A9" s="16" t="str">
        <f>RIGHT(data!$C$97,3)</f>
        <v>198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322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957212</v>
      </c>
      <c r="AF9" s="222">
        <f>ROUND(data!J87,0)</f>
        <v>878576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" customHeight="1" x14ac:dyDescent="0.25">
      <c r="A10" s="16" t="str">
        <f>RIGHT(data!$C$97,3)</f>
        <v>198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" customHeight="1" x14ac:dyDescent="0.25">
      <c r="A11" s="16" t="str">
        <f>RIGHT(data!$C$97,3)</f>
        <v>198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" customHeight="1" x14ac:dyDescent="0.25">
      <c r="A12" s="16" t="str">
        <f>RIGHT(data!$C$97,3)</f>
        <v>198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" customHeight="1" x14ac:dyDescent="0.25">
      <c r="A13" s="16" t="str">
        <f>RIGHT(data!$C$97,3)</f>
        <v>198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" customHeight="1" x14ac:dyDescent="0.25">
      <c r="A14" s="16" t="str">
        <f>RIGHT(data!$C$97,3)</f>
        <v>198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235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75674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3750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" customHeight="1" x14ac:dyDescent="0.25">
      <c r="A15" s="16" t="str">
        <f>RIGHT(data!$C$97,3)</f>
        <v>198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155238</v>
      </c>
      <c r="F15" s="212">
        <f>ROUND(data!P60,2)</f>
        <v>12.63</v>
      </c>
      <c r="G15" s="222">
        <f>ROUND(data!P61,0)</f>
        <v>971581</v>
      </c>
      <c r="H15" s="222">
        <f>ROUND(data!P62,0)</f>
        <v>253026</v>
      </c>
      <c r="I15" s="222">
        <f>ROUND(data!P63,0)</f>
        <v>1987</v>
      </c>
      <c r="J15" s="222">
        <f>ROUND(data!P64,0)</f>
        <v>3532499</v>
      </c>
      <c r="K15" s="222">
        <f>ROUND(data!P65,0)</f>
        <v>0</v>
      </c>
      <c r="L15" s="222">
        <f>ROUND(data!P66,0)</f>
        <v>394516</v>
      </c>
      <c r="M15" s="66">
        <f>ROUND(data!P67,0)</f>
        <v>77491</v>
      </c>
      <c r="N15" s="222">
        <f>ROUND(data!P68,0)</f>
        <v>10928</v>
      </c>
      <c r="O15" s="222">
        <f>ROUND(data!P69,0)</f>
        <v>329295</v>
      </c>
      <c r="P15" s="222">
        <f>ROUND(data!P70,0)</f>
        <v>0</v>
      </c>
      <c r="Q15" s="222">
        <f>ROUND(data!P71,0)</f>
        <v>151446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88916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29</v>
      </c>
      <c r="AB15" s="222">
        <f>ROUND(data!P82,0)</f>
        <v>0</v>
      </c>
      <c r="AC15" s="222">
        <f>ROUND(data!P83,0)</f>
        <v>88904</v>
      </c>
      <c r="AD15" s="222">
        <f>ROUND(data!P84,0)</f>
        <v>0</v>
      </c>
      <c r="AE15" s="222">
        <f>ROUND(data!P89,0)</f>
        <v>33008593</v>
      </c>
      <c r="AF15" s="222">
        <f>ROUND(data!P87,0)</f>
        <v>10850315</v>
      </c>
      <c r="AG15" s="222">
        <f>IF(data!P90&gt;0,ROUND(data!P90,0),0)</f>
        <v>3840</v>
      </c>
      <c r="AH15" s="222">
        <f>IF(data!P91&gt;0,ROUND(data!P91,0),0)</f>
        <v>0</v>
      </c>
      <c r="AI15" s="222">
        <f>IF(data!P92&gt;0,ROUND(data!P92,0),0)</f>
        <v>3473</v>
      </c>
      <c r="AJ15" s="222">
        <f>IF(data!P93&gt;0,ROUND(data!P93,0),0)</f>
        <v>27121</v>
      </c>
      <c r="AK15" s="212">
        <f>IF(data!P94&gt;0,ROUND(data!P94,2),0)</f>
        <v>12.63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" customHeight="1" x14ac:dyDescent="0.25">
      <c r="A16" s="16" t="str">
        <f>RIGHT(data!$C$97,3)</f>
        <v>198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3.26</v>
      </c>
      <c r="G16" s="222">
        <f>ROUND(data!Q61,0)</f>
        <v>472268</v>
      </c>
      <c r="H16" s="222">
        <f>ROUND(data!Q62,0)</f>
        <v>130897</v>
      </c>
      <c r="I16" s="222">
        <f>ROUND(data!Q63,0)</f>
        <v>0</v>
      </c>
      <c r="J16" s="222">
        <f>ROUND(data!Q64,0)</f>
        <v>26894</v>
      </c>
      <c r="K16" s="222">
        <f>ROUND(data!Q65,0)</f>
        <v>0</v>
      </c>
      <c r="L16" s="222">
        <f>ROUND(data!Q66,0)</f>
        <v>808</v>
      </c>
      <c r="M16" s="66">
        <f>ROUND(data!Q67,0)</f>
        <v>23308</v>
      </c>
      <c r="N16" s="222">
        <f>ROUND(data!Q68,0)</f>
        <v>2124</v>
      </c>
      <c r="O16" s="222">
        <f>ROUND(data!Q69,0)</f>
        <v>37409</v>
      </c>
      <c r="P16" s="222">
        <f>ROUND(data!Q70,0)</f>
        <v>0</v>
      </c>
      <c r="Q16" s="222">
        <f>ROUND(data!Q71,0)</f>
        <v>39041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-1632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4730618</v>
      </c>
      <c r="AF16" s="222">
        <f>ROUND(data!Q87,0)</f>
        <v>1294634</v>
      </c>
      <c r="AG16" s="222">
        <f>IF(data!Q90&gt;0,ROUND(data!Q90,0),0)</f>
        <v>1155</v>
      </c>
      <c r="AH16" s="222">
        <f>IF(data!Q91&gt;0,ROUND(data!Q91,0),0)</f>
        <v>0</v>
      </c>
      <c r="AI16" s="222">
        <f>IF(data!Q92&gt;0,ROUND(data!Q92,0),0)</f>
        <v>546</v>
      </c>
      <c r="AJ16" s="222">
        <f>IF(data!Q93&gt;0,ROUND(data!Q93,0),0)</f>
        <v>13349</v>
      </c>
      <c r="AK16" s="212">
        <f>IF(data!Q94&gt;0,ROUND(data!Q94,2),0)</f>
        <v>3.26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" customHeight="1" x14ac:dyDescent="0.25">
      <c r="A17" s="16" t="str">
        <f>RIGHT(data!$C$97,3)</f>
        <v>198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103806</v>
      </c>
      <c r="K17" s="222">
        <f>ROUND(data!R65,0)</f>
        <v>0</v>
      </c>
      <c r="L17" s="222">
        <f>ROUND(data!R66,0)</f>
        <v>1191621</v>
      </c>
      <c r="M17" s="66">
        <f>ROUND(data!R67,0)</f>
        <v>0</v>
      </c>
      <c r="N17" s="222">
        <f>ROUND(data!R68,0)</f>
        <v>0</v>
      </c>
      <c r="O17" s="222">
        <f>ROUND(data!R69,0)</f>
        <v>4035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4035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8351192</v>
      </c>
      <c r="AF17" s="222">
        <f>ROUND(data!R87,0)</f>
        <v>2421810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" customHeight="1" x14ac:dyDescent="0.25">
      <c r="A18" s="16" t="str">
        <f>RIGHT(data!$C$97,3)</f>
        <v>198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1.31</v>
      </c>
      <c r="G18" s="222">
        <f>ROUND(data!S61,0)</f>
        <v>77438</v>
      </c>
      <c r="H18" s="222">
        <f>ROUND(data!S62,0)</f>
        <v>16890</v>
      </c>
      <c r="I18" s="222">
        <f>ROUND(data!S63,0)</f>
        <v>0</v>
      </c>
      <c r="J18" s="222">
        <f>ROUND(data!S64,0)</f>
        <v>-49634</v>
      </c>
      <c r="K18" s="222">
        <f>ROUND(data!S65,0)</f>
        <v>0</v>
      </c>
      <c r="L18" s="222">
        <f>ROUND(data!S66,0)</f>
        <v>22180</v>
      </c>
      <c r="M18" s="66">
        <f>ROUND(data!S67,0)</f>
        <v>31259</v>
      </c>
      <c r="N18" s="222">
        <f>ROUND(data!S68,0)</f>
        <v>0</v>
      </c>
      <c r="O18" s="222">
        <f>ROUND(data!S69,0)</f>
        <v>-2385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-2385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16929644</v>
      </c>
      <c r="AF18" s="222">
        <f>ROUND(data!S87,0)</f>
        <v>9179423</v>
      </c>
      <c r="AG18" s="222">
        <f>IF(data!S90&gt;0,ROUND(data!S90,0),0)</f>
        <v>1549</v>
      </c>
      <c r="AH18" s="222">
        <f>IF(data!S91&gt;0,ROUND(data!S91,0),0)</f>
        <v>0</v>
      </c>
      <c r="AI18" s="222">
        <f>IF(data!S92&gt;0,ROUND(data!S92,0),0)</f>
        <v>438</v>
      </c>
      <c r="AJ18" s="222">
        <f>IF(data!S93&gt;0,ROUND(data!S93,0),0)</f>
        <v>338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" customHeight="1" x14ac:dyDescent="0.25">
      <c r="A19" s="16" t="str">
        <f>RIGHT(data!$C$97,3)</f>
        <v>198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138282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-454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-454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1010046</v>
      </c>
      <c r="AF19" s="222">
        <f>ROUND(data!T87,0)</f>
        <v>939520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" customHeight="1" x14ac:dyDescent="0.25">
      <c r="A20" s="16" t="str">
        <f>RIGHT(data!$C$97,3)</f>
        <v>198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171757</v>
      </c>
      <c r="F20" s="212">
        <f>ROUND(data!U60,2)</f>
        <v>24.35</v>
      </c>
      <c r="G20" s="222">
        <f>ROUND(data!U61,0)</f>
        <v>1556537</v>
      </c>
      <c r="H20" s="222">
        <f>ROUND(data!U62,0)</f>
        <v>414419</v>
      </c>
      <c r="I20" s="222">
        <f>ROUND(data!U63,0)</f>
        <v>60118</v>
      </c>
      <c r="J20" s="222">
        <f>ROUND(data!U64,0)</f>
        <v>815839</v>
      </c>
      <c r="K20" s="222">
        <f>ROUND(data!U65,0)</f>
        <v>120</v>
      </c>
      <c r="L20" s="222">
        <f>ROUND(data!U66,0)</f>
        <v>79933</v>
      </c>
      <c r="M20" s="66">
        <f>ROUND(data!U67,0)</f>
        <v>0</v>
      </c>
      <c r="N20" s="222">
        <f>ROUND(data!U68,0)</f>
        <v>-2548</v>
      </c>
      <c r="O20" s="222">
        <f>ROUND(data!U69,0)</f>
        <v>1606566</v>
      </c>
      <c r="P20" s="222">
        <f>ROUND(data!U70,0)</f>
        <v>484051</v>
      </c>
      <c r="Q20" s="222">
        <f>ROUND(data!U71,0)</f>
        <v>199775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917085</v>
      </c>
      <c r="W20" s="222">
        <f>ROUND(data!U77,0)</f>
        <v>-2997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6825</v>
      </c>
      <c r="AB20" s="222">
        <f>ROUND(data!U82,0)</f>
        <v>0</v>
      </c>
      <c r="AC20" s="222">
        <f>ROUND(data!U83,0)</f>
        <v>1827</v>
      </c>
      <c r="AD20" s="222">
        <f>ROUND(data!U84,0)</f>
        <v>0</v>
      </c>
      <c r="AE20" s="222">
        <f>ROUND(data!U89,0)</f>
        <v>39071433</v>
      </c>
      <c r="AF20" s="222">
        <f>ROUND(data!U87,0)</f>
        <v>9953126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893</v>
      </c>
      <c r="AJ20" s="222">
        <f>IF(data!U93&gt;0,ROUND(data!U93,0),0)</f>
        <v>141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" customHeight="1" x14ac:dyDescent="0.25">
      <c r="A21" s="16" t="str">
        <f>RIGHT(data!$C$97,3)</f>
        <v>198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1033</v>
      </c>
      <c r="F21" s="212">
        <f>ROUND(data!V60,2)</f>
        <v>1.32</v>
      </c>
      <c r="G21" s="222">
        <f>ROUND(data!V61,0)</f>
        <v>146534</v>
      </c>
      <c r="H21" s="222">
        <f>ROUND(data!V62,0)</f>
        <v>39323</v>
      </c>
      <c r="I21" s="222">
        <f>ROUND(data!V63,0)</f>
        <v>0</v>
      </c>
      <c r="J21" s="222">
        <f>ROUND(data!V64,0)</f>
        <v>1224</v>
      </c>
      <c r="K21" s="222">
        <f>ROUND(data!V65,0)</f>
        <v>0</v>
      </c>
      <c r="L21" s="222">
        <f>ROUND(data!V66,0)</f>
        <v>9649</v>
      </c>
      <c r="M21" s="66">
        <f>ROUND(data!V67,0)</f>
        <v>51842</v>
      </c>
      <c r="N21" s="222">
        <f>ROUND(data!V68,0)</f>
        <v>0</v>
      </c>
      <c r="O21" s="222">
        <f>ROUND(data!V69,0)</f>
        <v>932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117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105</v>
      </c>
      <c r="AB21" s="222">
        <f>ROUND(data!V82,0)</f>
        <v>0</v>
      </c>
      <c r="AC21" s="222">
        <f>ROUND(data!V83,0)</f>
        <v>710</v>
      </c>
      <c r="AD21" s="222">
        <f>ROUND(data!V84,0)</f>
        <v>0</v>
      </c>
      <c r="AE21" s="222">
        <f>ROUND(data!V89,0)</f>
        <v>2422116</v>
      </c>
      <c r="AF21" s="222">
        <f>ROUND(data!V87,0)</f>
        <v>1256079</v>
      </c>
      <c r="AG21" s="222">
        <f>IF(data!V90&gt;0,ROUND(data!V90,0),0)</f>
        <v>2569</v>
      </c>
      <c r="AH21" s="222">
        <f>IF(data!V91&gt;0,ROUND(data!V91,0),0)</f>
        <v>0</v>
      </c>
      <c r="AI21" s="222">
        <f>IF(data!V92&gt;0,ROUND(data!V92,0),0)</f>
        <v>156</v>
      </c>
      <c r="AJ21" s="222">
        <f>IF(data!V93&gt;0,ROUND(data!V93,0),0)</f>
        <v>929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" customHeight="1" x14ac:dyDescent="0.25">
      <c r="A22" s="16" t="str">
        <f>RIGHT(data!$C$97,3)</f>
        <v>198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1341</v>
      </c>
      <c r="F22" s="212">
        <f>ROUND(data!W60,2)</f>
        <v>1.85</v>
      </c>
      <c r="G22" s="222">
        <f>ROUND(data!W61,0)</f>
        <v>173249</v>
      </c>
      <c r="H22" s="222">
        <f>ROUND(data!W62,0)</f>
        <v>44486</v>
      </c>
      <c r="I22" s="222">
        <f>ROUND(data!W63,0)</f>
        <v>0</v>
      </c>
      <c r="J22" s="222">
        <f>ROUND(data!W64,0)</f>
        <v>7999</v>
      </c>
      <c r="K22" s="222">
        <f>ROUND(data!W65,0)</f>
        <v>0</v>
      </c>
      <c r="L22" s="222">
        <f>ROUND(data!W66,0)</f>
        <v>115657</v>
      </c>
      <c r="M22" s="66">
        <f>ROUND(data!W67,0)</f>
        <v>0</v>
      </c>
      <c r="N22" s="222">
        <f>ROUND(data!W68,0)</f>
        <v>0</v>
      </c>
      <c r="O22" s="222">
        <f>ROUND(data!W69,0)</f>
        <v>1326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663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663</v>
      </c>
      <c r="AD22" s="222">
        <f>ROUND(data!W84,0)</f>
        <v>0</v>
      </c>
      <c r="AE22" s="222">
        <f>ROUND(data!W89,0)</f>
        <v>7479319</v>
      </c>
      <c r="AF22" s="222">
        <f>ROUND(data!W87,0)</f>
        <v>773411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174</v>
      </c>
      <c r="AJ22" s="222">
        <f>IF(data!W93&gt;0,ROUND(data!W93,0),0)</f>
        <v>2732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" customHeight="1" x14ac:dyDescent="0.25">
      <c r="A23" s="16" t="str">
        <f>RIGHT(data!$C$97,3)</f>
        <v>198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8769</v>
      </c>
      <c r="F23" s="212">
        <f>ROUND(data!X60,2)</f>
        <v>1.98</v>
      </c>
      <c r="G23" s="222">
        <f>ROUND(data!X61,0)</f>
        <v>193111</v>
      </c>
      <c r="H23" s="222">
        <f>ROUND(data!X62,0)</f>
        <v>51930</v>
      </c>
      <c r="I23" s="222">
        <f>ROUND(data!X63,0)</f>
        <v>0</v>
      </c>
      <c r="J23" s="222">
        <f>ROUND(data!X64,0)</f>
        <v>8260</v>
      </c>
      <c r="K23" s="222">
        <f>ROUND(data!X65,0)</f>
        <v>0</v>
      </c>
      <c r="L23" s="222">
        <f>ROUND(data!X66,0)</f>
        <v>85756</v>
      </c>
      <c r="M23" s="66">
        <f>ROUND(data!X67,0)</f>
        <v>0</v>
      </c>
      <c r="N23" s="222">
        <f>ROUND(data!X68,0)</f>
        <v>0</v>
      </c>
      <c r="O23" s="222">
        <f>ROUND(data!X69,0)</f>
        <v>224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224</v>
      </c>
      <c r="AD23" s="222">
        <f>ROUND(data!X84,0)</f>
        <v>0</v>
      </c>
      <c r="AE23" s="222">
        <f>ROUND(data!X89,0)</f>
        <v>21523922</v>
      </c>
      <c r="AF23" s="222">
        <f>ROUND(data!X87,0)</f>
        <v>4315419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3520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" customHeight="1" x14ac:dyDescent="0.25">
      <c r="A24" s="16" t="str">
        <f>RIGHT(data!$C$97,3)</f>
        <v>198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20835</v>
      </c>
      <c r="F24" s="212">
        <f>ROUND(data!Y60,2)</f>
        <v>22.29</v>
      </c>
      <c r="G24" s="222">
        <f>ROUND(data!Y61,0)</f>
        <v>2825976</v>
      </c>
      <c r="H24" s="222">
        <f>ROUND(data!Y62,0)</f>
        <v>718469</v>
      </c>
      <c r="I24" s="222">
        <f>ROUND(data!Y63,0)</f>
        <v>0</v>
      </c>
      <c r="J24" s="222">
        <f>ROUND(data!Y64,0)</f>
        <v>1135087</v>
      </c>
      <c r="K24" s="222">
        <f>ROUND(data!Y65,0)</f>
        <v>5322</v>
      </c>
      <c r="L24" s="222">
        <f>ROUND(data!Y66,0)</f>
        <v>1005162</v>
      </c>
      <c r="M24" s="66">
        <f>ROUND(data!Y67,0)</f>
        <v>88267</v>
      </c>
      <c r="N24" s="222">
        <f>ROUND(data!Y68,0)</f>
        <v>16202</v>
      </c>
      <c r="O24" s="222">
        <f>ROUND(data!Y69,0)</f>
        <v>83081</v>
      </c>
      <c r="P24" s="222">
        <f>ROUND(data!Y70,0)</f>
        <v>0</v>
      </c>
      <c r="Q24" s="222">
        <f>ROUND(data!Y71,0)</f>
        <v>49476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4108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11559</v>
      </c>
      <c r="AB24" s="222">
        <f>ROUND(data!Y82,0)</f>
        <v>0</v>
      </c>
      <c r="AC24" s="222">
        <f>ROUND(data!Y83,0)</f>
        <v>17938</v>
      </c>
      <c r="AD24" s="222">
        <f>ROUND(data!Y84,0)</f>
        <v>0</v>
      </c>
      <c r="AE24" s="222">
        <f>ROUND(data!Y89,0)</f>
        <v>34316601</v>
      </c>
      <c r="AF24" s="222">
        <f>ROUND(data!Y87,0)</f>
        <v>7920906</v>
      </c>
      <c r="AG24" s="222">
        <f>IF(data!Y90&gt;0,ROUND(data!Y90,0),0)</f>
        <v>4374</v>
      </c>
      <c r="AH24" s="222">
        <f>IF(data!Y91&gt;0,ROUND(data!Y91,0),0)</f>
        <v>0</v>
      </c>
      <c r="AI24" s="222">
        <f>IF(data!Y92&gt;0,ROUND(data!Y92,0),0)</f>
        <v>1626</v>
      </c>
      <c r="AJ24" s="222">
        <f>IF(data!Y93&gt;0,ROUND(data!Y93,0),0)</f>
        <v>36133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" customHeight="1" x14ac:dyDescent="0.25">
      <c r="A25" s="16" t="str">
        <f>RIGHT(data!$C$97,3)</f>
        <v>198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" customHeight="1" x14ac:dyDescent="0.25">
      <c r="A26" s="16" t="str">
        <f>RIGHT(data!$C$97,3)</f>
        <v>198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539</v>
      </c>
      <c r="F26" s="212">
        <f>ROUND(data!AA60,2)</f>
        <v>0</v>
      </c>
      <c r="G26" s="222">
        <f>ROUND(data!AA61,0)</f>
        <v>25737</v>
      </c>
      <c r="H26" s="222">
        <f>ROUND(data!AA62,0)</f>
        <v>2683</v>
      </c>
      <c r="I26" s="222">
        <f>ROUND(data!AA63,0)</f>
        <v>0</v>
      </c>
      <c r="J26" s="222">
        <f>ROUND(data!AA64,0)</f>
        <v>94421</v>
      </c>
      <c r="K26" s="222">
        <f>ROUND(data!AA65,0)</f>
        <v>0</v>
      </c>
      <c r="L26" s="222">
        <f>ROUND(data!AA66,0)</f>
        <v>59111</v>
      </c>
      <c r="M26" s="66">
        <f>ROUND(data!AA67,0)</f>
        <v>4722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896278</v>
      </c>
      <c r="AF26" s="222">
        <f>ROUND(data!AA87,0)</f>
        <v>106566</v>
      </c>
      <c r="AG26" s="222">
        <f>IF(data!AA90&gt;0,ROUND(data!AA90,0),0)</f>
        <v>234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" customHeight="1" x14ac:dyDescent="0.25">
      <c r="A27" s="16" t="str">
        <f>RIGHT(data!$C$97,3)</f>
        <v>198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9</v>
      </c>
      <c r="G27" s="222">
        <f>ROUND(data!AB61,0)</f>
        <v>833630</v>
      </c>
      <c r="H27" s="222">
        <f>ROUND(data!AB62,0)</f>
        <v>219684</v>
      </c>
      <c r="I27" s="222">
        <f>ROUND(data!AB63,0)</f>
        <v>0</v>
      </c>
      <c r="J27" s="222">
        <f>ROUND(data!AB64,0)</f>
        <v>5028297</v>
      </c>
      <c r="K27" s="222">
        <f>ROUND(data!AB65,0)</f>
        <v>0</v>
      </c>
      <c r="L27" s="222">
        <f>ROUND(data!AB66,0)</f>
        <v>208317</v>
      </c>
      <c r="M27" s="66">
        <f>ROUND(data!AB67,0)</f>
        <v>0</v>
      </c>
      <c r="N27" s="222">
        <f>ROUND(data!AB68,0)</f>
        <v>101428</v>
      </c>
      <c r="O27" s="222">
        <f>ROUND(data!AB69,0)</f>
        <v>66854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7365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7407</v>
      </c>
      <c r="AB27" s="222">
        <f>ROUND(data!AB82,0)</f>
        <v>0</v>
      </c>
      <c r="AC27" s="222">
        <f>ROUND(data!AB83,0)</f>
        <v>52082</v>
      </c>
      <c r="AD27" s="222">
        <f>ROUND(data!AB84,0)</f>
        <v>0</v>
      </c>
      <c r="AE27" s="222">
        <f>ROUND(data!AB89,0)</f>
        <v>30687424</v>
      </c>
      <c r="AF27" s="222">
        <f>ROUND(data!AB87,0)</f>
        <v>7277101</v>
      </c>
      <c r="AG27" s="222">
        <f>IF(data!AB90&gt;0,ROUND(data!AB90,0),0)</f>
        <v>0</v>
      </c>
      <c r="AH27" s="222">
        <f>IF(data!AB91&gt;0,ROUND(data!AB91,0),0)</f>
        <v>0</v>
      </c>
      <c r="AI27" s="222">
        <f>IF(data!AB92&gt;0,ROUND(data!AB92,0),0)</f>
        <v>336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" customHeight="1" x14ac:dyDescent="0.25">
      <c r="A28" s="16" t="str">
        <f>RIGHT(data!$C$97,3)</f>
        <v>198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16502</v>
      </c>
      <c r="F28" s="212">
        <f>ROUND(data!AC60,2)</f>
        <v>0.81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99323</v>
      </c>
      <c r="K28" s="222">
        <f>ROUND(data!AC65,0)</f>
        <v>0</v>
      </c>
      <c r="L28" s="222">
        <f>ROUND(data!AC66,0)</f>
        <v>851154</v>
      </c>
      <c r="M28" s="66">
        <f>ROUND(data!AC67,0)</f>
        <v>4964</v>
      </c>
      <c r="N28" s="222">
        <f>ROUND(data!AC68,0)</f>
        <v>41496</v>
      </c>
      <c r="O28" s="222">
        <f>ROUND(data!AC69,0)</f>
        <v>16934</v>
      </c>
      <c r="P28" s="222">
        <f>ROUND(data!AC70,0)</f>
        <v>0</v>
      </c>
      <c r="Q28" s="222">
        <f>ROUND(data!AC71,0)</f>
        <v>6434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10364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136</v>
      </c>
      <c r="AD28" s="222">
        <f>ROUND(data!AC84,0)</f>
        <v>0</v>
      </c>
      <c r="AE28" s="222">
        <f>ROUND(data!AC89,0)</f>
        <v>4143763</v>
      </c>
      <c r="AF28" s="222">
        <f>ROUND(data!AC87,0)</f>
        <v>2386189</v>
      </c>
      <c r="AG28" s="222">
        <f>IF(data!AC90&gt;0,ROUND(data!AC90,0),0)</f>
        <v>246</v>
      </c>
      <c r="AH28" s="222">
        <f>IF(data!AC91&gt;0,ROUND(data!AC91,0),0)</f>
        <v>0</v>
      </c>
      <c r="AI28" s="222">
        <f>IF(data!AC92&gt;0,ROUND(data!AC92,0),0)</f>
        <v>486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" customHeight="1" x14ac:dyDescent="0.25">
      <c r="A29" s="16" t="str">
        <f>RIGHT(data!$C$97,3)</f>
        <v>198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36</v>
      </c>
      <c r="K29" s="222">
        <f>ROUND(data!AD65,0)</f>
        <v>0</v>
      </c>
      <c r="L29" s="222">
        <f>ROUND(data!AD66,0)</f>
        <v>405721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2179532</v>
      </c>
      <c r="AF29" s="222">
        <f>ROUND(data!AD87,0)</f>
        <v>2046479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" customHeight="1" x14ac:dyDescent="0.25">
      <c r="A30" s="16" t="str">
        <f>RIGHT(data!$C$97,3)</f>
        <v>198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14005</v>
      </c>
      <c r="F30" s="212">
        <f>ROUND(data!AE60,2)</f>
        <v>5.99</v>
      </c>
      <c r="G30" s="222">
        <f>ROUND(data!AE61,0)</f>
        <v>456390</v>
      </c>
      <c r="H30" s="222">
        <f>ROUND(data!AE62,0)</f>
        <v>119149</v>
      </c>
      <c r="I30" s="222">
        <f>ROUND(data!AE63,0)</f>
        <v>0</v>
      </c>
      <c r="J30" s="222">
        <f>ROUND(data!AE64,0)</f>
        <v>22713</v>
      </c>
      <c r="K30" s="222">
        <f>ROUND(data!AE65,0)</f>
        <v>0</v>
      </c>
      <c r="L30" s="222">
        <f>ROUND(data!AE66,0)</f>
        <v>14623</v>
      </c>
      <c r="M30" s="66">
        <f>ROUND(data!AE67,0)</f>
        <v>0</v>
      </c>
      <c r="N30" s="222">
        <f>ROUND(data!AE68,0)</f>
        <v>36307</v>
      </c>
      <c r="O30" s="222">
        <f>ROUND(data!AE69,0)</f>
        <v>16416</v>
      </c>
      <c r="P30" s="222">
        <f>ROUND(data!AE70,0)</f>
        <v>0</v>
      </c>
      <c r="Q30" s="222">
        <f>ROUND(data!AE71,0)</f>
        <v>8503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99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7814</v>
      </c>
      <c r="AD30" s="222">
        <f>ROUND(data!AE84,0)</f>
        <v>0</v>
      </c>
      <c r="AE30" s="222">
        <f>ROUND(data!AE89,0)</f>
        <v>2346435</v>
      </c>
      <c r="AF30" s="222">
        <f>ROUND(data!AE87,0)</f>
        <v>360194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540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" customHeight="1" x14ac:dyDescent="0.25">
      <c r="A31" s="16" t="str">
        <f>RIGHT(data!$C$97,3)</f>
        <v>198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" customHeight="1" x14ac:dyDescent="0.25">
      <c r="A32" s="16" t="str">
        <f>RIGHT(data!$C$97,3)</f>
        <v>198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15437</v>
      </c>
      <c r="F32" s="212">
        <f>ROUND(data!AG60,2)</f>
        <v>19.899999999999999</v>
      </c>
      <c r="G32" s="222">
        <f>ROUND(data!AG61,0)</f>
        <v>2774242</v>
      </c>
      <c r="H32" s="222">
        <f>ROUND(data!AG62,0)</f>
        <v>718719</v>
      </c>
      <c r="I32" s="222">
        <f>ROUND(data!AG63,0)</f>
        <v>861582</v>
      </c>
      <c r="J32" s="222">
        <f>ROUND(data!AG64,0)</f>
        <v>481546</v>
      </c>
      <c r="K32" s="222">
        <f>ROUND(data!AG65,0)</f>
        <v>0</v>
      </c>
      <c r="L32" s="222">
        <f>ROUND(data!AG66,0)</f>
        <v>1188384</v>
      </c>
      <c r="M32" s="66">
        <f>ROUND(data!AG67,0)</f>
        <v>162892</v>
      </c>
      <c r="N32" s="222">
        <f>ROUND(data!AG68,0)</f>
        <v>8542</v>
      </c>
      <c r="O32" s="222">
        <f>ROUND(data!AG69,0)</f>
        <v>496168</v>
      </c>
      <c r="P32" s="222">
        <f>ROUND(data!AG70,0)</f>
        <v>0</v>
      </c>
      <c r="Q32" s="222">
        <f>ROUND(data!AG71,0)</f>
        <v>473980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9321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12867</v>
      </c>
      <c r="AD32" s="222">
        <f>ROUND(data!AG84,0)</f>
        <v>0</v>
      </c>
      <c r="AE32" s="222">
        <f>ROUND(data!AG89,0)</f>
        <v>22822616</v>
      </c>
      <c r="AF32" s="222">
        <f>ROUND(data!AG87,0)</f>
        <v>1831546</v>
      </c>
      <c r="AG32" s="222">
        <f>IF(data!AG90&gt;0,ROUND(data!AG90,0),0)</f>
        <v>8072</v>
      </c>
      <c r="AH32" s="222">
        <f>IF(data!AG91&gt;0,ROUND(data!AG91,0),0)</f>
        <v>0</v>
      </c>
      <c r="AI32" s="222">
        <f>IF(data!AG92&gt;0,ROUND(data!AG92,0),0)</f>
        <v>4247</v>
      </c>
      <c r="AJ32" s="222">
        <f>IF(data!AG93&gt;0,ROUND(data!AG93,0),0)</f>
        <v>84826</v>
      </c>
      <c r="AK32" s="212">
        <f>IF(data!AG94&gt;0,ROUND(data!AG94,2),0)</f>
        <v>19.899999999999999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" customHeight="1" x14ac:dyDescent="0.25">
      <c r="A33" s="16" t="str">
        <f>RIGHT(data!$C$97,3)</f>
        <v>198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" customHeight="1" x14ac:dyDescent="0.25">
      <c r="A34" s="16" t="str">
        <f>RIGHT(data!$C$97,3)</f>
        <v>198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3121</v>
      </c>
      <c r="F34" s="212">
        <f>ROUND(data!AI60,2)</f>
        <v>5.23</v>
      </c>
      <c r="G34" s="222">
        <f>ROUND(data!AI61,0)</f>
        <v>573040</v>
      </c>
      <c r="H34" s="222">
        <f>ROUND(data!AI62,0)</f>
        <v>152119</v>
      </c>
      <c r="I34" s="222">
        <f>ROUND(data!AI63,0)</f>
        <v>0</v>
      </c>
      <c r="J34" s="222">
        <f>ROUND(data!AI64,0)</f>
        <v>104823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1770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1770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1540063</v>
      </c>
      <c r="AF34" s="222">
        <f>ROUND(data!AI87,0)</f>
        <v>17833</v>
      </c>
      <c r="AG34" s="222">
        <f>IF(data!AI90&gt;0,ROUND(data!AI90,0),0)</f>
        <v>0</v>
      </c>
      <c r="AH34" s="222">
        <f>IF(data!AI91&gt;0,ROUND(data!AI91,0),0)</f>
        <v>1922</v>
      </c>
      <c r="AI34" s="222">
        <f>IF(data!AI92&gt;0,ROUND(data!AI92,0),0)</f>
        <v>1242</v>
      </c>
      <c r="AJ34" s="222">
        <f>IF(data!AI93&gt;0,ROUND(data!AI93,0),0)</f>
        <v>20052</v>
      </c>
      <c r="AK34" s="212">
        <f>IF(data!AI94&gt;0,ROUND(data!AI94,2),0)</f>
        <v>5.23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" customHeight="1" x14ac:dyDescent="0.25">
      <c r="A35" s="16" t="str">
        <f>RIGHT(data!$C$97,3)</f>
        <v>198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48164</v>
      </c>
      <c r="F35" s="212">
        <f>ROUND(data!AJ60,2)</f>
        <v>79.41</v>
      </c>
      <c r="G35" s="222">
        <f>ROUND(data!AJ61,0)</f>
        <v>9502912</v>
      </c>
      <c r="H35" s="222">
        <f>ROUND(data!AJ62,0)</f>
        <v>2270095</v>
      </c>
      <c r="I35" s="222">
        <f>ROUND(data!AJ63,0)</f>
        <v>429262</v>
      </c>
      <c r="J35" s="222">
        <f>ROUND(data!AJ64,0)</f>
        <v>540131</v>
      </c>
      <c r="K35" s="222">
        <f>ROUND(data!AJ65,0)</f>
        <v>177839</v>
      </c>
      <c r="L35" s="222">
        <f>ROUND(data!AJ66,0)</f>
        <v>2840510</v>
      </c>
      <c r="M35" s="66">
        <f>ROUND(data!AJ67,0)</f>
        <v>592964</v>
      </c>
      <c r="N35" s="222">
        <f>ROUND(data!AJ68,0)</f>
        <v>408810</v>
      </c>
      <c r="O35" s="222">
        <f>ROUND(data!AJ69,0)</f>
        <v>228944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33876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47771</v>
      </c>
      <c r="AB35" s="222">
        <f>ROUND(data!AJ82,0)</f>
        <v>0</v>
      </c>
      <c r="AC35" s="222">
        <f>ROUND(data!AJ83,0)</f>
        <v>147297</v>
      </c>
      <c r="AD35" s="222">
        <f>ROUND(data!AJ84,0)</f>
        <v>0</v>
      </c>
      <c r="AE35" s="222">
        <f>ROUND(data!AJ89,0)</f>
        <v>15588643</v>
      </c>
      <c r="AF35" s="222">
        <f>ROUND(data!AJ87,0)</f>
        <v>1380111</v>
      </c>
      <c r="AG35" s="222">
        <f>IF(data!AJ90&gt;0,ROUND(data!AJ90,0),0)</f>
        <v>29384</v>
      </c>
      <c r="AH35" s="222">
        <f>IF(data!AJ91&gt;0,ROUND(data!AJ91,0),0)</f>
        <v>0</v>
      </c>
      <c r="AI35" s="222">
        <f>IF(data!AJ92&gt;0,ROUND(data!AJ92,0),0)</f>
        <v>10323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" customHeight="1" x14ac:dyDescent="0.25">
      <c r="A36" s="16" t="str">
        <f>RIGHT(data!$C$97,3)</f>
        <v>198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" customHeight="1" x14ac:dyDescent="0.25">
      <c r="A37" s="16" t="str">
        <f>RIGHT(data!$C$97,3)</f>
        <v>198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7165</v>
      </c>
      <c r="F37" s="212">
        <f>ROUND(data!AL60,2)</f>
        <v>2.85</v>
      </c>
      <c r="G37" s="222">
        <f>ROUND(data!AL61,0)</f>
        <v>177174</v>
      </c>
      <c r="H37" s="222">
        <f>ROUND(data!AL62,0)</f>
        <v>51291</v>
      </c>
      <c r="I37" s="222">
        <f>ROUND(data!AL63,0)</f>
        <v>0</v>
      </c>
      <c r="J37" s="222">
        <f>ROUND(data!AL64,0)</f>
        <v>57951</v>
      </c>
      <c r="K37" s="222">
        <f>ROUND(data!AL65,0)</f>
        <v>5863</v>
      </c>
      <c r="L37" s="222">
        <f>ROUND(data!AL66,0)</f>
        <v>3014</v>
      </c>
      <c r="M37" s="66">
        <f>ROUND(data!AL67,0)</f>
        <v>0</v>
      </c>
      <c r="N37" s="222">
        <f>ROUND(data!AL68,0)</f>
        <v>16325</v>
      </c>
      <c r="O37" s="222">
        <f>ROUND(data!AL69,0)</f>
        <v>6706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485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6221</v>
      </c>
      <c r="AD37" s="222">
        <f>ROUND(data!AL84,0)</f>
        <v>0</v>
      </c>
      <c r="AE37" s="222">
        <f>ROUND(data!AL89,0)</f>
        <v>1867502</v>
      </c>
      <c r="AF37" s="222">
        <f>ROUND(data!AL87,0)</f>
        <v>131237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1476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" customHeight="1" x14ac:dyDescent="0.25">
      <c r="A38" s="16" t="str">
        <f>RIGHT(data!$C$97,3)</f>
        <v>198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" customHeight="1" x14ac:dyDescent="0.25">
      <c r="A39" s="16" t="str">
        <f>RIGHT(data!$C$97,3)</f>
        <v>198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" customHeight="1" x14ac:dyDescent="0.25">
      <c r="A40" s="16" t="str">
        <f>RIGHT(data!$C$97,3)</f>
        <v>198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10224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3182669</v>
      </c>
      <c r="AF40" s="222">
        <f>ROUND(data!AO87,0)</f>
        <v>2826972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" customHeight="1" x14ac:dyDescent="0.25">
      <c r="A41" s="16" t="str">
        <f>RIGHT(data!$C$97,3)</f>
        <v>198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" customHeight="1" x14ac:dyDescent="0.25">
      <c r="A42" s="16" t="str">
        <f>RIGHT(data!$C$97,3)</f>
        <v>198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" customHeight="1" x14ac:dyDescent="0.25">
      <c r="A43" s="16" t="str">
        <f>RIGHT(data!$C$97,3)</f>
        <v>198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" customHeight="1" x14ac:dyDescent="0.25">
      <c r="A44" s="16" t="str">
        <f>RIGHT(data!$C$97,3)</f>
        <v>198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" customHeight="1" x14ac:dyDescent="0.25">
      <c r="A45" s="16" t="str">
        <f>RIGHT(data!$C$97,3)</f>
        <v>198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" customHeight="1" x14ac:dyDescent="0.25">
      <c r="A46" s="16" t="str">
        <f>RIGHT(data!$C$97,3)</f>
        <v>198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" customHeight="1" x14ac:dyDescent="0.25">
      <c r="A47" s="16" t="str">
        <f>RIGHT(data!$C$97,3)</f>
        <v>198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13.74</v>
      </c>
      <c r="G47" s="222">
        <f>ROUND(data!AV61,0)</f>
        <v>1050548</v>
      </c>
      <c r="H47" s="222">
        <f>ROUND(data!AV62,0)</f>
        <v>276700</v>
      </c>
      <c r="I47" s="222">
        <f>ROUND(data!AV63,0)</f>
        <v>447799</v>
      </c>
      <c r="J47" s="222">
        <f>ROUND(data!AV64,0)</f>
        <v>-180464</v>
      </c>
      <c r="K47" s="222">
        <f>ROUND(data!AV65,0)</f>
        <v>3741</v>
      </c>
      <c r="L47" s="222">
        <f>ROUND(data!AV66,0)</f>
        <v>311893</v>
      </c>
      <c r="M47" s="66">
        <f>ROUND(data!AV67,0)</f>
        <v>12653</v>
      </c>
      <c r="N47" s="222">
        <f>ROUND(data!AV68,0)</f>
        <v>268</v>
      </c>
      <c r="O47" s="222">
        <f>ROUND(data!AV69,0)</f>
        <v>400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-2348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2748</v>
      </c>
      <c r="AD47" s="222">
        <f>ROUND(data!AV84,0)</f>
        <v>0</v>
      </c>
      <c r="AE47" s="222">
        <f>ROUND(data!AV89,0)</f>
        <v>5876642</v>
      </c>
      <c r="AF47" s="222">
        <f>ROUND(data!AV87,0)</f>
        <v>185127</v>
      </c>
      <c r="AG47" s="222">
        <f>IF(data!AV90&gt;0,ROUND(data!AV90,0),0)</f>
        <v>627</v>
      </c>
      <c r="AH47" s="222">
        <f>IF(data!AV91&gt;0,ROUND(data!AV91,0),0)</f>
        <v>0</v>
      </c>
      <c r="AI47" s="222">
        <f>IF(data!AV92&gt;0,ROUND(data!AV92,0),0)</f>
        <v>1391</v>
      </c>
      <c r="AJ47" s="222">
        <f>IF(data!AV93&gt;0,ROUND(data!AV93,0),0)</f>
        <v>7238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" customHeight="1" x14ac:dyDescent="0.25">
      <c r="A48" s="16" t="str">
        <f>RIGHT(data!$C$97,3)</f>
        <v>198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" customHeight="1" x14ac:dyDescent="0.25">
      <c r="A49" s="16" t="str">
        <f>RIGHT(data!$C$97,3)</f>
        <v>198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" customHeight="1" x14ac:dyDescent="0.25">
      <c r="A50" s="16" t="str">
        <f>RIGHT(data!$C$97,3)</f>
        <v>198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25513</v>
      </c>
      <c r="F50" s="212">
        <f>ROUND(data!AY60,2)</f>
        <v>7.81</v>
      </c>
      <c r="G50" s="222">
        <f>ROUND(data!AY61,0)</f>
        <v>290995</v>
      </c>
      <c r="H50" s="222">
        <f>ROUND(data!AY62,0)</f>
        <v>119902</v>
      </c>
      <c r="I50" s="222">
        <f>ROUND(data!AY63,0)</f>
        <v>0</v>
      </c>
      <c r="J50" s="222">
        <f>ROUND(data!AY64,0)</f>
        <v>450205</v>
      </c>
      <c r="K50" s="222">
        <f>ROUND(data!AY65,0)</f>
        <v>0</v>
      </c>
      <c r="L50" s="222">
        <f>ROUND(data!AY66,0)</f>
        <v>26277</v>
      </c>
      <c r="M50" s="66">
        <f>ROUND(data!AY67,0)</f>
        <v>63284</v>
      </c>
      <c r="N50" s="222">
        <f>ROUND(data!AY68,0)</f>
        <v>795</v>
      </c>
      <c r="O50" s="222">
        <f>ROUND(data!AY69,0)</f>
        <v>45236</v>
      </c>
      <c r="P50" s="222">
        <f>ROUND(data!AY70,0)</f>
        <v>0</v>
      </c>
      <c r="Q50" s="222">
        <f>ROUND(data!AY71,0)</f>
        <v>35100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9406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815</v>
      </c>
      <c r="AB50" s="222">
        <f>ROUND(data!AY82,0)</f>
        <v>0</v>
      </c>
      <c r="AC50" s="222">
        <f>ROUND(data!AY83,0)</f>
        <v>-85</v>
      </c>
      <c r="AD50" s="222">
        <f>ROUND(data!AY84,0)</f>
        <v>0</v>
      </c>
      <c r="AE50" s="222"/>
      <c r="AF50" s="222"/>
      <c r="AG50" s="222">
        <f>IF(data!AY90&gt;0,ROUND(data!AY90,0),0)</f>
        <v>3136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" customHeight="1" x14ac:dyDescent="0.25">
      <c r="A51" s="16" t="str">
        <f>RIGHT(data!$C$97,3)</f>
        <v>198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" customHeight="1" x14ac:dyDescent="0.25">
      <c r="A52" s="16" t="str">
        <f>RIGHT(data!$C$97,3)</f>
        <v>198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-66</v>
      </c>
      <c r="K52" s="222">
        <f>ROUND(data!BA65,0)</f>
        <v>0</v>
      </c>
      <c r="L52" s="222">
        <f>ROUND(data!BA66,0)</f>
        <v>0</v>
      </c>
      <c r="M52" s="66">
        <f>ROUND(data!BA67,0)</f>
        <v>13460</v>
      </c>
      <c r="N52" s="222">
        <f>ROUND(data!BA68,0)</f>
        <v>0</v>
      </c>
      <c r="O52" s="222">
        <f>ROUND(data!BA69,0)</f>
        <v>261643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261643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667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" customHeight="1" x14ac:dyDescent="0.25">
      <c r="A53" s="16" t="str">
        <f>RIGHT(data!$C$97,3)</f>
        <v>198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94651</v>
      </c>
      <c r="H53" s="222">
        <f>ROUND(data!BB62,0)</f>
        <v>27485</v>
      </c>
      <c r="I53" s="222">
        <f>ROUND(data!BB63,0)</f>
        <v>0</v>
      </c>
      <c r="J53" s="222">
        <f>ROUND(data!BB64,0)</f>
        <v>981</v>
      </c>
      <c r="K53" s="222">
        <f>ROUND(data!BB65,0)</f>
        <v>0</v>
      </c>
      <c r="L53" s="222">
        <f>ROUND(data!BB66,0)</f>
        <v>0</v>
      </c>
      <c r="M53" s="66">
        <f>ROUND(data!BB67,0)</f>
        <v>1957</v>
      </c>
      <c r="N53" s="222">
        <f>ROUND(data!BB68,0)</f>
        <v>0</v>
      </c>
      <c r="O53" s="222">
        <f>ROUND(data!BB69,0)</f>
        <v>30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30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97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" customHeight="1" x14ac:dyDescent="0.25">
      <c r="A54" s="16" t="str">
        <f>RIGHT(data!$C$97,3)</f>
        <v>198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" customHeight="1" x14ac:dyDescent="0.25">
      <c r="A55" s="16" t="str">
        <f>RIGHT(data!$C$97,3)</f>
        <v>198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3.03</v>
      </c>
      <c r="G55" s="222">
        <f>ROUND(data!BD61,0)</f>
        <v>232209</v>
      </c>
      <c r="H55" s="222">
        <f>ROUND(data!BD62,0)</f>
        <v>58280</v>
      </c>
      <c r="I55" s="222">
        <f>ROUND(data!BD63,0)</f>
        <v>0</v>
      </c>
      <c r="J55" s="222">
        <f>ROUND(data!BD64,0)</f>
        <v>-45581</v>
      </c>
      <c r="K55" s="222">
        <f>ROUND(data!BD65,0)</f>
        <v>0</v>
      </c>
      <c r="L55" s="222">
        <f>ROUND(data!BD66,0)</f>
        <v>-1827</v>
      </c>
      <c r="M55" s="66">
        <f>ROUND(data!BD67,0)</f>
        <v>0</v>
      </c>
      <c r="N55" s="222">
        <f>ROUND(data!BD68,0)</f>
        <v>0</v>
      </c>
      <c r="O55" s="222">
        <f>ROUND(data!BD69,0)</f>
        <v>-275714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772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-94</v>
      </c>
      <c r="AB55" s="222">
        <f>ROUND(data!BD82,0)</f>
        <v>0</v>
      </c>
      <c r="AC55" s="222">
        <f>ROUND(data!BD83,0)</f>
        <v>-276392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" customHeight="1" x14ac:dyDescent="0.25">
      <c r="A56" s="16" t="str">
        <f>RIGHT(data!$C$97,3)</f>
        <v>198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112246</v>
      </c>
      <c r="F56" s="212">
        <f>ROUND(data!BE60,2)</f>
        <v>3.66</v>
      </c>
      <c r="G56" s="222">
        <f>ROUND(data!BE61,0)</f>
        <v>259236</v>
      </c>
      <c r="H56" s="222">
        <f>ROUND(data!BE62,0)</f>
        <v>64163</v>
      </c>
      <c r="I56" s="222">
        <f>ROUND(data!BE63,0)</f>
        <v>0</v>
      </c>
      <c r="J56" s="222">
        <f>ROUND(data!BE64,0)</f>
        <v>20275</v>
      </c>
      <c r="K56" s="222">
        <f>ROUND(data!BE65,0)</f>
        <v>479968</v>
      </c>
      <c r="L56" s="222">
        <f>ROUND(data!BE66,0)</f>
        <v>294149</v>
      </c>
      <c r="M56" s="66">
        <f>ROUND(data!BE67,0)</f>
        <v>157181</v>
      </c>
      <c r="N56" s="222">
        <f>ROUND(data!BE68,0)</f>
        <v>48717</v>
      </c>
      <c r="O56" s="222">
        <f>ROUND(data!BE69,0)</f>
        <v>275773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273554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1784</v>
      </c>
      <c r="AB56" s="222">
        <f>ROUND(data!BE82,0)</f>
        <v>0</v>
      </c>
      <c r="AC56" s="222">
        <f>ROUND(data!BE83,0)</f>
        <v>435</v>
      </c>
      <c r="AD56" s="222">
        <f>ROUND(data!BE84,0)</f>
        <v>0</v>
      </c>
      <c r="AE56" s="222"/>
      <c r="AF56" s="222"/>
      <c r="AG56" s="222">
        <f>IF(data!BE90&gt;0,ROUND(data!BE90,0),0)</f>
        <v>7789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" customHeight="1" x14ac:dyDescent="0.25">
      <c r="A57" s="16" t="str">
        <f>RIGHT(data!$C$97,3)</f>
        <v>198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19.48</v>
      </c>
      <c r="G57" s="222">
        <f>ROUND(data!BF61,0)</f>
        <v>731884</v>
      </c>
      <c r="H57" s="222">
        <f>ROUND(data!BF62,0)</f>
        <v>194913</v>
      </c>
      <c r="I57" s="222">
        <f>ROUND(data!BF63,0)</f>
        <v>0</v>
      </c>
      <c r="J57" s="222">
        <f>ROUND(data!BF64,0)</f>
        <v>128297</v>
      </c>
      <c r="K57" s="222">
        <f>ROUND(data!BF65,0)</f>
        <v>0</v>
      </c>
      <c r="L57" s="222">
        <f>ROUND(data!BF66,0)</f>
        <v>170627</v>
      </c>
      <c r="M57" s="66">
        <f>ROUND(data!BF67,0)</f>
        <v>2240</v>
      </c>
      <c r="N57" s="222">
        <f>ROUND(data!BF68,0)</f>
        <v>0</v>
      </c>
      <c r="O57" s="222">
        <f>ROUND(data!BF69,0)</f>
        <v>17423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3302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14121</v>
      </c>
      <c r="AD57" s="222">
        <f>ROUND(data!BF84,0)</f>
        <v>0</v>
      </c>
      <c r="AE57" s="222"/>
      <c r="AF57" s="222"/>
      <c r="AG57" s="222">
        <f>IF(data!BF90&gt;0,ROUND(data!BF90,0),0)</f>
        <v>111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" customHeight="1" x14ac:dyDescent="0.25">
      <c r="A58" s="16" t="str">
        <f>RIGHT(data!$C$97,3)</f>
        <v>198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" customHeight="1" x14ac:dyDescent="0.25">
      <c r="A59" s="16" t="str">
        <f>RIGHT(data!$C$97,3)</f>
        <v>198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16.82</v>
      </c>
      <c r="G59" s="222">
        <f>ROUND(data!BH61,0)</f>
        <v>1062520</v>
      </c>
      <c r="H59" s="222">
        <f>ROUND(data!BH62,0)</f>
        <v>291477</v>
      </c>
      <c r="I59" s="222">
        <f>ROUND(data!BH63,0)</f>
        <v>0</v>
      </c>
      <c r="J59" s="222">
        <f>ROUND(data!BH64,0)</f>
        <v>167612</v>
      </c>
      <c r="K59" s="222">
        <f>ROUND(data!BH65,0)</f>
        <v>167596</v>
      </c>
      <c r="L59" s="222">
        <f>ROUND(data!BH66,0)</f>
        <v>-233342</v>
      </c>
      <c r="M59" s="66">
        <f>ROUND(data!BH67,0)</f>
        <v>0</v>
      </c>
      <c r="N59" s="222">
        <f>ROUND(data!BH68,0)</f>
        <v>86767</v>
      </c>
      <c r="O59" s="222">
        <f>ROUND(data!BH69,0)</f>
        <v>73843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41415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32428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" customHeight="1" x14ac:dyDescent="0.25">
      <c r="A60" s="16" t="str">
        <f>RIGHT(data!$C$97,3)</f>
        <v>198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0.84</v>
      </c>
      <c r="G60" s="222">
        <f>ROUND(data!BI61,0)</f>
        <v>110768</v>
      </c>
      <c r="H60" s="222">
        <f>ROUND(data!BI62,0)</f>
        <v>26908</v>
      </c>
      <c r="I60" s="222">
        <f>ROUND(data!BI63,0)</f>
        <v>0</v>
      </c>
      <c r="J60" s="222">
        <f>ROUND(data!BI64,0)</f>
        <v>39579</v>
      </c>
      <c r="K60" s="222">
        <f>ROUND(data!BI65,0)</f>
        <v>2754</v>
      </c>
      <c r="L60" s="222">
        <f>ROUND(data!BI66,0)</f>
        <v>10619</v>
      </c>
      <c r="M60" s="66">
        <f>ROUND(data!BI67,0)</f>
        <v>0</v>
      </c>
      <c r="N60" s="222">
        <f>ROUND(data!BI68,0)</f>
        <v>0</v>
      </c>
      <c r="O60" s="222">
        <f>ROUND(data!BI69,0)</f>
        <v>22307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22307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" customHeight="1" x14ac:dyDescent="0.25">
      <c r="A61" s="16" t="str">
        <f>RIGHT(data!$C$97,3)</f>
        <v>198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4.51</v>
      </c>
      <c r="G61" s="222">
        <f>ROUND(data!BJ61,0)</f>
        <v>302735</v>
      </c>
      <c r="H61" s="222">
        <f>ROUND(data!BJ62,0)</f>
        <v>79822</v>
      </c>
      <c r="I61" s="222">
        <f>ROUND(data!BJ63,0)</f>
        <v>0</v>
      </c>
      <c r="J61" s="222">
        <f>ROUND(data!BJ64,0)</f>
        <v>5672</v>
      </c>
      <c r="K61" s="222">
        <f>ROUND(data!BJ65,0)</f>
        <v>0</v>
      </c>
      <c r="L61" s="222">
        <f>ROUND(data!BJ66,0)</f>
        <v>117</v>
      </c>
      <c r="M61" s="66">
        <f>ROUND(data!BJ67,0)</f>
        <v>0</v>
      </c>
      <c r="N61" s="222">
        <f>ROUND(data!BJ68,0)</f>
        <v>5</v>
      </c>
      <c r="O61" s="222">
        <f>ROUND(data!BJ69,0)</f>
        <v>31354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27215</v>
      </c>
      <c r="V61" s="222">
        <f>ROUND(data!BJ76,0)</f>
        <v>0</v>
      </c>
      <c r="W61" s="222">
        <f>ROUND(data!BJ77,0)</f>
        <v>50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4089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" customHeight="1" x14ac:dyDescent="0.25">
      <c r="A62" s="16" t="str">
        <f>RIGHT(data!$C$97,3)</f>
        <v>198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12.84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42458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2104</v>
      </c>
      <c r="AH62" s="222">
        <f>IFERROR(IF(data!BK$91&gt;0,ROUND(data!BK$91,0),0),0)</f>
        <v>0</v>
      </c>
      <c r="AI62" s="222">
        <f>IFERROR(IF(data!BK$92&gt;0,ROUND(data!BK$92,0),0),0)</f>
        <v>540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" customHeight="1" x14ac:dyDescent="0.25">
      <c r="A63" s="16" t="str">
        <f>RIGHT(data!$C$97,3)</f>
        <v>198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19.010000000000002</v>
      </c>
      <c r="G63" s="222">
        <f>ROUND(data!BL61,0)</f>
        <v>884290</v>
      </c>
      <c r="H63" s="222">
        <f>ROUND(data!BL62,0)</f>
        <v>232433</v>
      </c>
      <c r="I63" s="222">
        <f>ROUND(data!BL63,0)</f>
        <v>0</v>
      </c>
      <c r="J63" s="222">
        <f>ROUND(data!BL64,0)</f>
        <v>20312</v>
      </c>
      <c r="K63" s="222">
        <f>ROUND(data!BL65,0)</f>
        <v>90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2664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2664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924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" customHeight="1" x14ac:dyDescent="0.25">
      <c r="A64" s="16" t="str">
        <f>RIGHT(data!$C$97,3)</f>
        <v>198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150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" customHeight="1" x14ac:dyDescent="0.25">
      <c r="A65" s="16" t="str">
        <f>RIGHT(data!$C$97,3)</f>
        <v>198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0.86</v>
      </c>
      <c r="G65" s="222">
        <f>ROUND(data!BN61,0)</f>
        <v>55249</v>
      </c>
      <c r="H65" s="222">
        <f>ROUND(data!BN62,0)</f>
        <v>15820</v>
      </c>
      <c r="I65" s="222">
        <f>ROUND(data!BN63,0)</f>
        <v>6069</v>
      </c>
      <c r="J65" s="222">
        <f>ROUND(data!BN64,0)</f>
        <v>5716</v>
      </c>
      <c r="K65" s="222">
        <f>ROUND(data!BN65,0)</f>
        <v>0</v>
      </c>
      <c r="L65" s="222">
        <f>ROUND(data!BN66,0)</f>
        <v>223126</v>
      </c>
      <c r="M65" s="66">
        <f>ROUND(data!BN67,0)</f>
        <v>334178</v>
      </c>
      <c r="N65" s="222">
        <f>ROUND(data!BN68,0)</f>
        <v>100474</v>
      </c>
      <c r="O65" s="222">
        <f>ROUND(data!BN69,0)</f>
        <v>14830735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122690</v>
      </c>
      <c r="V65" s="222">
        <f>ROUND(data!BN76,0)</f>
        <v>0</v>
      </c>
      <c r="W65" s="222">
        <f>ROUND(data!BN77,0)</f>
        <v>0</v>
      </c>
      <c r="X65" s="222">
        <f>ROUND(data!BN78,0)</f>
        <v>14501192</v>
      </c>
      <c r="Y65" s="222">
        <f>ROUND(data!BN79,0)</f>
        <v>0</v>
      </c>
      <c r="Z65" s="222">
        <f>ROUND(data!BN80,0)</f>
        <v>0</v>
      </c>
      <c r="AA65" s="222">
        <f>ROUND(data!BN81,0)</f>
        <v>-8900</v>
      </c>
      <c r="AB65" s="222">
        <f>ROUND(data!BN82,0)</f>
        <v>0</v>
      </c>
      <c r="AC65" s="222">
        <f>ROUND(data!BN83,0)</f>
        <v>215753</v>
      </c>
      <c r="AD65" s="222">
        <f>ROUND(data!BN84,0)</f>
        <v>0</v>
      </c>
      <c r="AE65" s="222"/>
      <c r="AF65" s="222"/>
      <c r="AG65" s="222">
        <f>IF(data!BN90&gt;0,ROUND(data!BN90,0),0)</f>
        <v>16560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" customHeight="1" x14ac:dyDescent="0.25">
      <c r="A66" s="16" t="str">
        <f>RIGHT(data!$C$97,3)</f>
        <v>198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" customHeight="1" x14ac:dyDescent="0.25">
      <c r="A67" s="16" t="str">
        <f>RIGHT(data!$C$97,3)</f>
        <v>198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" customHeight="1" x14ac:dyDescent="0.25">
      <c r="A68" s="16" t="str">
        <f>RIGHT(data!$C$97,3)</f>
        <v>198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2.84</v>
      </c>
      <c r="G68" s="222">
        <f>ROUND(data!BQ61,0)</f>
        <v>224800</v>
      </c>
      <c r="H68" s="222">
        <f>ROUND(data!BQ62,0)</f>
        <v>63351</v>
      </c>
      <c r="I68" s="222">
        <f>ROUND(data!BQ63,0)</f>
        <v>0</v>
      </c>
      <c r="J68" s="222">
        <f>ROUND(data!BQ64,0)</f>
        <v>12392</v>
      </c>
      <c r="K68" s="222">
        <f>ROUND(data!BQ65,0)</f>
        <v>210</v>
      </c>
      <c r="L68" s="222">
        <f>ROUND(data!BQ66,0)</f>
        <v>425</v>
      </c>
      <c r="M68" s="66">
        <f>ROUND(data!BQ67,0)</f>
        <v>0</v>
      </c>
      <c r="N68" s="222">
        <f>ROUND(data!BQ68,0)</f>
        <v>0</v>
      </c>
      <c r="O68" s="222">
        <f>ROUND(data!BQ69,0)</f>
        <v>2784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2134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650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" customHeight="1" x14ac:dyDescent="0.25">
      <c r="A69" s="16" t="str">
        <f>RIGHT(data!$C$97,3)</f>
        <v>198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0.21</v>
      </c>
      <c r="G69" s="222">
        <f>ROUND(data!BR61,0)</f>
        <v>5667</v>
      </c>
      <c r="H69" s="222">
        <f>ROUND(data!BR62,0)</f>
        <v>18807</v>
      </c>
      <c r="I69" s="222">
        <f>ROUND(data!BR63,0)</f>
        <v>0</v>
      </c>
      <c r="J69" s="222">
        <f>ROUND(data!BR64,0)</f>
        <v>6466</v>
      </c>
      <c r="K69" s="222">
        <f>ROUND(data!BR65,0)</f>
        <v>0</v>
      </c>
      <c r="L69" s="222">
        <f>ROUND(data!BR66,0)</f>
        <v>26558</v>
      </c>
      <c r="M69" s="66">
        <f>ROUND(data!BR67,0)</f>
        <v>0</v>
      </c>
      <c r="N69" s="222">
        <f>ROUND(data!BR68,0)</f>
        <v>0</v>
      </c>
      <c r="O69" s="222">
        <f>ROUND(data!BR69,0)</f>
        <v>7714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1986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5728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" customHeight="1" x14ac:dyDescent="0.25">
      <c r="A70" s="16" t="str">
        <f>RIGHT(data!$C$97,3)</f>
        <v>198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" customHeight="1" x14ac:dyDescent="0.25">
      <c r="A71" s="16" t="str">
        <f>RIGHT(data!$C$97,3)</f>
        <v>198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" customHeight="1" x14ac:dyDescent="0.25">
      <c r="A72" s="16" t="str">
        <f>RIGHT(data!$C$97,3)</f>
        <v>198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" customHeight="1" x14ac:dyDescent="0.25">
      <c r="A73" s="16" t="str">
        <f>RIGHT(data!$C$97,3)</f>
        <v>198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6.07</v>
      </c>
      <c r="G73" s="222">
        <f>ROUND(data!BV61,0)</f>
        <v>283641</v>
      </c>
      <c r="H73" s="222">
        <f>ROUND(data!BV62,0)</f>
        <v>74131</v>
      </c>
      <c r="I73" s="222">
        <f>ROUND(data!BV63,0)</f>
        <v>0</v>
      </c>
      <c r="J73" s="222">
        <f>ROUND(data!BV64,0)</f>
        <v>48556</v>
      </c>
      <c r="K73" s="222">
        <f>ROUND(data!BV65,0)</f>
        <v>32</v>
      </c>
      <c r="L73" s="222">
        <f>ROUND(data!BV66,0)</f>
        <v>196043</v>
      </c>
      <c r="M73" s="66">
        <f>ROUND(data!BV67,0)</f>
        <v>53618</v>
      </c>
      <c r="N73" s="222">
        <f>ROUND(data!BV68,0)</f>
        <v>6200</v>
      </c>
      <c r="O73" s="222">
        <f>ROUND(data!BV69,0)</f>
        <v>7654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7654</v>
      </c>
      <c r="AD73" s="222">
        <f>ROUND(data!BV84,0)</f>
        <v>0</v>
      </c>
      <c r="AE73" s="222"/>
      <c r="AF73" s="222"/>
      <c r="AG73" s="222">
        <f>IF(data!BV90&gt;0,ROUND(data!BV90,0),0)</f>
        <v>2657</v>
      </c>
      <c r="AH73" s="222">
        <f>IF(data!BV91&gt;0,ROUND(data!BV91,0),0)</f>
        <v>0</v>
      </c>
      <c r="AI73" s="222">
        <f>IF(data!BV92&gt;0,ROUND(data!BV92,0),0)</f>
        <v>150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" customHeight="1" x14ac:dyDescent="0.25">
      <c r="A74" s="16" t="str">
        <f>RIGHT(data!$C$97,3)</f>
        <v>198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" customHeight="1" x14ac:dyDescent="0.25">
      <c r="A75" s="16" t="str">
        <f>RIGHT(data!$C$97,3)</f>
        <v>198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" customHeight="1" x14ac:dyDescent="0.25">
      <c r="A76" s="16" t="str">
        <f>RIGHT(data!$C$97,3)</f>
        <v>198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3.25</v>
      </c>
      <c r="G76" s="222">
        <f>ROUND(data!BY61,0)</f>
        <v>450430</v>
      </c>
      <c r="H76" s="222">
        <f>ROUND(data!BY62,0)</f>
        <v>114217</v>
      </c>
      <c r="I76" s="222">
        <f>ROUND(data!BY63,0)</f>
        <v>0</v>
      </c>
      <c r="J76" s="222">
        <f>ROUND(data!BY64,0)</f>
        <v>8449</v>
      </c>
      <c r="K76" s="222">
        <f>ROUND(data!BY65,0)</f>
        <v>0</v>
      </c>
      <c r="L76" s="222">
        <f>ROUND(data!BY66,0)</f>
        <v>127608</v>
      </c>
      <c r="M76" s="66">
        <f>ROUND(data!BY67,0)</f>
        <v>3774</v>
      </c>
      <c r="N76" s="222">
        <f>ROUND(data!BY68,0)</f>
        <v>0</v>
      </c>
      <c r="O76" s="222">
        <f>ROUND(data!BY69,0)</f>
        <v>692889</v>
      </c>
      <c r="P76" s="222">
        <f>ROUND(data!BY70,0)</f>
        <v>0</v>
      </c>
      <c r="Q76" s="222">
        <f>ROUND(data!BY71,0)</f>
        <v>653290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39599</v>
      </c>
      <c r="AD76" s="222">
        <f>ROUND(data!BY84,0)</f>
        <v>0</v>
      </c>
      <c r="AE76" s="222"/>
      <c r="AF76" s="222"/>
      <c r="AG76" s="222">
        <f>IF(data!BY90&gt;0,ROUND(data!BY90,0),0)</f>
        <v>187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" customHeight="1" x14ac:dyDescent="0.25">
      <c r="A77" s="16" t="str">
        <f>RIGHT(data!$C$97,3)</f>
        <v>198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" customHeight="1" x14ac:dyDescent="0.25">
      <c r="A78" s="16" t="str">
        <f>RIGHT(data!$C$97,3)</f>
        <v>198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" customHeight="1" x14ac:dyDescent="0.25">
      <c r="A79" s="16" t="str">
        <f>RIGHT(data!$C$97,3)</f>
        <v>198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" customHeight="1" x14ac:dyDescent="0.25">
      <c r="A80" s="16" t="str">
        <f>RIGHT(data!$C$97,3)</f>
        <v>198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2.2200000000000002</v>
      </c>
      <c r="G80" s="222">
        <f>ROUND(data!CC61,0)</f>
        <v>127241</v>
      </c>
      <c r="H80" s="222">
        <f>ROUND(data!CC62,0)</f>
        <v>30100</v>
      </c>
      <c r="I80" s="222">
        <f>ROUND(data!CC63,0)</f>
        <v>129702</v>
      </c>
      <c r="J80" s="222">
        <f>ROUND(data!CC64,0)</f>
        <v>14403</v>
      </c>
      <c r="K80" s="222">
        <f>ROUND(data!CC65,0)</f>
        <v>0</v>
      </c>
      <c r="L80" s="222">
        <f>ROUND(data!CC66,0)</f>
        <v>190941</v>
      </c>
      <c r="M80" s="66">
        <f>ROUND(data!CC67,0)</f>
        <v>26516</v>
      </c>
      <c r="N80" s="222">
        <f>ROUND(data!CC68,0)</f>
        <v>6</v>
      </c>
      <c r="O80" s="222">
        <f>ROUND(data!CC69,0)</f>
        <v>1267798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3800</v>
      </c>
      <c r="V80" s="222">
        <f>ROUND(data!CC76,0)</f>
        <v>0</v>
      </c>
      <c r="W80" s="222">
        <f>ROUND(data!CC77,0)</f>
        <v>10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939361</v>
      </c>
      <c r="AB80" s="222">
        <f>ROUND(data!CC82,0)</f>
        <v>0</v>
      </c>
      <c r="AC80" s="222">
        <f>ROUND(data!CC83,0)</f>
        <v>324627</v>
      </c>
      <c r="AD80" s="222">
        <f>ROUND(data!CC84,0)</f>
        <v>0</v>
      </c>
      <c r="AE80" s="222"/>
      <c r="AF80" s="222"/>
      <c r="AG80" s="222">
        <f>IF(data!CC90&gt;0,ROUND(data!CC90,0),0)</f>
        <v>1314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7734375" defaultRowHeight="15" x14ac:dyDescent="0.25"/>
  <cols>
    <col min="1" max="1" width="2.77734375" style="12" customWidth="1"/>
    <col min="2" max="3" width="10.77734375" style="12" customWidth="1"/>
    <col min="4" max="4" width="2.77734375" style="12" customWidth="1"/>
    <col min="5" max="6" width="10.77734375" style="12" customWidth="1"/>
    <col min="7" max="7" width="2.77734375" style="12" customWidth="1"/>
    <col min="8" max="8" width="10.77734375" style="12" customWidth="1"/>
    <col min="9" max="10" width="8.77734375" style="12" customWidth="1"/>
    <col min="11" max="11" width="2.77734375" style="12" customWidth="1"/>
    <col min="12" max="13" width="10.77734375" style="12" customWidth="1"/>
    <col min="14" max="16384" width="10.77734375" style="12"/>
  </cols>
  <sheetData>
    <row r="1" spans="2:10" x14ac:dyDescent="0.25">
      <c r="J1" s="108" t="s">
        <v>671</v>
      </c>
    </row>
    <row r="2" spans="2:10" x14ac:dyDescent="0.2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25">
      <c r="B3" s="112"/>
      <c r="F3" s="10" t="s">
        <v>672</v>
      </c>
      <c r="G3" s="10"/>
      <c r="J3" s="113"/>
    </row>
    <row r="4" spans="2:10" x14ac:dyDescent="0.25">
      <c r="B4" s="112"/>
      <c r="F4" s="10" t="s">
        <v>673</v>
      </c>
      <c r="G4" s="10"/>
      <c r="J4" s="113"/>
    </row>
    <row r="5" spans="2:10" x14ac:dyDescent="0.25">
      <c r="B5" s="112"/>
      <c r="J5" s="113"/>
    </row>
    <row r="6" spans="2:10" x14ac:dyDescent="0.2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25">
      <c r="B7" s="112"/>
      <c r="J7" s="113"/>
    </row>
    <row r="8" spans="2:10" x14ac:dyDescent="0.25">
      <c r="B8" s="112"/>
      <c r="F8" s="10" t="s">
        <v>674</v>
      </c>
      <c r="G8" s="10"/>
      <c r="J8" s="113"/>
    </row>
    <row r="9" spans="2:10" x14ac:dyDescent="0.2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25">
      <c r="B10" s="112"/>
      <c r="F10" s="10" t="s">
        <v>676</v>
      </c>
      <c r="G10" s="10"/>
      <c r="J10" s="113"/>
    </row>
    <row r="11" spans="2:10" x14ac:dyDescent="0.25">
      <c r="B11" s="112"/>
      <c r="F11" s="10"/>
      <c r="G11" s="10"/>
      <c r="J11" s="113"/>
    </row>
    <row r="12" spans="2:10" x14ac:dyDescent="0.25">
      <c r="B12" s="112"/>
      <c r="F12" s="10" t="s">
        <v>677</v>
      </c>
      <c r="G12" s="10"/>
      <c r="J12" s="113"/>
    </row>
    <row r="13" spans="2:10" x14ac:dyDescent="0.25">
      <c r="B13" s="112"/>
      <c r="F13" s="10" t="s">
        <v>678</v>
      </c>
      <c r="G13" s="10"/>
      <c r="J13" s="113"/>
    </row>
    <row r="14" spans="2:10" x14ac:dyDescent="0.2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25">
      <c r="B15" s="112"/>
      <c r="J15" s="113"/>
    </row>
    <row r="16" spans="2:10" x14ac:dyDescent="0.25">
      <c r="B16" s="112"/>
      <c r="F16" s="12" t="s">
        <v>679</v>
      </c>
      <c r="J16" s="113"/>
    </row>
    <row r="17" spans="2:10" x14ac:dyDescent="0.25">
      <c r="B17" s="109"/>
      <c r="C17" s="118" t="s">
        <v>680</v>
      </c>
      <c r="D17" s="118"/>
      <c r="E17" s="110" t="str">
        <f>+data!C98</f>
        <v>Astria Sunnyside Hospital</v>
      </c>
      <c r="F17" s="117"/>
      <c r="G17" s="117"/>
      <c r="H17" s="110"/>
      <c r="I17" s="110"/>
      <c r="J17" s="111"/>
    </row>
    <row r="18" spans="2:10" x14ac:dyDescent="0.25">
      <c r="B18" s="112"/>
      <c r="C18" s="66" t="s">
        <v>681</v>
      </c>
      <c r="D18" s="66"/>
      <c r="E18" s="12" t="str">
        <f>+"H-"&amp;data!C97</f>
        <v>H-198</v>
      </c>
      <c r="F18" s="10"/>
      <c r="G18" s="10"/>
      <c r="J18" s="113"/>
    </row>
    <row r="19" spans="2:10" x14ac:dyDescent="0.25">
      <c r="B19" s="112"/>
      <c r="C19" s="66" t="s">
        <v>682</v>
      </c>
      <c r="D19" s="66"/>
      <c r="E19" s="12" t="str">
        <f>+data!C99</f>
        <v>PO Box 719</v>
      </c>
      <c r="F19" s="10"/>
      <c r="G19" s="10"/>
      <c r="J19" s="113"/>
    </row>
    <row r="20" spans="2:10" x14ac:dyDescent="0.25">
      <c r="B20" s="112"/>
      <c r="C20" s="66" t="s">
        <v>683</v>
      </c>
      <c r="D20" s="66"/>
      <c r="E20" s="12" t="str">
        <f>+data!C100</f>
        <v xml:space="preserve">Sunnyside </v>
      </c>
      <c r="F20" s="10"/>
      <c r="G20" s="10"/>
      <c r="J20" s="113"/>
    </row>
    <row r="21" spans="2:10" x14ac:dyDescent="0.25">
      <c r="B21" s="112"/>
      <c r="C21" s="66" t="s">
        <v>684</v>
      </c>
      <c r="D21" s="66"/>
      <c r="E21" s="12" t="str">
        <f>+data!C101</f>
        <v xml:space="preserve">WA </v>
      </c>
      <c r="F21" s="10"/>
      <c r="G21" s="10"/>
      <c r="J21" s="113"/>
    </row>
    <row r="22" spans="2:10" x14ac:dyDescent="0.2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25">
      <c r="B23" s="112"/>
      <c r="J23" s="113"/>
    </row>
    <row r="24" spans="2:10" x14ac:dyDescent="0.25">
      <c r="B24" s="112"/>
      <c r="J24" s="113"/>
    </row>
    <row r="25" spans="2:10" x14ac:dyDescent="0.25">
      <c r="B25" s="112"/>
      <c r="J25" s="113"/>
    </row>
    <row r="26" spans="2:10" x14ac:dyDescent="0.2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2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2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25">
      <c r="B29" s="112" t="s">
        <v>687</v>
      </c>
      <c r="J29" s="113"/>
    </row>
    <row r="30" spans="2:10" x14ac:dyDescent="0.2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2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25">
      <c r="B32" s="112"/>
      <c r="J32" s="113"/>
    </row>
    <row r="33" spans="2:10" x14ac:dyDescent="0.2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2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2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2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2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25">
      <c r="B38" s="112"/>
      <c r="J38" s="113"/>
    </row>
    <row r="39" spans="2:10" x14ac:dyDescent="0.2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2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2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2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73" zoomScaleNormal="100" workbookViewId="0">
      <selection activeCell="B12" sqref="B12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2" width="8.6640625" style="1" customWidth="1"/>
    <col min="13" max="16384" width="8.6640625" style="1"/>
  </cols>
  <sheetData>
    <row r="2" spans="1:13" x14ac:dyDescent="0.25">
      <c r="A2" s="67" t="s">
        <v>693</v>
      </c>
    </row>
    <row r="3" spans="1:13" x14ac:dyDescent="0.25">
      <c r="A3" s="67"/>
    </row>
    <row r="4" spans="1:13" x14ac:dyDescent="0.25">
      <c r="A4" s="163" t="s">
        <v>694</v>
      </c>
    </row>
    <row r="5" spans="1:13" x14ac:dyDescent="0.25">
      <c r="A5" s="163" t="s">
        <v>695</v>
      </c>
    </row>
    <row r="6" spans="1:13" x14ac:dyDescent="0.25">
      <c r="A6" s="163" t="s">
        <v>696</v>
      </c>
    </row>
    <row r="7" spans="1:13" x14ac:dyDescent="0.25">
      <c r="A7" s="163"/>
    </row>
    <row r="8" spans="1:13" x14ac:dyDescent="0.25">
      <c r="A8" s="2" t="s">
        <v>697</v>
      </c>
    </row>
    <row r="9" spans="1:13" x14ac:dyDescent="0.25">
      <c r="A9" s="163" t="s">
        <v>17</v>
      </c>
    </row>
    <row r="12" spans="1:13" x14ac:dyDescent="0.25">
      <c r="A12" s="1" t="str">
        <f>data!C97</f>
        <v>198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2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2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25">
      <c r="A15" s="1" t="s">
        <v>708</v>
      </c>
      <c r="B15" s="275">
        <f>'Prior Year'!C86</f>
        <v>3139407</v>
      </c>
      <c r="C15" s="275">
        <f>data!C85</f>
        <v>3729352</v>
      </c>
      <c r="D15" s="275">
        <f>'Prior Year'!C60</f>
        <v>2105</v>
      </c>
      <c r="E15" s="1">
        <f>data!C59</f>
        <v>1806</v>
      </c>
      <c r="F15" s="238">
        <f t="shared" ref="F15:F59" si="0">IF(B15=0,"",IF(D15=0,"",B15/D15))</f>
        <v>1491.4047505938242</v>
      </c>
      <c r="G15" s="238">
        <f t="shared" ref="G15:G29" si="1">IF(C15=0,"",IF(E15=0,"",C15/E15))</f>
        <v>2064.9789590254704</v>
      </c>
      <c r="H15" s="6">
        <f t="shared" ref="H15:H59" si="2">IF(B15=0,"",IF(C15=0,"",IF(D15=0,"",IF(E15=0,"",IF(G15/F15-1&lt;-0.25,G15/F15-1,IF(G15/F15-1&gt;0.25,G15/F15-1,""))))))</f>
        <v>0.38458655050097534</v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2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25">
      <c r="A17" s="1" t="s">
        <v>710</v>
      </c>
      <c r="B17" s="275">
        <f>'Prior Year'!E86</f>
        <v>6911895</v>
      </c>
      <c r="C17" s="275">
        <f>data!E85</f>
        <v>8036296</v>
      </c>
      <c r="D17" s="275">
        <f>'Prior Year'!E60</f>
        <v>4649</v>
      </c>
      <c r="E17" s="1">
        <f>data!E59</f>
        <v>4444</v>
      </c>
      <c r="F17" s="238">
        <f t="shared" si="0"/>
        <v>1486.7487631748763</v>
      </c>
      <c r="G17" s="238">
        <f t="shared" si="1"/>
        <v>1808.3474347434744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2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2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2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2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25">
      <c r="A22" s="1" t="s">
        <v>715</v>
      </c>
      <c r="B22" s="275">
        <f>'Prior Year'!J86</f>
        <v>294</v>
      </c>
      <c r="C22" s="275">
        <f>data!J85</f>
        <v>0</v>
      </c>
      <c r="D22" s="275">
        <f>'Prior Year'!J60</f>
        <v>393</v>
      </c>
      <c r="E22" s="1">
        <f>data!J59</f>
        <v>322</v>
      </c>
      <c r="F22" s="238">
        <f t="shared" si="0"/>
        <v>0.74809160305343514</v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2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2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2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2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25">
      <c r="A27" s="1" t="s">
        <v>720</v>
      </c>
      <c r="B27" s="275">
        <f>'Prior Year'!O86</f>
        <v>81274</v>
      </c>
      <c r="C27" s="275">
        <f>data!O85</f>
        <v>75674</v>
      </c>
      <c r="D27" s="275">
        <f>'Prior Year'!O60</f>
        <v>261</v>
      </c>
      <c r="E27" s="1">
        <f>data!O59</f>
        <v>235</v>
      </c>
      <c r="F27" s="238">
        <f t="shared" si="0"/>
        <v>311.39463601532566</v>
      </c>
      <c r="G27" s="238">
        <f t="shared" si="1"/>
        <v>322.01702127659576</v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25">
      <c r="A28" s="1" t="s">
        <v>721</v>
      </c>
      <c r="B28" s="275">
        <f>'Prior Year'!P86</f>
        <v>4931878</v>
      </c>
      <c r="C28" s="275">
        <f>data!P85</f>
        <v>5571323</v>
      </c>
      <c r="D28" s="275">
        <f>'Prior Year'!P60</f>
        <v>154239</v>
      </c>
      <c r="E28" s="1">
        <f>data!P59</f>
        <v>155238</v>
      </c>
      <c r="F28" s="238">
        <f t="shared" si="0"/>
        <v>31.975557414142987</v>
      </c>
      <c r="G28" s="238">
        <f t="shared" si="1"/>
        <v>35.888912508535284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25">
      <c r="A29" s="1" t="s">
        <v>722</v>
      </c>
      <c r="B29" s="275">
        <f>'Prior Year'!Q86</f>
        <v>496381</v>
      </c>
      <c r="C29" s="275">
        <f>data!Q85</f>
        <v>693708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25">
      <c r="A30" s="1" t="s">
        <v>723</v>
      </c>
      <c r="B30" s="275">
        <f>'Prior Year'!R86</f>
        <v>1162567</v>
      </c>
      <c r="C30" s="275">
        <f>data!R85</f>
        <v>1299462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25">
      <c r="A31" s="1" t="s">
        <v>724</v>
      </c>
      <c r="B31" s="275">
        <f>'Prior Year'!S86</f>
        <v>331983</v>
      </c>
      <c r="C31" s="275">
        <f>data!S85</f>
        <v>95748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25">
      <c r="A32" s="1" t="s">
        <v>726</v>
      </c>
      <c r="B32" s="275">
        <f>'Prior Year'!T86</f>
        <v>152071</v>
      </c>
      <c r="C32" s="275">
        <f>data!T85</f>
        <v>137828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5" t="e">
        <f t="shared" si="3"/>
        <v>#VALUE!</v>
      </c>
      <c r="M32" s="7"/>
    </row>
    <row r="33" spans="1:13" x14ac:dyDescent="0.25">
      <c r="A33" s="1" t="s">
        <v>727</v>
      </c>
      <c r="B33" s="275">
        <f>'Prior Year'!U86</f>
        <v>4938165</v>
      </c>
      <c r="C33" s="275">
        <f>data!U85</f>
        <v>4530984</v>
      </c>
      <c r="D33" s="275">
        <f>'Prior Year'!U60</f>
        <v>155588</v>
      </c>
      <c r="E33" s="1">
        <f>data!U59</f>
        <v>171757</v>
      </c>
      <c r="F33" s="238">
        <f t="shared" si="0"/>
        <v>31.738726637015709</v>
      </c>
      <c r="G33" s="238">
        <f t="shared" ref="G33:G69" si="5">IF(C33=0,"",IF(E33=0,"",C33/E33))</f>
        <v>26.380199933627161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25">
      <c r="A34" s="1" t="s">
        <v>728</v>
      </c>
      <c r="B34" s="275">
        <f>'Prior Year'!V86</f>
        <v>283569</v>
      </c>
      <c r="C34" s="275">
        <f>data!V85</f>
        <v>249504</v>
      </c>
      <c r="D34" s="275">
        <f>'Prior Year'!V60</f>
        <v>1084</v>
      </c>
      <c r="E34" s="1">
        <f>data!V59</f>
        <v>1033</v>
      </c>
      <c r="F34" s="238">
        <f t="shared" si="0"/>
        <v>261.59501845018451</v>
      </c>
      <c r="G34" s="238">
        <f t="shared" si="5"/>
        <v>241.53339787028074</v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25">
      <c r="A35" s="1" t="s">
        <v>729</v>
      </c>
      <c r="B35" s="275">
        <f>'Prior Year'!W86</f>
        <v>352957</v>
      </c>
      <c r="C35" s="275">
        <f>data!W85</f>
        <v>342717</v>
      </c>
      <c r="D35" s="275">
        <f>'Prior Year'!W60</f>
        <v>1281</v>
      </c>
      <c r="E35" s="1">
        <f>data!W59</f>
        <v>1341</v>
      </c>
      <c r="F35" s="238">
        <f t="shared" si="0"/>
        <v>275.53239656518343</v>
      </c>
      <c r="G35" s="238">
        <f t="shared" si="5"/>
        <v>255.5682326621924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25">
      <c r="A36" s="1" t="s">
        <v>730</v>
      </c>
      <c r="B36" s="275">
        <f>'Prior Year'!X86</f>
        <v>552731</v>
      </c>
      <c r="C36" s="275">
        <f>data!X85</f>
        <v>339281</v>
      </c>
      <c r="D36" s="275">
        <f>'Prior Year'!X60</f>
        <v>5553</v>
      </c>
      <c r="E36" s="1">
        <f>data!X59</f>
        <v>8769</v>
      </c>
      <c r="F36" s="238">
        <f t="shared" si="0"/>
        <v>99.537367188906899</v>
      </c>
      <c r="G36" s="238">
        <f t="shared" si="5"/>
        <v>38.690956779564374</v>
      </c>
      <c r="H36" s="6">
        <f t="shared" si="2"/>
        <v>-0.61129214211448069</v>
      </c>
      <c r="I36" s="275" t="str">
        <f t="shared" si="3"/>
        <v/>
      </c>
      <c r="M36" s="7"/>
    </row>
    <row r="37" spans="1:13" x14ac:dyDescent="0.25">
      <c r="A37" s="1" t="s">
        <v>731</v>
      </c>
      <c r="B37" s="275">
        <f>'Prior Year'!Y86</f>
        <v>4836901</v>
      </c>
      <c r="C37" s="275">
        <f>data!Y85</f>
        <v>5877566</v>
      </c>
      <c r="D37" s="275">
        <f>'Prior Year'!Y60</f>
        <v>18898</v>
      </c>
      <c r="E37" s="1">
        <f>data!Y59</f>
        <v>20835</v>
      </c>
      <c r="F37" s="238">
        <f t="shared" si="0"/>
        <v>255.94777225103186</v>
      </c>
      <c r="G37" s="238">
        <f t="shared" si="5"/>
        <v>282.10059995200385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2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25">
      <c r="A39" s="1" t="s">
        <v>733</v>
      </c>
      <c r="B39" s="275">
        <f>'Prior Year'!AA86</f>
        <v>364329</v>
      </c>
      <c r="C39" s="275">
        <f>data!AA85</f>
        <v>186674</v>
      </c>
      <c r="D39" s="275">
        <f>'Prior Year'!AA60</f>
        <v>528</v>
      </c>
      <c r="E39" s="1">
        <f>data!AA59</f>
        <v>539</v>
      </c>
      <c r="F39" s="238">
        <f t="shared" si="0"/>
        <v>690.0170454545455</v>
      </c>
      <c r="G39" s="238">
        <f t="shared" si="5"/>
        <v>346.33395176252321</v>
      </c>
      <c r="H39" s="6">
        <f t="shared" si="2"/>
        <v>-0.49807913580688812</v>
      </c>
      <c r="I39" s="275" t="str">
        <f t="shared" si="3"/>
        <v/>
      </c>
      <c r="M39" s="7"/>
    </row>
    <row r="40" spans="1:13" x14ac:dyDescent="0.25">
      <c r="A40" s="1" t="s">
        <v>734</v>
      </c>
      <c r="B40" s="275">
        <f>'Prior Year'!AB86</f>
        <v>6891769</v>
      </c>
      <c r="C40" s="275">
        <f>data!AB85</f>
        <v>6458210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25">
      <c r="A41" s="1" t="s">
        <v>735</v>
      </c>
      <c r="B41" s="275">
        <f>'Prior Year'!AC86</f>
        <v>759613</v>
      </c>
      <c r="C41" s="275">
        <f>data!AC85</f>
        <v>1013871</v>
      </c>
      <c r="D41" s="275">
        <f>'Prior Year'!AC60</f>
        <v>15574</v>
      </c>
      <c r="E41" s="1">
        <f>data!AC59</f>
        <v>16502</v>
      </c>
      <c r="F41" s="238">
        <f t="shared" si="0"/>
        <v>48.77443174521639</v>
      </c>
      <c r="G41" s="238">
        <f t="shared" si="5"/>
        <v>61.439280087262148</v>
      </c>
      <c r="H41" s="6">
        <f t="shared" si="2"/>
        <v>0.2596616278012891</v>
      </c>
      <c r="I41" s="275" t="str">
        <f t="shared" si="3"/>
        <v>Please provide explanation for the fluctuation noted here</v>
      </c>
      <c r="M41" s="7"/>
    </row>
    <row r="42" spans="1:13" x14ac:dyDescent="0.25">
      <c r="A42" s="1" t="s">
        <v>736</v>
      </c>
      <c r="B42" s="275">
        <f>'Prior Year'!AD86</f>
        <v>317310</v>
      </c>
      <c r="C42" s="275">
        <f>data!AD85</f>
        <v>405757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25">
      <c r="A43" s="1" t="s">
        <v>737</v>
      </c>
      <c r="B43" s="275">
        <f>'Prior Year'!AE86</f>
        <v>520108</v>
      </c>
      <c r="C43" s="275">
        <f>data!AE85</f>
        <v>665598</v>
      </c>
      <c r="D43" s="275">
        <f>'Prior Year'!AE60</f>
        <v>7617</v>
      </c>
      <c r="E43" s="1">
        <f>data!AE59</f>
        <v>14005</v>
      </c>
      <c r="F43" s="238">
        <f t="shared" si="0"/>
        <v>68.28252592884337</v>
      </c>
      <c r="G43" s="238">
        <f t="shared" si="5"/>
        <v>47.525740806854692</v>
      </c>
      <c r="H43" s="6">
        <f t="shared" si="2"/>
        <v>-0.30398385003535378</v>
      </c>
      <c r="I43" s="275" t="str">
        <f t="shared" si="3"/>
        <v/>
      </c>
      <c r="M43" s="7"/>
    </row>
    <row r="44" spans="1:13" x14ac:dyDescent="0.2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25">
      <c r="A45" s="1" t="s">
        <v>739</v>
      </c>
      <c r="B45" s="275">
        <f>'Prior Year'!AG86</f>
        <v>5366083</v>
      </c>
      <c r="C45" s="275">
        <f>data!AG85</f>
        <v>6692075</v>
      </c>
      <c r="D45" s="275">
        <f>'Prior Year'!AG60</f>
        <v>13913</v>
      </c>
      <c r="E45" s="1">
        <f>data!AG59</f>
        <v>15437</v>
      </c>
      <c r="F45" s="238">
        <f t="shared" si="0"/>
        <v>385.68842090131534</v>
      </c>
      <c r="G45" s="238">
        <f t="shared" si="5"/>
        <v>433.50877761223035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2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25">
      <c r="A47" s="1" t="s">
        <v>741</v>
      </c>
      <c r="B47" s="275">
        <f>'Prior Year'!AI86</f>
        <v>831714</v>
      </c>
      <c r="C47" s="275">
        <f>data!AI85</f>
        <v>831752</v>
      </c>
      <c r="D47" s="275">
        <f>'Prior Year'!AI60</f>
        <v>3099</v>
      </c>
      <c r="E47" s="1">
        <f>data!AI59</f>
        <v>3121</v>
      </c>
      <c r="F47" s="238">
        <f t="shared" si="0"/>
        <v>268.3814133591481</v>
      </c>
      <c r="G47" s="238">
        <f t="shared" si="5"/>
        <v>266.50176225568725</v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25">
      <c r="A48" s="1" t="s">
        <v>742</v>
      </c>
      <c r="B48" s="275">
        <f>'Prior Year'!AJ86</f>
        <v>12345891</v>
      </c>
      <c r="C48" s="275">
        <f>data!AJ85</f>
        <v>16991467</v>
      </c>
      <c r="D48" s="275">
        <f>'Prior Year'!AJ60</f>
        <v>43908</v>
      </c>
      <c r="E48" s="1">
        <f>data!AJ59</f>
        <v>48164</v>
      </c>
      <c r="F48" s="238">
        <f t="shared" si="0"/>
        <v>281.17634599617384</v>
      </c>
      <c r="G48" s="238">
        <f t="shared" si="5"/>
        <v>352.78355203056225</v>
      </c>
      <c r="H48" s="6">
        <f t="shared" si="2"/>
        <v>0.2546700924670342</v>
      </c>
      <c r="I48" s="275" t="str">
        <f t="shared" si="6"/>
        <v>Please provide explanation for the fluctuation noted here</v>
      </c>
      <c r="M48" s="7"/>
    </row>
    <row r="49" spans="1:13" x14ac:dyDescent="0.2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25">
      <c r="A50" s="1" t="s">
        <v>744</v>
      </c>
      <c r="B50" s="275">
        <f>'Prior Year'!AL86</f>
        <v>243406</v>
      </c>
      <c r="C50" s="275">
        <f>data!AL85</f>
        <v>318324</v>
      </c>
      <c r="D50" s="275">
        <f>'Prior Year'!AL60</f>
        <v>8232</v>
      </c>
      <c r="E50" s="1">
        <f>data!AL59</f>
        <v>7165</v>
      </c>
      <c r="F50" s="238">
        <f t="shared" si="0"/>
        <v>29.56827016520894</v>
      </c>
      <c r="G50" s="238">
        <f t="shared" si="5"/>
        <v>44.427634333565948</v>
      </c>
      <c r="H50" s="6">
        <f t="shared" si="2"/>
        <v>0.50254425048649121</v>
      </c>
      <c r="I50" s="275" t="str">
        <f t="shared" si="6"/>
        <v>Please provide explanation for the fluctuation noted here</v>
      </c>
      <c r="M50" s="7"/>
    </row>
    <row r="51" spans="1:13" x14ac:dyDescent="0.2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2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2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14352</v>
      </c>
      <c r="E53" s="1">
        <f>data!AO59</f>
        <v>10224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2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2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2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2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2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2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25">
      <c r="A60" s="1" t="s">
        <v>754</v>
      </c>
      <c r="B60" s="275">
        <f>'Prior Year'!AV86</f>
        <v>2964576</v>
      </c>
      <c r="C60" s="275">
        <f>data!AV85</f>
        <v>1923538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2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2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25">
      <c r="A63" s="1" t="s">
        <v>757</v>
      </c>
      <c r="B63" s="275">
        <f>'Prior Year'!AY86</f>
        <v>791321</v>
      </c>
      <c r="C63" s="275">
        <f>data!AY85</f>
        <v>996694</v>
      </c>
      <c r="D63" s="275">
        <f>'Prior Year'!AY60</f>
        <v>26443</v>
      </c>
      <c r="E63" s="1">
        <f>data!AY59</f>
        <v>25513</v>
      </c>
      <c r="F63" s="238">
        <f>IF(B63=0,"",IF(D63=0,"",B63/D63))</f>
        <v>29.925537949551867</v>
      </c>
      <c r="G63" s="238">
        <f t="shared" si="5"/>
        <v>39.066123152902442</v>
      </c>
      <c r="H63" s="6">
        <f>IF(B63=0,"",IF(C63=0,"",IF(D63=0,"",IF(E63=0,"",IF(G63/F63-1&lt;-0.25,G63/F63-1,IF(G63/F63-1&gt;0.25,G63/F63-1,""))))))</f>
        <v>0.30544430709181136</v>
      </c>
      <c r="I63" s="275" t="str">
        <f t="shared" si="6"/>
        <v>Please provide explanation for the fluctuation noted here</v>
      </c>
      <c r="M63" s="7"/>
    </row>
    <row r="64" spans="1:13" x14ac:dyDescent="0.2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25">
      <c r="A65" s="1" t="s">
        <v>759</v>
      </c>
      <c r="B65" s="275">
        <f>'Prior Year'!BA86</f>
        <v>235260</v>
      </c>
      <c r="C65" s="275">
        <f>data!BA85</f>
        <v>275037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25">
      <c r="A66" s="1" t="s">
        <v>760</v>
      </c>
      <c r="B66" s="275">
        <f>'Prior Year'!BB86</f>
        <v>162141</v>
      </c>
      <c r="C66" s="275">
        <f>data!BB85</f>
        <v>125104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2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25">
      <c r="A68" s="1" t="s">
        <v>762</v>
      </c>
      <c r="B68" s="275">
        <f>'Prior Year'!BD86</f>
        <v>301996</v>
      </c>
      <c r="C68" s="275">
        <f>data!BD85</f>
        <v>-32633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25">
      <c r="A69" s="1" t="s">
        <v>763</v>
      </c>
      <c r="B69" s="275">
        <f>'Prior Year'!BE86</f>
        <v>1503539</v>
      </c>
      <c r="C69" s="275">
        <f>data!BE85</f>
        <v>1599462</v>
      </c>
      <c r="D69" s="275">
        <f>'Prior Year'!BE60</f>
        <v>112246</v>
      </c>
      <c r="E69" s="1">
        <f>data!BE59</f>
        <v>112246</v>
      </c>
      <c r="F69" s="238">
        <f>IF(B69=0,"",IF(D69=0,"",B69/D69))</f>
        <v>13.395034121483171</v>
      </c>
      <c r="G69" s="238">
        <f t="shared" si="5"/>
        <v>14.249612458350409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25">
      <c r="A70" s="1" t="s">
        <v>764</v>
      </c>
      <c r="B70" s="275">
        <f>'Prior Year'!BF86</f>
        <v>1053847</v>
      </c>
      <c r="C70" s="275">
        <f>data!BF85</f>
        <v>1245384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2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25">
      <c r="A72" s="1" t="s">
        <v>766</v>
      </c>
      <c r="B72" s="275">
        <f>'Prior Year'!BH86</f>
        <v>1875384</v>
      </c>
      <c r="C72" s="275">
        <f>data!BH85</f>
        <v>1616473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25">
      <c r="A73" s="1" t="s">
        <v>767</v>
      </c>
      <c r="B73" s="275">
        <f>'Prior Year'!BI86</f>
        <v>200091</v>
      </c>
      <c r="C73" s="275">
        <f>data!BI85</f>
        <v>212935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25">
      <c r="A74" s="1" t="s">
        <v>768</v>
      </c>
      <c r="B74" s="275">
        <f>'Prior Year'!BJ86</f>
        <v>0</v>
      </c>
      <c r="C74" s="275">
        <f>data!BJ85</f>
        <v>419705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25">
      <c r="A75" s="1" t="s">
        <v>769</v>
      </c>
      <c r="B75" s="275">
        <f>'Prior Year'!BK86</f>
        <v>45600</v>
      </c>
      <c r="C75" s="275">
        <f>data!BK85</f>
        <v>42458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25">
      <c r="A76" s="1" t="s">
        <v>770</v>
      </c>
      <c r="B76" s="275">
        <f>'Prior Year'!BL86</f>
        <v>877396</v>
      </c>
      <c r="C76" s="275">
        <f>data!BL85</f>
        <v>1139789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25">
      <c r="A77" s="1" t="s">
        <v>771</v>
      </c>
      <c r="B77" s="275">
        <f>'Prior Year'!BM86</f>
        <v>393176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25">
      <c r="A78" s="1" t="s">
        <v>772</v>
      </c>
      <c r="B78" s="275">
        <f>'Prior Year'!BN86</f>
        <v>13094393</v>
      </c>
      <c r="C78" s="275">
        <f>data!BN85</f>
        <v>15571367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2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2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25">
      <c r="A81" s="1" t="s">
        <v>775</v>
      </c>
      <c r="B81" s="275">
        <f>'Prior Year'!BQ86</f>
        <v>100256</v>
      </c>
      <c r="C81" s="275">
        <f>data!BQ85</f>
        <v>303962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25">
      <c r="A82" s="1" t="s">
        <v>776</v>
      </c>
      <c r="B82" s="275">
        <f>'Prior Year'!BR86</f>
        <v>67624</v>
      </c>
      <c r="C82" s="275">
        <f>data!BR85</f>
        <v>65212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2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2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2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25">
      <c r="A86" s="1" t="s">
        <v>780</v>
      </c>
      <c r="B86" s="275">
        <f>'Prior Year'!BV86</f>
        <v>733022</v>
      </c>
      <c r="C86" s="275">
        <f>data!BV85</f>
        <v>669875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25">
      <c r="A87" s="1" t="s">
        <v>781</v>
      </c>
      <c r="B87" s="275">
        <f>'Prior Year'!BW86</f>
        <v>0</v>
      </c>
      <c r="C87" s="275">
        <f>data!BW85</f>
        <v>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2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25">
      <c r="A89" s="1" t="s">
        <v>783</v>
      </c>
      <c r="B89" s="275">
        <f>'Prior Year'!BY86</f>
        <v>1158170</v>
      </c>
      <c r="C89" s="275">
        <f>data!BY85</f>
        <v>1397367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2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2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2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25">
      <c r="A93" s="1" t="s">
        <v>787</v>
      </c>
      <c r="B93" s="275">
        <f>'Prior Year'!CC86</f>
        <v>720925</v>
      </c>
      <c r="C93" s="275">
        <f>data!CC85</f>
        <v>1786707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2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25">
      <c r="A1" s="332" t="s">
        <v>1348</v>
      </c>
    </row>
    <row r="3" spans="1:4" x14ac:dyDescent="0.25">
      <c r="A3" s="11" t="s">
        <v>789</v>
      </c>
    </row>
    <row r="4" spans="1:4" x14ac:dyDescent="0.25">
      <c r="A4" s="330" t="s">
        <v>1346</v>
      </c>
    </row>
    <row r="5" spans="1:4" x14ac:dyDescent="0.25">
      <c r="A5" s="331" t="s">
        <v>1344</v>
      </c>
    </row>
    <row r="6" spans="1:4" x14ac:dyDescent="0.25">
      <c r="A6" s="329"/>
    </row>
    <row r="7" spans="1:4" x14ac:dyDescent="0.25">
      <c r="A7" s="330" t="s">
        <v>1347</v>
      </c>
    </row>
    <row r="8" spans="1:4" x14ac:dyDescent="0.25">
      <c r="A8" s="331" t="s">
        <v>1345</v>
      </c>
    </row>
    <row r="11" spans="1:4" x14ac:dyDescent="0.25">
      <c r="A11" s="13" t="s">
        <v>790</v>
      </c>
      <c r="D11" s="276">
        <f>data!C380</f>
        <v>116928</v>
      </c>
    </row>
    <row r="12" spans="1:4" x14ac:dyDescent="0.2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25">
      <c r="A14" s="13" t="s">
        <v>792</v>
      </c>
      <c r="D14" s="14" t="s">
        <v>793</v>
      </c>
    </row>
    <row r="15" spans="1:4" x14ac:dyDescent="0.25">
      <c r="A15" s="12" t="s">
        <v>794</v>
      </c>
      <c r="D15" s="15"/>
    </row>
    <row r="16" spans="1:4" x14ac:dyDescent="0.25">
      <c r="A16" s="12" t="s">
        <v>794</v>
      </c>
      <c r="D16" s="15"/>
    </row>
    <row r="17" spans="1:4" x14ac:dyDescent="0.25">
      <c r="A17" s="12" t="s">
        <v>794</v>
      </c>
      <c r="D17" s="15"/>
    </row>
    <row r="18" spans="1:4" x14ac:dyDescent="0.25">
      <c r="A18" s="12" t="s">
        <v>794</v>
      </c>
      <c r="D18" s="15"/>
    </row>
    <row r="19" spans="1:4" x14ac:dyDescent="0.25">
      <c r="A19" s="12" t="s">
        <v>794</v>
      </c>
      <c r="D19" s="15"/>
    </row>
    <row r="20" spans="1:4" x14ac:dyDescent="0.25">
      <c r="A20" s="12" t="s">
        <v>794</v>
      </c>
      <c r="D20" s="15"/>
    </row>
    <row r="21" spans="1:4" x14ac:dyDescent="0.25">
      <c r="A21" s="12" t="s">
        <v>794</v>
      </c>
      <c r="D21" s="15"/>
    </row>
    <row r="25" spans="1:4" x14ac:dyDescent="0.25">
      <c r="A25" s="13" t="s">
        <v>795</v>
      </c>
      <c r="D25" s="277">
        <f>data!C414</f>
        <v>738483</v>
      </c>
    </row>
    <row r="26" spans="1:4" x14ac:dyDescent="0.25">
      <c r="A26" s="13" t="s">
        <v>791</v>
      </c>
      <c r="D26" s="277" t="str">
        <f>IF(OR(data!C414&gt;1000000,data!C414/(data!D416)&gt;0.01),"Yes","No")</f>
        <v>No</v>
      </c>
    </row>
    <row r="28" spans="1:4" x14ac:dyDescent="0.25">
      <c r="A28" s="13" t="s">
        <v>792</v>
      </c>
      <c r="D28" s="14" t="s">
        <v>793</v>
      </c>
    </row>
    <row r="29" spans="1:4" x14ac:dyDescent="0.25">
      <c r="A29" s="12" t="s">
        <v>796</v>
      </c>
      <c r="D29" s="15"/>
    </row>
    <row r="30" spans="1:4" x14ac:dyDescent="0.25">
      <c r="A30" s="12" t="s">
        <v>796</v>
      </c>
      <c r="D30" s="15"/>
    </row>
    <row r="31" spans="1:4" x14ac:dyDescent="0.25">
      <c r="A31" s="12" t="s">
        <v>796</v>
      </c>
      <c r="D31" s="15"/>
    </row>
    <row r="32" spans="1:4" x14ac:dyDescent="0.25">
      <c r="A32" s="12" t="s">
        <v>796</v>
      </c>
      <c r="D32" s="15"/>
    </row>
    <row r="33" spans="1:4" x14ac:dyDescent="0.25">
      <c r="A33" s="12" t="s">
        <v>796</v>
      </c>
      <c r="D33" s="15"/>
    </row>
    <row r="34" spans="1:4" x14ac:dyDescent="0.25">
      <c r="A34" s="12" t="s">
        <v>796</v>
      </c>
      <c r="D34" s="15"/>
    </row>
    <row r="35" spans="1:4" x14ac:dyDescent="0.2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G1" s="75" t="s">
        <v>797</v>
      </c>
    </row>
    <row r="2" spans="1:7" ht="20.100000000000001" customHeight="1" x14ac:dyDescent="0.25">
      <c r="A2" s="76" t="s">
        <v>798</v>
      </c>
      <c r="B2" s="76"/>
      <c r="C2" s="76"/>
      <c r="D2" s="76"/>
      <c r="E2" s="76"/>
      <c r="F2" s="76"/>
    </row>
    <row r="3" spans="1:7" ht="20.100000000000001" customHeight="1" x14ac:dyDescent="0.25">
      <c r="B3" s="76"/>
      <c r="C3" s="76"/>
      <c r="D3" s="76"/>
      <c r="E3" s="76"/>
      <c r="F3" s="76"/>
      <c r="G3" s="76"/>
    </row>
    <row r="4" spans="1:7" ht="20.100000000000001" customHeight="1" x14ac:dyDescent="0.2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H-198</v>
      </c>
      <c r="G4" s="81"/>
    </row>
    <row r="5" spans="1:7" ht="20.100000000000001" customHeight="1" x14ac:dyDescent="0.25">
      <c r="A5" s="77">
        <v>2</v>
      </c>
      <c r="B5" s="78" t="s">
        <v>285</v>
      </c>
      <c r="C5" s="81"/>
      <c r="D5" s="78" t="str">
        <f>"  "&amp;data!C98</f>
        <v xml:space="preserve">  Astria Sunnyside Hospital</v>
      </c>
      <c r="E5" s="80"/>
      <c r="F5" s="80"/>
      <c r="G5" s="81"/>
    </row>
    <row r="6" spans="1:7" ht="20.100000000000001" customHeight="1" x14ac:dyDescent="0.25">
      <c r="A6" s="77">
        <v>3</v>
      </c>
      <c r="B6" s="78" t="s">
        <v>290</v>
      </c>
      <c r="C6" s="81"/>
      <c r="D6" s="78" t="str">
        <f>"  "&amp;data!C102</f>
        <v xml:space="preserve">  98944</v>
      </c>
      <c r="E6" s="80"/>
      <c r="F6" s="80"/>
      <c r="G6" s="81"/>
    </row>
    <row r="7" spans="1:7" ht="20.100000000000001" customHeight="1" x14ac:dyDescent="0.25">
      <c r="A7" s="77">
        <v>4</v>
      </c>
      <c r="B7" s="78" t="s">
        <v>799</v>
      </c>
      <c r="C7" s="81"/>
      <c r="D7" s="78" t="str">
        <f>"  "&amp;data!C103</f>
        <v xml:space="preserve">  Yakima</v>
      </c>
      <c r="E7" s="80"/>
      <c r="F7" s="80"/>
      <c r="G7" s="81"/>
    </row>
    <row r="8" spans="1:7" ht="20.100000000000001" customHeight="1" x14ac:dyDescent="0.25">
      <c r="A8" s="77">
        <v>5</v>
      </c>
      <c r="B8" s="78" t="s">
        <v>800</v>
      </c>
      <c r="C8" s="81"/>
      <c r="D8" s="78" t="str">
        <f>"  "&amp;data!C104</f>
        <v xml:space="preserve">  Brian P. Gibbons, Jr</v>
      </c>
      <c r="E8" s="80"/>
      <c r="F8" s="80"/>
      <c r="G8" s="81"/>
    </row>
    <row r="9" spans="1:7" ht="20.100000000000001" customHeight="1" x14ac:dyDescent="0.25">
      <c r="A9" s="77">
        <v>6</v>
      </c>
      <c r="B9" s="78" t="s">
        <v>801</v>
      </c>
      <c r="C9" s="81"/>
      <c r="D9" s="78" t="str">
        <f>"  "&amp;data!C105</f>
        <v xml:space="preserve">  Maxwell Owens</v>
      </c>
      <c r="E9" s="80"/>
      <c r="F9" s="80"/>
      <c r="G9" s="81"/>
    </row>
    <row r="10" spans="1:7" ht="20.100000000000001" customHeight="1" x14ac:dyDescent="0.25">
      <c r="A10" s="77">
        <v>7</v>
      </c>
      <c r="B10" s="78" t="s">
        <v>802</v>
      </c>
      <c r="C10" s="81"/>
      <c r="D10" s="78" t="str">
        <f>"  "&amp;data!C107</f>
        <v xml:space="preserve">  (509) 837-1641</v>
      </c>
      <c r="E10" s="80"/>
      <c r="F10" s="80"/>
      <c r="G10" s="81"/>
    </row>
    <row r="11" spans="1:7" ht="20.100000000000001" customHeight="1" x14ac:dyDescent="0.25">
      <c r="A11" s="77">
        <v>8</v>
      </c>
      <c r="B11" s="78" t="s">
        <v>803</v>
      </c>
      <c r="C11" s="81"/>
      <c r="D11" s="78" t="str">
        <f>"  "&amp;data!C108</f>
        <v xml:space="preserve">  (509) 837-1512</v>
      </c>
      <c r="E11" s="80"/>
      <c r="F11" s="80"/>
      <c r="G11" s="81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85"/>
      <c r="G13" s="86"/>
    </row>
    <row r="14" spans="1:7" ht="20.100000000000001" customHeight="1" x14ac:dyDescent="0.2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00000000000001" customHeight="1" x14ac:dyDescent="0.2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00000000000001" customHeight="1" x14ac:dyDescent="0.2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00000000000001" customHeight="1" x14ac:dyDescent="0.2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00000000000001" customHeight="1" x14ac:dyDescent="0.2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00000000000001" customHeight="1" x14ac:dyDescent="0.2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00000000000001" customHeight="1" x14ac:dyDescent="0.25">
      <c r="A20" s="82"/>
      <c r="B20" s="83"/>
      <c r="C20" s="83"/>
      <c r="D20" s="83"/>
      <c r="E20" s="83"/>
      <c r="F20" s="83"/>
      <c r="G20" s="84"/>
    </row>
    <row r="21" spans="1:7" ht="20.100000000000001" customHeight="1" x14ac:dyDescent="0.25">
      <c r="A21" s="85"/>
      <c r="G21" s="96"/>
    </row>
    <row r="22" spans="1:7" ht="20.100000000000001" customHeight="1" x14ac:dyDescent="0.2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00000000000001" customHeight="1" x14ac:dyDescent="0.25">
      <c r="A23" s="77"/>
      <c r="B23" s="78" t="s">
        <v>809</v>
      </c>
      <c r="C23" s="78"/>
      <c r="D23" s="78"/>
      <c r="E23" s="78"/>
      <c r="F23" s="77">
        <f>data!C127</f>
        <v>1338</v>
      </c>
      <c r="G23" s="81">
        <f>data!D127</f>
        <v>6250</v>
      </c>
    </row>
    <row r="24" spans="1:7" ht="20.100000000000001" customHeight="1" x14ac:dyDescent="0.2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00000000000001" customHeight="1" x14ac:dyDescent="0.2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00000000000001" customHeight="1" x14ac:dyDescent="0.25">
      <c r="A26" s="77">
        <v>11</v>
      </c>
      <c r="B26" s="78" t="s">
        <v>313</v>
      </c>
      <c r="C26" s="78"/>
      <c r="D26" s="78"/>
      <c r="E26" s="78"/>
      <c r="F26" s="77">
        <f>data!C130</f>
        <v>235</v>
      </c>
      <c r="G26" s="81">
        <f>data!D130</f>
        <v>322</v>
      </c>
    </row>
    <row r="27" spans="1:7" ht="20.100000000000001" customHeight="1" x14ac:dyDescent="0.25">
      <c r="A27" s="82"/>
      <c r="B27" s="83"/>
      <c r="C27" s="83"/>
      <c r="D27" s="83"/>
      <c r="E27" s="83"/>
      <c r="F27" s="83"/>
      <c r="G27" s="84"/>
    </row>
    <row r="28" spans="1:7" ht="20.100000000000001" customHeight="1" x14ac:dyDescent="0.25">
      <c r="A28" s="85"/>
      <c r="G28" s="96"/>
    </row>
    <row r="29" spans="1:7" ht="20.100000000000001" customHeight="1" x14ac:dyDescent="0.2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00000000000001" customHeight="1" x14ac:dyDescent="0.25">
      <c r="A30" s="77"/>
      <c r="B30" s="78" t="s">
        <v>315</v>
      </c>
      <c r="C30" s="81"/>
      <c r="D30" s="81">
        <f>data!C132</f>
        <v>7</v>
      </c>
      <c r="E30" s="78" t="s">
        <v>321</v>
      </c>
      <c r="F30" s="81"/>
      <c r="G30" s="81">
        <f>data!C139</f>
        <v>0</v>
      </c>
    </row>
    <row r="31" spans="1:7" ht="20.100000000000001" customHeight="1" x14ac:dyDescent="0.2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00000000000001" customHeight="1" x14ac:dyDescent="0.25">
      <c r="A32" s="77"/>
      <c r="B32" s="97" t="s">
        <v>814</v>
      </c>
      <c r="C32" s="81"/>
      <c r="D32" s="81">
        <f>data!C134</f>
        <v>14</v>
      </c>
      <c r="E32" s="78" t="s">
        <v>815</v>
      </c>
      <c r="F32" s="81"/>
      <c r="G32" s="81">
        <f>data!C141</f>
        <v>0</v>
      </c>
    </row>
    <row r="33" spans="1:7" ht="20.100000000000001" customHeight="1" x14ac:dyDescent="0.2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00000000000001" customHeight="1" x14ac:dyDescent="0.25">
      <c r="A34" s="77"/>
      <c r="B34" s="97" t="s">
        <v>818</v>
      </c>
      <c r="C34" s="81"/>
      <c r="D34" s="81">
        <f>data!C136</f>
        <v>4</v>
      </c>
      <c r="E34" s="78" t="s">
        <v>324</v>
      </c>
      <c r="F34" s="81"/>
      <c r="G34" s="81">
        <f>data!E143</f>
        <v>25</v>
      </c>
    </row>
    <row r="35" spans="1:7" ht="20.100000000000001" customHeight="1" x14ac:dyDescent="0.2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00000000000001" customHeight="1" x14ac:dyDescent="0.2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38</v>
      </c>
    </row>
    <row r="37" spans="1:7" ht="20.100000000000001" customHeight="1" x14ac:dyDescent="0.25">
      <c r="A37" s="77"/>
      <c r="E37" s="78" t="s">
        <v>326</v>
      </c>
      <c r="F37" s="81"/>
      <c r="G37" s="81">
        <f>data!C145</f>
        <v>6</v>
      </c>
    </row>
    <row r="38" spans="1:7" ht="20.100000000000001" customHeight="1" x14ac:dyDescent="0.25">
      <c r="A38" s="77"/>
      <c r="B38" s="78"/>
      <c r="C38" s="78"/>
      <c r="D38" s="78"/>
      <c r="E38" s="78"/>
      <c r="F38" s="78"/>
      <c r="G38" s="81"/>
    </row>
    <row r="39" spans="1:7" ht="20.100000000000001" customHeight="1" x14ac:dyDescent="0.2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00000000000001" customHeight="1" x14ac:dyDescent="0.2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A1" s="134" t="s">
        <v>822</v>
      </c>
      <c r="G1" s="75" t="s">
        <v>823</v>
      </c>
    </row>
    <row r="2" spans="1:7" ht="20.100000000000001" customHeight="1" x14ac:dyDescent="0.25">
      <c r="A2" s="1" t="str">
        <f>"Hospital: "&amp;data!C98</f>
        <v>Hospital: Astria Sunnyside Hospital</v>
      </c>
      <c r="G2" s="4" t="s">
        <v>824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135" t="s">
        <v>825</v>
      </c>
      <c r="B4" s="136"/>
      <c r="C4" s="136"/>
      <c r="D4" s="136"/>
      <c r="E4" s="136"/>
      <c r="F4" s="136"/>
      <c r="G4" s="137"/>
    </row>
    <row r="5" spans="1:7" ht="20.100000000000001" customHeight="1" x14ac:dyDescent="0.2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00000000000001" customHeight="1" x14ac:dyDescent="0.2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00000000000001" customHeight="1" x14ac:dyDescent="0.25">
      <c r="A7" s="77" t="s">
        <v>330</v>
      </c>
      <c r="B7" s="141">
        <f>data!B154</f>
        <v>728</v>
      </c>
      <c r="C7" s="141">
        <f>data!B155</f>
        <v>3407</v>
      </c>
      <c r="D7" s="141">
        <f>data!B156</f>
        <v>0</v>
      </c>
      <c r="E7" s="141">
        <f>data!B157</f>
        <v>48698253</v>
      </c>
      <c r="F7" s="141">
        <f>data!B158</f>
        <v>66902242</v>
      </c>
      <c r="G7" s="141">
        <f>data!B157+data!B158</f>
        <v>115600495</v>
      </c>
    </row>
    <row r="8" spans="1:7" ht="20.100000000000001" customHeight="1" x14ac:dyDescent="0.25">
      <c r="A8" s="77" t="s">
        <v>331</v>
      </c>
      <c r="B8" s="141">
        <f>data!C154</f>
        <v>343</v>
      </c>
      <c r="C8" s="141">
        <f>data!C155</f>
        <v>1606</v>
      </c>
      <c r="D8" s="141">
        <f>data!C156</f>
        <v>0</v>
      </c>
      <c r="E8" s="141">
        <f>data!C157</f>
        <v>22836328</v>
      </c>
      <c r="F8" s="141">
        <f>data!C158</f>
        <v>69885171</v>
      </c>
      <c r="G8" s="141">
        <f>data!C157+data!C158</f>
        <v>92721499</v>
      </c>
    </row>
    <row r="9" spans="1:7" ht="20.100000000000001" customHeight="1" x14ac:dyDescent="0.25">
      <c r="A9" s="77" t="s">
        <v>829</v>
      </c>
      <c r="B9" s="141">
        <f>data!D154</f>
        <v>267</v>
      </c>
      <c r="C9" s="141">
        <f>data!D155</f>
        <v>1237</v>
      </c>
      <c r="D9" s="141">
        <f>data!D156</f>
        <v>0</v>
      </c>
      <c r="E9" s="141">
        <f>data!D157</f>
        <v>19179377</v>
      </c>
      <c r="F9" s="141">
        <f>data!D158</f>
        <v>57557944</v>
      </c>
      <c r="G9" s="141">
        <f>data!D157+data!D158</f>
        <v>76737321</v>
      </c>
    </row>
    <row r="10" spans="1:7" ht="20.100000000000001" customHeight="1" x14ac:dyDescent="0.25">
      <c r="A10" s="92" t="s">
        <v>215</v>
      </c>
      <c r="B10" s="141">
        <f>data!E154</f>
        <v>1338</v>
      </c>
      <c r="C10" s="141">
        <f>data!E155</f>
        <v>6250</v>
      </c>
      <c r="D10" s="141">
        <f>data!E156</f>
        <v>0</v>
      </c>
      <c r="E10" s="141">
        <f>data!E157</f>
        <v>90713958</v>
      </c>
      <c r="F10" s="141">
        <f>data!E158</f>
        <v>194345357</v>
      </c>
      <c r="G10" s="141">
        <f>E10+F10</f>
        <v>285059315</v>
      </c>
    </row>
    <row r="11" spans="1:7" ht="20.100000000000001" customHeight="1" x14ac:dyDescent="0.25">
      <c r="A11" s="142"/>
      <c r="B11" s="143"/>
      <c r="C11" s="143"/>
      <c r="D11" s="143"/>
      <c r="E11" s="143"/>
      <c r="F11" s="143"/>
      <c r="G11" s="144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145" t="s">
        <v>830</v>
      </c>
      <c r="B13" s="76"/>
      <c r="C13" s="76"/>
      <c r="D13" s="76"/>
      <c r="E13" s="76"/>
      <c r="F13" s="76"/>
      <c r="G13" s="146"/>
    </row>
    <row r="14" spans="1:7" ht="20.100000000000001" customHeight="1" x14ac:dyDescent="0.2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00000000000001" customHeight="1" x14ac:dyDescent="0.2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00000000000001" customHeight="1" x14ac:dyDescent="0.2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00000000000001" customHeight="1" x14ac:dyDescent="0.2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00000000000001" customHeight="1" x14ac:dyDescent="0.2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00000000000001" customHeight="1" x14ac:dyDescent="0.2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00000000000001" customHeight="1" x14ac:dyDescent="0.25">
      <c r="A20" s="142"/>
      <c r="B20" s="143"/>
      <c r="C20" s="143"/>
      <c r="D20" s="143"/>
      <c r="E20" s="143"/>
      <c r="F20" s="143"/>
      <c r="G20" s="144"/>
    </row>
    <row r="21" spans="1:7" ht="20.100000000000001" customHeight="1" x14ac:dyDescent="0.25">
      <c r="A21" s="82"/>
      <c r="B21" s="83"/>
      <c r="C21" s="83"/>
      <c r="D21" s="83"/>
      <c r="E21" s="83"/>
      <c r="F21" s="83"/>
      <c r="G21" s="84"/>
    </row>
    <row r="22" spans="1:7" ht="20.100000000000001" customHeight="1" x14ac:dyDescent="0.25">
      <c r="A22" s="145" t="s">
        <v>831</v>
      </c>
      <c r="B22" s="76"/>
      <c r="C22" s="76"/>
      <c r="D22" s="76"/>
      <c r="E22" s="76"/>
      <c r="F22" s="76"/>
      <c r="G22" s="146"/>
    </row>
    <row r="23" spans="1:7" ht="20.100000000000001" customHeight="1" x14ac:dyDescent="0.2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00000000000001" customHeight="1" x14ac:dyDescent="0.2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00000000000001" customHeight="1" x14ac:dyDescent="0.2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00000000000001" customHeight="1" x14ac:dyDescent="0.2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00000000000001" customHeight="1" x14ac:dyDescent="0.2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00000000000001" customHeight="1" x14ac:dyDescent="0.2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00000000000001" customHeight="1" x14ac:dyDescent="0.25">
      <c r="A29" s="142"/>
      <c r="B29" s="143"/>
      <c r="C29" s="143"/>
      <c r="D29" s="143"/>
      <c r="E29" s="143"/>
      <c r="F29" s="143"/>
      <c r="G29" s="144"/>
    </row>
    <row r="30" spans="1:7" ht="20.100000000000001" customHeight="1" x14ac:dyDescent="0.25">
      <c r="A30" s="82"/>
      <c r="B30" s="95"/>
      <c r="C30" s="83"/>
      <c r="D30" s="83"/>
      <c r="E30" s="83"/>
      <c r="F30" s="83"/>
      <c r="G30" s="84"/>
    </row>
    <row r="31" spans="1:7" ht="20.100000000000001" customHeight="1" x14ac:dyDescent="0.25">
      <c r="A31" s="148" t="s">
        <v>832</v>
      </c>
      <c r="B31" s="149"/>
      <c r="C31" s="80"/>
      <c r="D31" s="79"/>
      <c r="E31" s="79"/>
      <c r="F31" s="79"/>
      <c r="G31" s="150"/>
    </row>
    <row r="32" spans="1:7" ht="20.100000000000001" customHeight="1" x14ac:dyDescent="0.2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00000000000001" customHeight="1" x14ac:dyDescent="0.2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5" width="8.77734375" style="1" customWidth="1"/>
    <col min="6" max="16384" width="8.77734375" style="1"/>
  </cols>
  <sheetData>
    <row r="1" spans="1:3" ht="20.100000000000001" customHeight="1" x14ac:dyDescent="0.25">
      <c r="A1" s="155" t="s">
        <v>339</v>
      </c>
      <c r="B1" s="76"/>
      <c r="C1" s="75" t="s">
        <v>835</v>
      </c>
    </row>
    <row r="2" spans="1:3" ht="20.100000000000001" customHeight="1" x14ac:dyDescent="0.25">
      <c r="A2" s="100"/>
    </row>
    <row r="3" spans="1:3" ht="20.100000000000001" customHeight="1" x14ac:dyDescent="0.25">
      <c r="A3" s="134" t="str">
        <f>"Hospital: "&amp;data!C98</f>
        <v>Hospital: Astria Sunnyside Hospital</v>
      </c>
      <c r="B3" s="83"/>
      <c r="C3" s="156" t="str">
        <f>"FYE: "&amp;data!C96</f>
        <v>FYE: 12/31/2022</v>
      </c>
    </row>
    <row r="4" spans="1:3" ht="20.100000000000001" customHeight="1" x14ac:dyDescent="0.25">
      <c r="A4" s="83"/>
    </row>
    <row r="5" spans="1:3" ht="20.100000000000001" customHeight="1" x14ac:dyDescent="0.25">
      <c r="A5" s="77">
        <v>1</v>
      </c>
      <c r="B5" s="89" t="s">
        <v>340</v>
      </c>
      <c r="C5" s="137"/>
    </row>
    <row r="6" spans="1:3" ht="20.100000000000001" customHeight="1" x14ac:dyDescent="0.25">
      <c r="A6" s="157">
        <v>2</v>
      </c>
      <c r="B6" s="78" t="s">
        <v>836</v>
      </c>
      <c r="C6" s="77">
        <f>data!C181</f>
        <v>2013763.12</v>
      </c>
    </row>
    <row r="7" spans="1:3" ht="20.100000000000001" customHeight="1" x14ac:dyDescent="0.25">
      <c r="A7" s="158">
        <v>3</v>
      </c>
      <c r="B7" s="97" t="s">
        <v>342</v>
      </c>
      <c r="C7" s="77">
        <f>data!C182</f>
        <v>106342.64</v>
      </c>
    </row>
    <row r="8" spans="1:3" ht="20.100000000000001" customHeight="1" x14ac:dyDescent="0.25">
      <c r="A8" s="158">
        <v>4</v>
      </c>
      <c r="B8" s="78" t="s">
        <v>343</v>
      </c>
      <c r="C8" s="77">
        <f>data!C183</f>
        <v>371177.71</v>
      </c>
    </row>
    <row r="9" spans="1:3" ht="20.100000000000001" customHeight="1" x14ac:dyDescent="0.25">
      <c r="A9" s="158">
        <v>5</v>
      </c>
      <c r="B9" s="78" t="s">
        <v>344</v>
      </c>
      <c r="C9" s="77">
        <f>data!C184</f>
        <v>4530652.12</v>
      </c>
    </row>
    <row r="10" spans="1:3" ht="20.100000000000001" customHeight="1" x14ac:dyDescent="0.25">
      <c r="A10" s="158">
        <v>6</v>
      </c>
      <c r="B10" s="78" t="s">
        <v>345</v>
      </c>
      <c r="C10" s="77">
        <f>data!C185</f>
        <v>0</v>
      </c>
    </row>
    <row r="11" spans="1:3" ht="20.100000000000001" customHeight="1" x14ac:dyDescent="0.25">
      <c r="A11" s="158">
        <v>7</v>
      </c>
      <c r="B11" s="78" t="s">
        <v>346</v>
      </c>
      <c r="C11" s="77">
        <f>data!C186</f>
        <v>880245.39</v>
      </c>
    </row>
    <row r="12" spans="1:3" ht="20.100000000000001" customHeight="1" x14ac:dyDescent="0.25">
      <c r="A12" s="158">
        <v>8</v>
      </c>
      <c r="B12" s="78" t="s">
        <v>347</v>
      </c>
      <c r="C12" s="77">
        <f>data!C187</f>
        <v>9292.68</v>
      </c>
    </row>
    <row r="13" spans="1:3" ht="20.100000000000001" customHeight="1" x14ac:dyDescent="0.25">
      <c r="A13" s="158">
        <v>9</v>
      </c>
      <c r="B13" s="78" t="s">
        <v>347</v>
      </c>
      <c r="C13" s="77">
        <f>data!C188</f>
        <v>0</v>
      </c>
    </row>
    <row r="14" spans="1:3" ht="20.100000000000001" customHeight="1" x14ac:dyDescent="0.25">
      <c r="A14" s="158">
        <v>10</v>
      </c>
      <c r="B14" s="78" t="s">
        <v>837</v>
      </c>
      <c r="C14" s="77">
        <f>data!D189</f>
        <v>7911473.6599999992</v>
      </c>
    </row>
    <row r="15" spans="1:3" ht="20.100000000000001" customHeight="1" x14ac:dyDescent="0.25">
      <c r="A15" s="82"/>
      <c r="B15" s="83"/>
      <c r="C15" s="84"/>
    </row>
    <row r="16" spans="1:3" ht="20.100000000000001" customHeight="1" x14ac:dyDescent="0.25">
      <c r="A16" s="82"/>
      <c r="B16" s="83"/>
      <c r="C16" s="84"/>
    </row>
    <row r="17" spans="1:3" ht="20.100000000000001" customHeight="1" x14ac:dyDescent="0.25">
      <c r="A17" s="159">
        <v>11</v>
      </c>
      <c r="B17" s="90" t="s">
        <v>348</v>
      </c>
      <c r="C17" s="91"/>
    </row>
    <row r="18" spans="1:3" ht="20.100000000000001" customHeight="1" x14ac:dyDescent="0.25">
      <c r="A18" s="77">
        <v>12</v>
      </c>
      <c r="B18" s="78" t="s">
        <v>838</v>
      </c>
      <c r="C18" s="77">
        <f>data!C191</f>
        <v>544788.35</v>
      </c>
    </row>
    <row r="19" spans="1:3" ht="20.100000000000001" customHeight="1" x14ac:dyDescent="0.25">
      <c r="A19" s="77">
        <v>13</v>
      </c>
      <c r="B19" s="78" t="s">
        <v>839</v>
      </c>
      <c r="C19" s="77">
        <f>data!C192</f>
        <v>460124.82</v>
      </c>
    </row>
    <row r="20" spans="1:3" ht="20.100000000000001" customHeight="1" x14ac:dyDescent="0.25">
      <c r="A20" s="77">
        <v>14</v>
      </c>
      <c r="B20" s="78" t="s">
        <v>840</v>
      </c>
      <c r="C20" s="77">
        <f>data!D193</f>
        <v>1004913.1699999999</v>
      </c>
    </row>
    <row r="21" spans="1:3" ht="20.100000000000001" customHeight="1" x14ac:dyDescent="0.25">
      <c r="A21" s="82"/>
      <c r="B21" s="83"/>
      <c r="C21" s="84"/>
    </row>
    <row r="22" spans="1:3" ht="20.100000000000001" customHeight="1" x14ac:dyDescent="0.25">
      <c r="A22" s="82"/>
      <c r="C22" s="160"/>
    </row>
    <row r="23" spans="1:3" ht="20.100000000000001" customHeight="1" x14ac:dyDescent="0.25">
      <c r="A23" s="138">
        <v>15</v>
      </c>
      <c r="B23" s="161" t="s">
        <v>351</v>
      </c>
      <c r="C23" s="137"/>
    </row>
    <row r="24" spans="1:3" ht="20.100000000000001" customHeight="1" x14ac:dyDescent="0.25">
      <c r="A24" s="77">
        <v>16</v>
      </c>
      <c r="B24" s="89" t="s">
        <v>841</v>
      </c>
      <c r="C24" s="162"/>
    </row>
    <row r="25" spans="1:3" ht="20.100000000000001" customHeight="1" x14ac:dyDescent="0.25">
      <c r="A25" s="77">
        <v>17</v>
      </c>
      <c r="B25" s="78" t="s">
        <v>842</v>
      </c>
      <c r="C25" s="77">
        <f>data!C195</f>
        <v>1869832.7000000002</v>
      </c>
    </row>
    <row r="26" spans="1:3" ht="20.100000000000001" customHeight="1" x14ac:dyDescent="0.25">
      <c r="A26" s="77">
        <v>18</v>
      </c>
      <c r="B26" s="78" t="s">
        <v>353</v>
      </c>
      <c r="C26" s="77">
        <f>data!C196</f>
        <v>49528.88</v>
      </c>
    </row>
    <row r="27" spans="1:3" ht="20.100000000000001" customHeight="1" x14ac:dyDescent="0.25">
      <c r="A27" s="77">
        <v>19</v>
      </c>
      <c r="B27" s="78" t="s">
        <v>843</v>
      </c>
      <c r="C27" s="77">
        <f>data!D197</f>
        <v>1919361.58</v>
      </c>
    </row>
    <row r="28" spans="1:3" ht="20.100000000000001" customHeight="1" x14ac:dyDescent="0.25">
      <c r="A28" s="82"/>
      <c r="B28" s="83"/>
      <c r="C28" s="84"/>
    </row>
    <row r="29" spans="1:3" ht="20.100000000000001" customHeight="1" x14ac:dyDescent="0.25">
      <c r="A29" s="82"/>
      <c r="B29" s="83"/>
      <c r="C29" s="84"/>
    </row>
    <row r="30" spans="1:3" ht="20.100000000000001" customHeight="1" x14ac:dyDescent="0.25">
      <c r="A30" s="138">
        <v>20</v>
      </c>
      <c r="B30" s="161" t="s">
        <v>844</v>
      </c>
      <c r="C30" s="147"/>
    </row>
    <row r="31" spans="1:3" ht="20.100000000000001" customHeight="1" x14ac:dyDescent="0.25">
      <c r="A31" s="77">
        <v>21</v>
      </c>
      <c r="B31" s="78" t="s">
        <v>355</v>
      </c>
      <c r="C31" s="77">
        <f>data!C199</f>
        <v>75128</v>
      </c>
    </row>
    <row r="32" spans="1:3" ht="20.100000000000001" customHeight="1" x14ac:dyDescent="0.25">
      <c r="A32" s="77">
        <v>22</v>
      </c>
      <c r="B32" s="78" t="s">
        <v>845</v>
      </c>
      <c r="C32" s="77">
        <f>data!C200</f>
        <v>931564</v>
      </c>
    </row>
    <row r="33" spans="1:3" ht="20.100000000000001" customHeight="1" x14ac:dyDescent="0.25">
      <c r="A33" s="77">
        <v>23</v>
      </c>
      <c r="B33" s="78" t="s">
        <v>144</v>
      </c>
      <c r="C33" s="77">
        <f>data!C201</f>
        <v>0</v>
      </c>
    </row>
    <row r="34" spans="1:3" ht="20.100000000000001" customHeight="1" x14ac:dyDescent="0.25">
      <c r="A34" s="77">
        <v>24</v>
      </c>
      <c r="B34" s="78" t="s">
        <v>846</v>
      </c>
      <c r="C34" s="77">
        <f>data!D202</f>
        <v>1006692</v>
      </c>
    </row>
    <row r="35" spans="1:3" ht="20.100000000000001" customHeight="1" x14ac:dyDescent="0.25">
      <c r="A35" s="82"/>
      <c r="B35" s="83"/>
      <c r="C35" s="84"/>
    </row>
    <row r="36" spans="1:3" ht="20.100000000000001" customHeight="1" x14ac:dyDescent="0.25">
      <c r="A36" s="82"/>
      <c r="B36" s="83"/>
      <c r="C36" s="84"/>
    </row>
    <row r="37" spans="1:3" ht="20.100000000000001" customHeight="1" x14ac:dyDescent="0.25">
      <c r="A37" s="138">
        <v>25</v>
      </c>
      <c r="B37" s="161" t="s">
        <v>357</v>
      </c>
      <c r="C37" s="137"/>
    </row>
    <row r="38" spans="1:3" ht="20.100000000000001" customHeight="1" x14ac:dyDescent="0.25">
      <c r="A38" s="77">
        <v>26</v>
      </c>
      <c r="B38" s="78" t="s">
        <v>847</v>
      </c>
      <c r="C38" s="77">
        <f>data!C204</f>
        <v>4575199.21</v>
      </c>
    </row>
    <row r="39" spans="1:3" ht="20.100000000000001" customHeight="1" x14ac:dyDescent="0.25">
      <c r="A39" s="77">
        <v>27</v>
      </c>
      <c r="B39" s="78" t="s">
        <v>359</v>
      </c>
      <c r="C39" s="77">
        <f>data!C205</f>
        <v>54648.790000000037</v>
      </c>
    </row>
    <row r="40" spans="1:3" ht="20.100000000000001" customHeight="1" x14ac:dyDescent="0.25">
      <c r="A40" s="77">
        <v>28</v>
      </c>
      <c r="B40" s="78" t="s">
        <v>848</v>
      </c>
      <c r="C40" s="77">
        <f>data!D206</f>
        <v>4629848</v>
      </c>
    </row>
    <row r="41" spans="1:3" x14ac:dyDescent="0.2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abSelected="1" workbookViewId="0">
      <selection activeCell="P15" sqref="P15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8" width="8.77734375" style="1" customWidth="1"/>
    <col min="9" max="16384" width="8.77734375" style="1"/>
  </cols>
  <sheetData>
    <row r="1" spans="1:6" ht="20.100000000000001" customHeight="1" x14ac:dyDescent="0.25">
      <c r="A1" s="155" t="s">
        <v>360</v>
      </c>
      <c r="B1" s="76"/>
      <c r="C1" s="76"/>
      <c r="D1" s="76"/>
      <c r="E1" s="76"/>
      <c r="F1" s="75" t="s">
        <v>849</v>
      </c>
    </row>
    <row r="3" spans="1:6" ht="20.100000000000001" customHeight="1" x14ac:dyDescent="0.25">
      <c r="A3" s="134" t="str">
        <f>"Hospital: "&amp;data!C98</f>
        <v>Hospital: Astria Sunnyside Hospital</v>
      </c>
      <c r="F3" s="156" t="str">
        <f>"FYE: "&amp;data!C96</f>
        <v>FYE: 12/31/2022</v>
      </c>
    </row>
    <row r="4" spans="1:6" ht="20.100000000000001" customHeight="1" x14ac:dyDescent="0.25">
      <c r="A4" s="162" t="s">
        <v>361</v>
      </c>
      <c r="B4" s="88"/>
      <c r="C4" s="88"/>
      <c r="D4" s="89"/>
      <c r="E4" s="89"/>
      <c r="F4" s="88"/>
    </row>
    <row r="5" spans="1:6" ht="20.100000000000001" customHeight="1" x14ac:dyDescent="0.25">
      <c r="A5" s="138"/>
      <c r="B5" s="164"/>
      <c r="C5" s="165" t="s">
        <v>850</v>
      </c>
      <c r="D5" s="165"/>
      <c r="E5" s="165"/>
      <c r="F5" s="165" t="s">
        <v>851</v>
      </c>
    </row>
    <row r="6" spans="1:6" ht="20.100000000000001" customHeight="1" x14ac:dyDescent="0.2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00000000000001" customHeight="1" x14ac:dyDescent="0.25">
      <c r="A7" s="77">
        <v>1</v>
      </c>
      <c r="B7" s="81" t="s">
        <v>366</v>
      </c>
      <c r="C7" s="81">
        <f>data!B211</f>
        <v>5072349</v>
      </c>
      <c r="D7" s="81">
        <f>data!C211</f>
        <v>0</v>
      </c>
      <c r="E7" s="81">
        <f>data!D211</f>
        <v>0</v>
      </c>
      <c r="F7" s="81">
        <f>data!E211</f>
        <v>5072349</v>
      </c>
    </row>
    <row r="8" spans="1:6" ht="20.100000000000001" customHeight="1" x14ac:dyDescent="0.25">
      <c r="A8" s="77">
        <v>2</v>
      </c>
      <c r="B8" s="81" t="s">
        <v>367</v>
      </c>
      <c r="C8" s="81">
        <f>data!B212</f>
        <v>1430910</v>
      </c>
      <c r="D8" s="81">
        <f>data!C212</f>
        <v>0</v>
      </c>
      <c r="E8" s="81">
        <f>data!D212</f>
        <v>0</v>
      </c>
      <c r="F8" s="81">
        <f>data!E212</f>
        <v>1430910</v>
      </c>
    </row>
    <row r="9" spans="1:6" ht="20.100000000000001" customHeight="1" x14ac:dyDescent="0.25">
      <c r="A9" s="77">
        <v>3</v>
      </c>
      <c r="B9" s="81" t="s">
        <v>368</v>
      </c>
      <c r="C9" s="81">
        <f>data!B213</f>
        <v>24903609</v>
      </c>
      <c r="D9" s="81">
        <f>data!C213</f>
        <v>0</v>
      </c>
      <c r="E9" s="81">
        <f>data!D213</f>
        <v>0</v>
      </c>
      <c r="F9" s="81">
        <f>data!E213</f>
        <v>24903609</v>
      </c>
    </row>
    <row r="10" spans="1:6" ht="20.100000000000001" customHeight="1" x14ac:dyDescent="0.25">
      <c r="A10" s="77">
        <v>4</v>
      </c>
      <c r="B10" s="81" t="s">
        <v>854</v>
      </c>
      <c r="C10" s="81">
        <f>data!B214</f>
        <v>2817279</v>
      </c>
      <c r="D10" s="81">
        <f>data!C214</f>
        <v>40943</v>
      </c>
      <c r="E10" s="81">
        <f>data!D214</f>
        <v>0</v>
      </c>
      <c r="F10" s="81">
        <f>data!E214</f>
        <v>2858222</v>
      </c>
    </row>
    <row r="11" spans="1:6" ht="20.100000000000001" customHeight="1" x14ac:dyDescent="0.25">
      <c r="A11" s="77">
        <v>5</v>
      </c>
      <c r="B11" s="81" t="s">
        <v>855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00000000000001" customHeight="1" x14ac:dyDescent="0.25">
      <c r="A12" s="77">
        <v>6</v>
      </c>
      <c r="B12" s="81" t="s">
        <v>856</v>
      </c>
      <c r="C12" s="81">
        <f>data!B216</f>
        <v>27123066</v>
      </c>
      <c r="D12" s="81">
        <f>data!C216</f>
        <v>506271</v>
      </c>
      <c r="E12" s="81">
        <f>data!D216</f>
        <v>0</v>
      </c>
      <c r="F12" s="81">
        <f>data!E216</f>
        <v>27629337</v>
      </c>
    </row>
    <row r="13" spans="1:6" ht="20.100000000000001" customHeight="1" x14ac:dyDescent="0.2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00000000000001" customHeight="1" x14ac:dyDescent="0.25">
      <c r="A14" s="77">
        <v>8</v>
      </c>
      <c r="B14" s="81" t="s">
        <v>373</v>
      </c>
      <c r="C14" s="81">
        <f>data!B218</f>
        <v>0</v>
      </c>
      <c r="D14" s="81">
        <f>data!C218</f>
        <v>2658937</v>
      </c>
      <c r="E14" s="81">
        <f>data!D218</f>
        <v>0</v>
      </c>
      <c r="F14" s="81">
        <f>data!E218</f>
        <v>2658937</v>
      </c>
    </row>
    <row r="15" spans="1:6" ht="20.100000000000001" customHeight="1" x14ac:dyDescent="0.25">
      <c r="A15" s="77">
        <v>9</v>
      </c>
      <c r="B15" s="81" t="s">
        <v>858</v>
      </c>
      <c r="C15" s="81">
        <f>data!B219</f>
        <v>0</v>
      </c>
      <c r="D15" s="81">
        <f>data!C219</f>
        <v>65582</v>
      </c>
      <c r="E15" s="81">
        <f>data!D219</f>
        <v>0</v>
      </c>
      <c r="F15" s="81">
        <f>data!E219</f>
        <v>65582</v>
      </c>
    </row>
    <row r="16" spans="1:6" ht="20.100000000000001" customHeight="1" x14ac:dyDescent="0.25">
      <c r="A16" s="77">
        <v>10</v>
      </c>
      <c r="B16" s="81" t="s">
        <v>587</v>
      </c>
      <c r="C16" s="81">
        <f>data!B220</f>
        <v>61347213</v>
      </c>
      <c r="D16" s="81">
        <f>data!C220</f>
        <v>3271733</v>
      </c>
      <c r="E16" s="81">
        <f>data!D220</f>
        <v>0</v>
      </c>
      <c r="F16" s="81">
        <f>data!E220</f>
        <v>64618946</v>
      </c>
    </row>
    <row r="17" spans="1:6" ht="20.100000000000001" customHeight="1" x14ac:dyDescent="0.25">
      <c r="A17" s="82"/>
      <c r="B17" s="83"/>
      <c r="C17" s="83"/>
      <c r="D17" s="83"/>
      <c r="E17" s="83"/>
      <c r="F17" s="84"/>
    </row>
    <row r="18" spans="1:6" ht="20.100000000000001" customHeight="1" x14ac:dyDescent="0.25">
      <c r="A18" s="85"/>
      <c r="F18" s="96"/>
    </row>
    <row r="19" spans="1:6" ht="20.100000000000001" customHeight="1" x14ac:dyDescent="0.25">
      <c r="A19" s="85"/>
      <c r="F19" s="96"/>
    </row>
    <row r="20" spans="1:6" ht="20.100000000000001" customHeight="1" x14ac:dyDescent="0.25">
      <c r="A20" s="162" t="s">
        <v>375</v>
      </c>
      <c r="B20" s="88"/>
      <c r="C20" s="88"/>
      <c r="D20" s="88"/>
      <c r="E20" s="88"/>
      <c r="F20" s="88"/>
    </row>
    <row r="21" spans="1:6" ht="20.100000000000001" customHeight="1" x14ac:dyDescent="0.2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00000000000001" customHeight="1" x14ac:dyDescent="0.2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00000000000001" customHeight="1" x14ac:dyDescent="0.25">
      <c r="A23" s="77">
        <v>11</v>
      </c>
      <c r="B23" s="169" t="s">
        <v>366</v>
      </c>
      <c r="C23" s="169"/>
      <c r="D23" s="169"/>
      <c r="E23" s="169"/>
      <c r="F23" s="169"/>
    </row>
    <row r="24" spans="1:6" ht="20.100000000000001" customHeight="1" x14ac:dyDescent="0.25">
      <c r="A24" s="77">
        <v>12</v>
      </c>
      <c r="B24" s="81" t="s">
        <v>367</v>
      </c>
      <c r="C24" s="81">
        <f>data!B225</f>
        <v>1066433</v>
      </c>
      <c r="D24" s="81">
        <f>data!C225</f>
        <v>16761</v>
      </c>
      <c r="E24" s="81">
        <f>data!D225</f>
        <v>0</v>
      </c>
      <c r="F24" s="81">
        <f>data!E225</f>
        <v>1083194</v>
      </c>
    </row>
    <row r="25" spans="1:6" ht="20.100000000000001" customHeight="1" x14ac:dyDescent="0.25">
      <c r="A25" s="77">
        <v>13</v>
      </c>
      <c r="B25" s="81" t="s">
        <v>368</v>
      </c>
      <c r="C25" s="81">
        <f>data!B226</f>
        <v>16353968</v>
      </c>
      <c r="D25" s="81">
        <f>data!C226</f>
        <v>649884</v>
      </c>
      <c r="E25" s="81">
        <f>data!D226</f>
        <v>0</v>
      </c>
      <c r="F25" s="81">
        <f>data!E226</f>
        <v>17003852</v>
      </c>
    </row>
    <row r="26" spans="1:6" ht="20.100000000000001" customHeight="1" x14ac:dyDescent="0.25">
      <c r="A26" s="77">
        <v>14</v>
      </c>
      <c r="B26" s="81" t="s">
        <v>854</v>
      </c>
      <c r="C26" s="81">
        <f>data!B227</f>
        <v>2580072</v>
      </c>
      <c r="D26" s="81">
        <f>data!C227</f>
        <v>23216</v>
      </c>
      <c r="E26" s="81">
        <f>data!D227</f>
        <v>0</v>
      </c>
      <c r="F26" s="81">
        <f>data!E227</f>
        <v>2603288</v>
      </c>
    </row>
    <row r="27" spans="1:6" ht="20.100000000000001" customHeight="1" x14ac:dyDescent="0.2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00000000000001" customHeight="1" x14ac:dyDescent="0.25">
      <c r="A28" s="77">
        <v>16</v>
      </c>
      <c r="B28" s="81" t="s">
        <v>856</v>
      </c>
      <c r="C28" s="81">
        <f>data!B229</f>
        <v>22881943</v>
      </c>
      <c r="D28" s="81">
        <f>data!C229</f>
        <v>1483798</v>
      </c>
      <c r="E28" s="81">
        <f>data!D229</f>
        <v>0</v>
      </c>
      <c r="F28" s="81">
        <f>data!E229</f>
        <v>24365741</v>
      </c>
    </row>
    <row r="29" spans="1:6" ht="20.100000000000001" customHeight="1" x14ac:dyDescent="0.2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00000000000001" customHeight="1" x14ac:dyDescent="0.2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00000000000001" customHeight="1" x14ac:dyDescent="0.2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00000000000001" customHeight="1" x14ac:dyDescent="0.25">
      <c r="A32" s="77">
        <v>20</v>
      </c>
      <c r="B32" s="81" t="s">
        <v>587</v>
      </c>
      <c r="C32" s="81">
        <f>data!B233</f>
        <v>42882416</v>
      </c>
      <c r="D32" s="81">
        <f>data!C233</f>
        <v>2173659</v>
      </c>
      <c r="E32" s="81">
        <f>data!D233</f>
        <v>0</v>
      </c>
      <c r="F32" s="81">
        <f>data!E233</f>
        <v>45056075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6" width="8.77734375" style="1" customWidth="1"/>
    <col min="7" max="16384" width="8.77734375" style="1"/>
  </cols>
  <sheetData>
    <row r="1" spans="1:4" ht="20.100000000000001" customHeight="1" x14ac:dyDescent="0.25">
      <c r="A1" s="76" t="s">
        <v>860</v>
      </c>
      <c r="B1" s="76"/>
      <c r="C1" s="76"/>
      <c r="D1" s="75" t="s">
        <v>861</v>
      </c>
    </row>
    <row r="2" spans="1:4" ht="20.100000000000001" customHeight="1" x14ac:dyDescent="0.25">
      <c r="A2" s="134" t="str">
        <f>"Hospital: "&amp;data!C98</f>
        <v>Hospital: Astria Sunnyside Hospital</v>
      </c>
      <c r="B2" s="83"/>
      <c r="C2" s="83"/>
      <c r="D2" s="156" t="str">
        <f>"FYE: "&amp;data!C96</f>
        <v>FYE: 12/31/2022</v>
      </c>
    </row>
    <row r="3" spans="1:4" ht="20.100000000000001" customHeight="1" x14ac:dyDescent="0.25">
      <c r="A3" s="138"/>
      <c r="B3" s="164"/>
      <c r="C3" s="164"/>
      <c r="D3" s="164"/>
    </row>
    <row r="4" spans="1:4" ht="20.100000000000001" customHeight="1" x14ac:dyDescent="0.25">
      <c r="A4" s="158"/>
      <c r="B4" s="170" t="s">
        <v>862</v>
      </c>
      <c r="C4" s="170" t="s">
        <v>863</v>
      </c>
      <c r="D4" s="171"/>
    </row>
    <row r="5" spans="1:4" ht="20.100000000000001" customHeight="1" x14ac:dyDescent="0.25">
      <c r="A5" s="138">
        <v>1</v>
      </c>
      <c r="B5" s="172"/>
      <c r="C5" s="94" t="s">
        <v>377</v>
      </c>
      <c r="D5" s="81">
        <f>data!D237</f>
        <v>5965953</v>
      </c>
    </row>
    <row r="6" spans="1:4" ht="20.100000000000001" customHeight="1" x14ac:dyDescent="0.25">
      <c r="A6" s="77">
        <v>2</v>
      </c>
      <c r="B6" s="83"/>
      <c r="C6" s="156" t="s">
        <v>473</v>
      </c>
      <c r="D6" s="167"/>
    </row>
    <row r="7" spans="1:4" ht="20.100000000000001" customHeight="1" x14ac:dyDescent="0.25">
      <c r="A7" s="77">
        <v>3</v>
      </c>
      <c r="B7" s="172">
        <v>5810</v>
      </c>
      <c r="C7" s="81" t="s">
        <v>330</v>
      </c>
      <c r="D7" s="81">
        <f>data!C239</f>
        <v>79932329</v>
      </c>
    </row>
    <row r="8" spans="1:4" ht="20.100000000000001" customHeight="1" x14ac:dyDescent="0.25">
      <c r="A8" s="77">
        <v>4</v>
      </c>
      <c r="B8" s="172">
        <v>5820</v>
      </c>
      <c r="C8" s="81" t="s">
        <v>331</v>
      </c>
      <c r="D8" s="81">
        <f>data!C240</f>
        <v>69992443</v>
      </c>
    </row>
    <row r="9" spans="1:4" ht="20.100000000000001" customHeight="1" x14ac:dyDescent="0.2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00000000000001" customHeight="1" x14ac:dyDescent="0.2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00000000000001" customHeight="1" x14ac:dyDescent="0.25">
      <c r="A11" s="77">
        <v>7</v>
      </c>
      <c r="B11" s="172">
        <v>5850</v>
      </c>
      <c r="C11" s="81" t="s">
        <v>864</v>
      </c>
      <c r="D11" s="81">
        <f>data!C243</f>
        <v>14657685</v>
      </c>
    </row>
    <row r="12" spans="1:4" ht="20.100000000000001" customHeight="1" x14ac:dyDescent="0.25">
      <c r="A12" s="77">
        <v>8</v>
      </c>
      <c r="B12" s="172">
        <v>5860</v>
      </c>
      <c r="C12" s="81" t="s">
        <v>144</v>
      </c>
      <c r="D12" s="81">
        <f>data!C244</f>
        <v>7980215</v>
      </c>
    </row>
    <row r="13" spans="1:4" ht="20.100000000000001" customHeight="1" x14ac:dyDescent="0.25">
      <c r="A13" s="77">
        <v>9</v>
      </c>
      <c r="B13" s="81"/>
      <c r="C13" s="81" t="s">
        <v>865</v>
      </c>
      <c r="D13" s="81">
        <f>data!D245</f>
        <v>172562672</v>
      </c>
    </row>
    <row r="14" spans="1:4" ht="20.100000000000001" customHeight="1" x14ac:dyDescent="0.25">
      <c r="A14" s="166">
        <v>10</v>
      </c>
      <c r="B14" s="93"/>
      <c r="C14" s="93"/>
      <c r="D14" s="93"/>
    </row>
    <row r="15" spans="1:4" ht="20.100000000000001" customHeight="1" x14ac:dyDescent="0.25">
      <c r="A15" s="77">
        <v>11</v>
      </c>
      <c r="B15" s="173"/>
      <c r="C15" s="173" t="s">
        <v>386</v>
      </c>
      <c r="D15" s="167"/>
    </row>
    <row r="16" spans="1:4" ht="20.100000000000001" customHeight="1" x14ac:dyDescent="0.25">
      <c r="A16" s="166">
        <v>12</v>
      </c>
      <c r="B16" s="93"/>
      <c r="C16" s="78" t="s">
        <v>866</v>
      </c>
      <c r="D16" s="77">
        <f>data!C247</f>
        <v>0</v>
      </c>
    </row>
    <row r="17" spans="1:4" ht="20.100000000000001" customHeight="1" x14ac:dyDescent="0.25">
      <c r="A17" s="77">
        <v>13</v>
      </c>
      <c r="B17" s="173"/>
      <c r="C17" s="83"/>
      <c r="D17" s="84"/>
    </row>
    <row r="18" spans="1:4" ht="20.100000000000001" customHeight="1" x14ac:dyDescent="0.25">
      <c r="A18" s="77">
        <v>14</v>
      </c>
      <c r="B18" s="174">
        <v>5900</v>
      </c>
      <c r="C18" s="81" t="s">
        <v>388</v>
      </c>
      <c r="D18" s="81">
        <f>data!C249</f>
        <v>0</v>
      </c>
    </row>
    <row r="19" spans="1:4" ht="20.100000000000001" customHeight="1" x14ac:dyDescent="0.25">
      <c r="A19" s="175">
        <v>15</v>
      </c>
      <c r="B19" s="172">
        <v>5910</v>
      </c>
      <c r="C19" s="94" t="s">
        <v>867</v>
      </c>
      <c r="D19" s="81">
        <f>data!C250</f>
        <v>3753852</v>
      </c>
    </row>
    <row r="20" spans="1:4" ht="20.100000000000001" customHeight="1" x14ac:dyDescent="0.25">
      <c r="A20" s="77">
        <v>16</v>
      </c>
      <c r="B20" s="81"/>
      <c r="C20" s="81"/>
      <c r="D20" s="93"/>
    </row>
    <row r="21" spans="1:4" ht="20.100000000000001" customHeight="1" x14ac:dyDescent="0.25">
      <c r="A21" s="77">
        <v>17</v>
      </c>
      <c r="B21" s="93"/>
      <c r="C21" s="93"/>
      <c r="D21" s="93"/>
    </row>
    <row r="22" spans="1:4" ht="20.100000000000001" customHeight="1" x14ac:dyDescent="0.25">
      <c r="A22" s="166">
        <v>18</v>
      </c>
      <c r="B22" s="93"/>
      <c r="C22" s="93" t="s">
        <v>868</v>
      </c>
      <c r="D22" s="81">
        <f>data!D252</f>
        <v>3753852</v>
      </c>
    </row>
    <row r="23" spans="1:4" ht="20.100000000000001" customHeight="1" x14ac:dyDescent="0.25">
      <c r="A23" s="175">
        <v>19</v>
      </c>
      <c r="B23" s="173"/>
      <c r="C23" s="173"/>
      <c r="D23" s="167"/>
    </row>
    <row r="24" spans="1:4" ht="20.100000000000001" customHeight="1" x14ac:dyDescent="0.2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00000000000001" customHeight="1" x14ac:dyDescent="0.25">
      <c r="A25" s="175">
        <v>21</v>
      </c>
      <c r="B25" s="83"/>
      <c r="C25" s="83"/>
      <c r="D25" s="167"/>
    </row>
    <row r="26" spans="1:4" ht="20.100000000000001" customHeight="1" x14ac:dyDescent="0.2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00000000000001" customHeight="1" x14ac:dyDescent="0.25">
      <c r="A27" s="158">
        <v>23</v>
      </c>
      <c r="B27" s="177" t="s">
        <v>870</v>
      </c>
      <c r="C27" s="93"/>
      <c r="D27" s="81">
        <f>data!D256</f>
        <v>0</v>
      </c>
    </row>
    <row r="28" spans="1:4" ht="20.100000000000001" customHeight="1" x14ac:dyDescent="0.25">
      <c r="A28" s="86">
        <v>24</v>
      </c>
      <c r="B28" s="152" t="s">
        <v>871</v>
      </c>
      <c r="C28" s="95"/>
      <c r="D28" s="171"/>
    </row>
    <row r="29" spans="1:4" ht="20.100000000000001" customHeight="1" x14ac:dyDescent="0.25">
      <c r="A29" s="178"/>
      <c r="B29" s="179"/>
      <c r="C29" s="179"/>
      <c r="D29" s="93"/>
    </row>
    <row r="30" spans="1:4" ht="20.100000000000001" customHeight="1" x14ac:dyDescent="0.25">
      <c r="A30" s="180"/>
      <c r="B30" s="78"/>
      <c r="C30" s="78"/>
      <c r="D30" s="93"/>
    </row>
    <row r="31" spans="1:4" ht="20.100000000000001" customHeight="1" x14ac:dyDescent="0.25">
      <c r="A31" s="180"/>
      <c r="B31" s="78"/>
      <c r="C31" s="78"/>
      <c r="D31" s="93"/>
    </row>
    <row r="32" spans="1:4" ht="20.100000000000001" customHeight="1" x14ac:dyDescent="0.25">
      <c r="A32" s="180"/>
      <c r="B32" s="78"/>
      <c r="C32" s="78"/>
      <c r="D32" s="93"/>
    </row>
    <row r="33" spans="1:4" ht="20.100000000000001" customHeight="1" x14ac:dyDescent="0.25">
      <c r="A33" s="180"/>
      <c r="B33" s="78"/>
      <c r="C33" s="78"/>
      <c r="D33" s="81"/>
    </row>
    <row r="34" spans="1:4" ht="20.100000000000001" customHeight="1" x14ac:dyDescent="0.2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2023-07-03T20:24:24Z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