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6BA850E0-8C18-4128-A084-C5CF5D32C9E5}" xr6:coauthVersionLast="47" xr6:coauthVersionMax="47" xr10:uidLastSave="{00000000-0000-0000-0000-000000000000}"/>
  <workbookProtection workbookAlgorithmName="SHA-512" workbookHashValue="doTme8VV7qaU0HEdP131rqEWg/foIQ7eXka/2hmA3vLmWdp+v3c7VPXhjEv72uxOFNIsrcNPpd//sRcs7LKRog==" workbookSaltValue="nSWYsWrAW5ZpQpHnyfdLh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0" i="24" l="1"/>
  <c r="C229" i="24"/>
  <c r="C219" i="24"/>
  <c r="C243" i="24"/>
  <c r="C244" i="24"/>
  <c r="C241" i="24"/>
  <c r="C242" i="24"/>
  <c r="C240" i="24"/>
  <c r="C239" i="24"/>
  <c r="C192" i="24"/>
  <c r="D161" i="24"/>
  <c r="C161" i="24"/>
  <c r="D158" i="24"/>
  <c r="D163" i="24"/>
  <c r="B163" i="24"/>
  <c r="C128" i="24" l="1"/>
  <c r="D128" i="24"/>
  <c r="B229" i="24" l="1"/>
  <c r="C317" i="24"/>
  <c r="C316" i="24"/>
  <c r="C314" i="24"/>
  <c r="C278" i="24"/>
  <c r="C271" i="24"/>
  <c r="C266" i="24"/>
  <c r="C255" i="24"/>
  <c r="C392" i="24"/>
  <c r="C389" i="24"/>
  <c r="CC66" i="24" l="1"/>
  <c r="AV64" i="24"/>
  <c r="CD83" i="24"/>
  <c r="CD82" i="24"/>
  <c r="CD81" i="24"/>
  <c r="CC64" i="24"/>
  <c r="C380" i="24"/>
  <c r="C200" i="24"/>
  <c r="C196" i="24"/>
  <c r="C187" i="24"/>
  <c r="C186" i="24"/>
  <c r="CE86" i="24" l="1"/>
  <c r="CC60" i="24"/>
  <c r="BN60" i="24"/>
  <c r="AG60" i="24" l="1"/>
  <c r="R60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D694" i="25"/>
  <c r="C694" i="25"/>
  <c r="C693" i="25"/>
  <c r="C692" i="25"/>
  <c r="D691" i="25"/>
  <c r="C691" i="25"/>
  <c r="C690" i="25"/>
  <c r="C689" i="25"/>
  <c r="C688" i="25"/>
  <c r="C687" i="25"/>
  <c r="D686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D626" i="25"/>
  <c r="C626" i="25"/>
  <c r="C625" i="25"/>
  <c r="C624" i="25"/>
  <c r="C623" i="25"/>
  <c r="C622" i="25"/>
  <c r="C621" i="25"/>
  <c r="C620" i="25"/>
  <c r="C619" i="25"/>
  <c r="C618" i="25"/>
  <c r="C617" i="25"/>
  <c r="D616" i="25"/>
  <c r="D690" i="25" s="1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F38" i="15" s="1"/>
  <c r="E37" i="15"/>
  <c r="D37" i="15"/>
  <c r="B37" i="15"/>
  <c r="F37" i="15" s="1"/>
  <c r="E36" i="15"/>
  <c r="D36" i="15"/>
  <c r="B36" i="15"/>
  <c r="H36" i="15" s="1"/>
  <c r="I36" i="15" s="1"/>
  <c r="E35" i="15"/>
  <c r="D35" i="15"/>
  <c r="B35" i="15"/>
  <c r="H35" i="15" s="1"/>
  <c r="I35" i="15" s="1"/>
  <c r="E34" i="15"/>
  <c r="D34" i="15"/>
  <c r="F34" i="15" s="1"/>
  <c r="B34" i="15"/>
  <c r="E33" i="15"/>
  <c r="D33" i="15"/>
  <c r="B33" i="15"/>
  <c r="F33" i="15" s="1"/>
  <c r="I32" i="15"/>
  <c r="B32" i="15"/>
  <c r="I31" i="15"/>
  <c r="B31" i="15"/>
  <c r="E30" i="15"/>
  <c r="D30" i="15"/>
  <c r="B30" i="15"/>
  <c r="F30" i="15" s="1"/>
  <c r="E29" i="15"/>
  <c r="D29" i="15"/>
  <c r="F29" i="15" s="1"/>
  <c r="B29" i="15"/>
  <c r="E28" i="15"/>
  <c r="D28" i="15"/>
  <c r="B28" i="15"/>
  <c r="F28" i="15" s="1"/>
  <c r="E27" i="15"/>
  <c r="D27" i="15"/>
  <c r="B27" i="15"/>
  <c r="E26" i="15"/>
  <c r="D26" i="15"/>
  <c r="B26" i="15"/>
  <c r="H26" i="15" s="1"/>
  <c r="I26" i="15" s="1"/>
  <c r="E25" i="15"/>
  <c r="D25" i="15"/>
  <c r="B25" i="15"/>
  <c r="E24" i="15"/>
  <c r="D24" i="15"/>
  <c r="B24" i="15"/>
  <c r="E23" i="15"/>
  <c r="D23" i="15"/>
  <c r="B23" i="15"/>
  <c r="F23" i="15" s="1"/>
  <c r="E22" i="15"/>
  <c r="D22" i="15"/>
  <c r="B22" i="15"/>
  <c r="E21" i="15"/>
  <c r="D21" i="15"/>
  <c r="B21" i="15"/>
  <c r="E20" i="15"/>
  <c r="D20" i="15"/>
  <c r="B20" i="15"/>
  <c r="F20" i="15" s="1"/>
  <c r="E19" i="15"/>
  <c r="D19" i="15"/>
  <c r="B19" i="15"/>
  <c r="H19" i="15" s="1"/>
  <c r="I19" i="15" s="1"/>
  <c r="E18" i="15"/>
  <c r="D18" i="15"/>
  <c r="B18" i="15"/>
  <c r="E17" i="15"/>
  <c r="D17" i="15"/>
  <c r="B17" i="15"/>
  <c r="E16" i="15"/>
  <c r="D16" i="15"/>
  <c r="B16" i="15"/>
  <c r="H16" i="15" s="1"/>
  <c r="I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E22" i="31" s="1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O35" i="31" s="1"/>
  <c r="AI69" i="24"/>
  <c r="AH69" i="24"/>
  <c r="AG69" i="24"/>
  <c r="AF69" i="24"/>
  <c r="AE69" i="24"/>
  <c r="AD69" i="24"/>
  <c r="AC69" i="24"/>
  <c r="AB69" i="24"/>
  <c r="AA69" i="24"/>
  <c r="Z69" i="24"/>
  <c r="Y69" i="24"/>
  <c r="O24" i="31" s="1"/>
  <c r="X69" i="24"/>
  <c r="W69" i="24"/>
  <c r="O22" i="31" s="1"/>
  <c r="V69" i="24"/>
  <c r="U69" i="24"/>
  <c r="T69" i="24"/>
  <c r="S69" i="24"/>
  <c r="R69" i="24"/>
  <c r="Q69" i="24"/>
  <c r="P69" i="24"/>
  <c r="O69" i="24"/>
  <c r="N69" i="24"/>
  <c r="M69" i="24"/>
  <c r="L69" i="24"/>
  <c r="O11" i="31" s="1"/>
  <c r="K69" i="24"/>
  <c r="J69" i="24"/>
  <c r="I69" i="24"/>
  <c r="O8" i="31" s="1"/>
  <c r="H69" i="24"/>
  <c r="G69" i="24"/>
  <c r="O6" i="31" s="1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H612" i="24" s="1"/>
  <c r="B53" i="24"/>
  <c r="CE51" i="24"/>
  <c r="B49" i="24"/>
  <c r="CD48" i="24"/>
  <c r="CC48" i="24"/>
  <c r="CC62" i="24" s="1"/>
  <c r="CA48" i="24"/>
  <c r="CA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H33" i="31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H17" i="31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H38" i="15" l="1"/>
  <c r="I38" i="15" s="1"/>
  <c r="F35" i="15"/>
  <c r="F15" i="15"/>
  <c r="F24" i="15"/>
  <c r="F19" i="15"/>
  <c r="F27" i="15"/>
  <c r="F36" i="15"/>
  <c r="G10" i="4"/>
  <c r="BX48" i="24"/>
  <c r="BX62" i="24" s="1"/>
  <c r="BY48" i="24"/>
  <c r="BY62" i="24" s="1"/>
  <c r="BZ48" i="24"/>
  <c r="BZ62" i="24" s="1"/>
  <c r="CB48" i="24"/>
  <c r="CB62" i="24" s="1"/>
  <c r="BW48" i="24"/>
  <c r="BW62" i="24" s="1"/>
  <c r="I19" i="34"/>
  <c r="D383" i="24"/>
  <c r="C137" i="8" s="1"/>
  <c r="D416" i="24"/>
  <c r="E414" i="24" s="1"/>
  <c r="D115" i="34"/>
  <c r="CE69" i="24"/>
  <c r="I371" i="34" s="1"/>
  <c r="CE89" i="24"/>
  <c r="I378" i="34" s="1"/>
  <c r="CE48" i="24"/>
  <c r="C62" i="24"/>
  <c r="C12" i="34" s="1"/>
  <c r="J612" i="24"/>
  <c r="H78" i="31"/>
  <c r="I332" i="34"/>
  <c r="H14" i="31"/>
  <c r="H44" i="34"/>
  <c r="H30" i="31"/>
  <c r="C140" i="34"/>
  <c r="H46" i="31"/>
  <c r="E204" i="34"/>
  <c r="H62" i="31"/>
  <c r="G268" i="34"/>
  <c r="H39" i="31"/>
  <c r="E172" i="34"/>
  <c r="H3" i="31"/>
  <c r="D12" i="34"/>
  <c r="H11" i="31"/>
  <c r="E44" i="34"/>
  <c r="H19" i="31"/>
  <c r="F76" i="34"/>
  <c r="H27" i="31"/>
  <c r="G108" i="34"/>
  <c r="H35" i="31"/>
  <c r="H140" i="34"/>
  <c r="H43" i="31"/>
  <c r="I172" i="34"/>
  <c r="H51" i="31"/>
  <c r="C236" i="34"/>
  <c r="H59" i="31"/>
  <c r="D268" i="34"/>
  <c r="H67" i="31"/>
  <c r="E300" i="34"/>
  <c r="H75" i="31"/>
  <c r="F332" i="34"/>
  <c r="H9" i="31"/>
  <c r="C44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DF2" i="30"/>
  <c r="C170" i="8"/>
  <c r="F420" i="24"/>
  <c r="H55" i="31"/>
  <c r="G236" i="34"/>
  <c r="H71" i="31"/>
  <c r="I300" i="34"/>
  <c r="C85" i="8"/>
  <c r="D341" i="24"/>
  <c r="H4" i="31"/>
  <c r="E12" i="34"/>
  <c r="H12" i="31"/>
  <c r="F44" i="34"/>
  <c r="H20" i="31"/>
  <c r="G76" i="34"/>
  <c r="H28" i="31"/>
  <c r="H108" i="34"/>
  <c r="H36" i="31"/>
  <c r="I140" i="34"/>
  <c r="H44" i="31"/>
  <c r="C204" i="34"/>
  <c r="D236" i="34"/>
  <c r="H52" i="31"/>
  <c r="E268" i="34"/>
  <c r="H60" i="31"/>
  <c r="H68" i="31"/>
  <c r="F300" i="34"/>
  <c r="H76" i="31"/>
  <c r="G332" i="34"/>
  <c r="H21" i="15"/>
  <c r="I21" i="15" s="1"/>
  <c r="F21" i="15"/>
  <c r="H21" i="31"/>
  <c r="H76" i="34"/>
  <c r="H61" i="31"/>
  <c r="F268" i="34"/>
  <c r="H77" i="31"/>
  <c r="H332" i="34"/>
  <c r="H23" i="31"/>
  <c r="C108" i="34"/>
  <c r="H5" i="31"/>
  <c r="F12" i="34"/>
  <c r="H29" i="31"/>
  <c r="I108" i="34"/>
  <c r="H53" i="31"/>
  <c r="E236" i="34"/>
  <c r="H69" i="31"/>
  <c r="G300" i="34"/>
  <c r="H15" i="31"/>
  <c r="I44" i="34"/>
  <c r="H31" i="31"/>
  <c r="D140" i="34"/>
  <c r="H47" i="31"/>
  <c r="F204" i="34"/>
  <c r="H63" i="31"/>
  <c r="H268" i="34"/>
  <c r="H79" i="31"/>
  <c r="C364" i="34"/>
  <c r="H37" i="31"/>
  <c r="C172" i="34"/>
  <c r="H13" i="31"/>
  <c r="G44" i="34"/>
  <c r="H45" i="31"/>
  <c r="D204" i="34"/>
  <c r="H8" i="31"/>
  <c r="I12" i="34"/>
  <c r="H16" i="31"/>
  <c r="C76" i="34"/>
  <c r="H24" i="31"/>
  <c r="D108" i="34"/>
  <c r="H32" i="31"/>
  <c r="E140" i="34"/>
  <c r="H40" i="31"/>
  <c r="F172" i="34"/>
  <c r="H48" i="31"/>
  <c r="G204" i="34"/>
  <c r="H56" i="31"/>
  <c r="H236" i="34"/>
  <c r="H64" i="31"/>
  <c r="I268" i="34"/>
  <c r="H72" i="31"/>
  <c r="C332" i="34"/>
  <c r="H80" i="31"/>
  <c r="D364" i="34"/>
  <c r="G28" i="4"/>
  <c r="E28" i="4"/>
  <c r="F8" i="6"/>
  <c r="E220" i="24"/>
  <c r="H7" i="31"/>
  <c r="H12" i="34"/>
  <c r="H6" i="31"/>
  <c r="G12" i="34"/>
  <c r="H22" i="31"/>
  <c r="I76" i="34"/>
  <c r="H38" i="31"/>
  <c r="D172" i="34"/>
  <c r="H54" i="31"/>
  <c r="F236" i="34"/>
  <c r="H70" i="31"/>
  <c r="H300" i="34"/>
  <c r="O2" i="31"/>
  <c r="C19" i="34"/>
  <c r="O10" i="31"/>
  <c r="D51" i="34"/>
  <c r="O18" i="31"/>
  <c r="E83" i="34"/>
  <c r="O26" i="31"/>
  <c r="F115" i="34"/>
  <c r="G147" i="34"/>
  <c r="O34" i="31"/>
  <c r="O42" i="31"/>
  <c r="H179" i="34"/>
  <c r="O50" i="31"/>
  <c r="I211" i="34"/>
  <c r="O58" i="31"/>
  <c r="C275" i="34"/>
  <c r="O66" i="31"/>
  <c r="D307" i="34"/>
  <c r="O74" i="31"/>
  <c r="E339" i="34"/>
  <c r="H18" i="15"/>
  <c r="I18" i="15" s="1"/>
  <c r="F18" i="15"/>
  <c r="BK2" i="30"/>
  <c r="I362" i="34"/>
  <c r="O3" i="31"/>
  <c r="D19" i="34"/>
  <c r="O19" i="31"/>
  <c r="F83" i="34"/>
  <c r="O27" i="31"/>
  <c r="G115" i="34"/>
  <c r="O43" i="31"/>
  <c r="I179" i="34"/>
  <c r="O51" i="31"/>
  <c r="C243" i="34"/>
  <c r="O59" i="31"/>
  <c r="D275" i="34"/>
  <c r="O67" i="31"/>
  <c r="E307" i="34"/>
  <c r="O75" i="31"/>
  <c r="F339" i="34"/>
  <c r="I26" i="34"/>
  <c r="AE8" i="31"/>
  <c r="AE16" i="31"/>
  <c r="C90" i="34"/>
  <c r="AE24" i="31"/>
  <c r="D122" i="34"/>
  <c r="E154" i="34"/>
  <c r="AE32" i="31"/>
  <c r="F186" i="34"/>
  <c r="AE40" i="31"/>
  <c r="CF2" i="28"/>
  <c r="D5" i="7"/>
  <c r="I612" i="24"/>
  <c r="H25" i="15"/>
  <c r="I25" i="15" s="1"/>
  <c r="F25" i="15"/>
  <c r="F43" i="15"/>
  <c r="H51" i="15"/>
  <c r="I51" i="15" s="1"/>
  <c r="F51" i="15"/>
  <c r="F59" i="15"/>
  <c r="E51" i="34"/>
  <c r="F140" i="34"/>
  <c r="H25" i="31"/>
  <c r="E108" i="34"/>
  <c r="H73" i="31"/>
  <c r="D332" i="34"/>
  <c r="O12" i="31"/>
  <c r="F51" i="34"/>
  <c r="O76" i="31"/>
  <c r="G339" i="34"/>
  <c r="F63" i="15"/>
  <c r="D76" i="34"/>
  <c r="H49" i="31"/>
  <c r="H204" i="34"/>
  <c r="O28" i="31"/>
  <c r="H115" i="34"/>
  <c r="AE33" i="31"/>
  <c r="F154" i="34"/>
  <c r="H34" i="31"/>
  <c r="G140" i="34"/>
  <c r="H66" i="31"/>
  <c r="D300" i="34"/>
  <c r="O45" i="31"/>
  <c r="D211" i="34"/>
  <c r="F41" i="15"/>
  <c r="H49" i="15"/>
  <c r="I49" i="15" s="1"/>
  <c r="F49" i="15"/>
  <c r="H57" i="15"/>
  <c r="I57" i="15" s="1"/>
  <c r="F57" i="15"/>
  <c r="H41" i="31"/>
  <c r="G172" i="34"/>
  <c r="O52" i="31"/>
  <c r="D243" i="34"/>
  <c r="H18" i="31"/>
  <c r="E76" i="34"/>
  <c r="O13" i="31"/>
  <c r="G51" i="34"/>
  <c r="O37" i="31"/>
  <c r="C179" i="34"/>
  <c r="O69" i="31"/>
  <c r="G307" i="34"/>
  <c r="AE2" i="31"/>
  <c r="C26" i="34"/>
  <c r="AE10" i="31"/>
  <c r="D58" i="34"/>
  <c r="AE18" i="31"/>
  <c r="E90" i="34"/>
  <c r="AE26" i="31"/>
  <c r="F122" i="34"/>
  <c r="AE34" i="31"/>
  <c r="G154" i="34"/>
  <c r="H186" i="34"/>
  <c r="AE42" i="31"/>
  <c r="G19" i="4"/>
  <c r="E19" i="4"/>
  <c r="O14" i="31"/>
  <c r="H51" i="34"/>
  <c r="O30" i="31"/>
  <c r="C147" i="34"/>
  <c r="O38" i="31"/>
  <c r="D179" i="34"/>
  <c r="O46" i="31"/>
  <c r="E211" i="34"/>
  <c r="O54" i="31"/>
  <c r="F243" i="34"/>
  <c r="O62" i="31"/>
  <c r="G275" i="34"/>
  <c r="H307" i="34"/>
  <c r="O70" i="31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308" i="24"/>
  <c r="D612" i="24"/>
  <c r="L612" i="24"/>
  <c r="H57" i="31"/>
  <c r="I236" i="34"/>
  <c r="O4" i="31"/>
  <c r="E19" i="34"/>
  <c r="O36" i="31"/>
  <c r="I147" i="34"/>
  <c r="O60" i="31"/>
  <c r="E275" i="34"/>
  <c r="H10" i="31"/>
  <c r="D44" i="34"/>
  <c r="H42" i="31"/>
  <c r="H172" i="34"/>
  <c r="H58" i="31"/>
  <c r="C268" i="34"/>
  <c r="O21" i="31"/>
  <c r="H83" i="34"/>
  <c r="O29" i="31"/>
  <c r="I115" i="34"/>
  <c r="O61" i="31"/>
  <c r="F275" i="34"/>
  <c r="O77" i="31"/>
  <c r="H339" i="34"/>
  <c r="CF90" i="2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CF91" i="24"/>
  <c r="D258" i="24"/>
  <c r="C113" i="8"/>
  <c r="D12" i="33"/>
  <c r="F17" i="15"/>
  <c r="F47" i="15"/>
  <c r="H55" i="15"/>
  <c r="I55" i="15" s="1"/>
  <c r="F55" i="15"/>
  <c r="F64" i="15"/>
  <c r="H147" i="34"/>
  <c r="H65" i="31"/>
  <c r="C300" i="34"/>
  <c r="O20" i="31"/>
  <c r="G83" i="34"/>
  <c r="O44" i="31"/>
  <c r="C211" i="34"/>
  <c r="O68" i="31"/>
  <c r="F307" i="34"/>
  <c r="AE9" i="31"/>
  <c r="C58" i="34"/>
  <c r="AE17" i="31"/>
  <c r="D90" i="34"/>
  <c r="AE25" i="31"/>
  <c r="E122" i="34"/>
  <c r="AE41" i="31"/>
  <c r="G186" i="34"/>
  <c r="H2" i="31"/>
  <c r="H26" i="31"/>
  <c r="F108" i="34"/>
  <c r="I204" i="34"/>
  <c r="H50" i="31"/>
  <c r="H74" i="31"/>
  <c r="E332" i="34"/>
  <c r="O5" i="31"/>
  <c r="F19" i="34"/>
  <c r="O53" i="31"/>
  <c r="E243" i="34"/>
  <c r="O16" i="31"/>
  <c r="C83" i="34"/>
  <c r="E147" i="34"/>
  <c r="O32" i="31"/>
  <c r="O40" i="31"/>
  <c r="F179" i="34"/>
  <c r="G211" i="34"/>
  <c r="O48" i="31"/>
  <c r="O56" i="31"/>
  <c r="H243" i="34"/>
  <c r="I275" i="34"/>
  <c r="O64" i="31"/>
  <c r="O72" i="31"/>
  <c r="C339" i="34"/>
  <c r="O80" i="31"/>
  <c r="D371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F612" i="24"/>
  <c r="C615" i="24"/>
  <c r="F22" i="15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CD85" i="24"/>
  <c r="AE6" i="31"/>
  <c r="G26" i="34"/>
  <c r="AE14" i="31"/>
  <c r="H58" i="34"/>
  <c r="C154" i="34"/>
  <c r="AE30" i="31"/>
  <c r="AE38" i="31"/>
  <c r="D186" i="34"/>
  <c r="AE46" i="31"/>
  <c r="E218" i="34"/>
  <c r="E233" i="24"/>
  <c r="F32" i="6" s="1"/>
  <c r="D367" i="24"/>
  <c r="G612" i="24"/>
  <c r="F16" i="15"/>
  <c r="H20" i="15"/>
  <c r="I20" i="15" s="1"/>
  <c r="F26" i="15"/>
  <c r="F45" i="15"/>
  <c r="H53" i="15"/>
  <c r="I53" i="15" s="1"/>
  <c r="F53" i="15"/>
  <c r="G19" i="34"/>
  <c r="I83" i="34"/>
  <c r="I90" i="34"/>
  <c r="H42" i="15"/>
  <c r="I42" i="15" s="1"/>
  <c r="F42" i="15"/>
  <c r="H44" i="15"/>
  <c r="I44" i="15" s="1"/>
  <c r="F44" i="15"/>
  <c r="F46" i="15"/>
  <c r="F48" i="15"/>
  <c r="H50" i="15"/>
  <c r="I50" i="15" s="1"/>
  <c r="F50" i="15"/>
  <c r="H52" i="15"/>
  <c r="I52" i="15" s="1"/>
  <c r="F52" i="15"/>
  <c r="H54" i="15"/>
  <c r="I54" i="15" s="1"/>
  <c r="F54" i="15"/>
  <c r="H56" i="15"/>
  <c r="I56" i="15" s="1"/>
  <c r="F56" i="15"/>
  <c r="H58" i="15"/>
  <c r="I58" i="15" s="1"/>
  <c r="F58" i="15"/>
  <c r="F65" i="15"/>
  <c r="D620" i="25"/>
  <c r="D674" i="25"/>
  <c r="C716" i="25"/>
  <c r="C649" i="25"/>
  <c r="M717" i="25" s="1"/>
  <c r="D682" i="25"/>
  <c r="D717" i="25"/>
  <c r="D708" i="25"/>
  <c r="D700" i="25"/>
  <c r="D713" i="25"/>
  <c r="D705" i="25"/>
  <c r="D710" i="25"/>
  <c r="D702" i="25"/>
  <c r="D707" i="25"/>
  <c r="D699" i="25"/>
  <c r="D714" i="25"/>
  <c r="D706" i="25"/>
  <c r="D693" i="25"/>
  <c r="D685" i="25"/>
  <c r="D677" i="25"/>
  <c r="D669" i="25"/>
  <c r="D711" i="25"/>
  <c r="D703" i="25"/>
  <c r="D698" i="25"/>
  <c r="D695" i="25"/>
  <c r="D687" i="25"/>
  <c r="D679" i="25"/>
  <c r="D671" i="25"/>
  <c r="D648" i="25"/>
  <c r="D647" i="25"/>
  <c r="D646" i="25"/>
  <c r="D630" i="25"/>
  <c r="D627" i="25"/>
  <c r="D622" i="25"/>
  <c r="D618" i="25"/>
  <c r="D712" i="25"/>
  <c r="D704" i="25"/>
  <c r="D692" i="25"/>
  <c r="D684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D697" i="25"/>
  <c r="D689" i="25"/>
  <c r="D681" i="25"/>
  <c r="D673" i="25"/>
  <c r="D621" i="25"/>
  <c r="D617" i="25"/>
  <c r="D696" i="25"/>
  <c r="D688" i="25"/>
  <c r="D680" i="25"/>
  <c r="D672" i="25"/>
  <c r="D624" i="25"/>
  <c r="D619" i="25"/>
  <c r="D701" i="25"/>
  <c r="D629" i="25"/>
  <c r="D623" i="25"/>
  <c r="D709" i="25"/>
  <c r="D628" i="25"/>
  <c r="D670" i="25"/>
  <c r="D675" i="25"/>
  <c r="E624" i="25"/>
  <c r="D678" i="25"/>
  <c r="D683" i="25"/>
  <c r="E380" i="24" l="1"/>
  <c r="D26" i="33"/>
  <c r="C167" i="8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CA52" i="24"/>
  <c r="CA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CE62" i="24"/>
  <c r="I364" i="34" s="1"/>
  <c r="K612" i="24"/>
  <c r="C94" i="15"/>
  <c r="G94" i="15" s="1"/>
  <c r="E373" i="34"/>
  <c r="F16" i="6"/>
  <c r="F234" i="24"/>
  <c r="E713" i="25"/>
  <c r="E705" i="25"/>
  <c r="E710" i="25"/>
  <c r="E707" i="25"/>
  <c r="E704" i="25"/>
  <c r="E690" i="25"/>
  <c r="E682" i="25"/>
  <c r="E674" i="25"/>
  <c r="E684" i="25"/>
  <c r="E644" i="25"/>
  <c r="E643" i="25"/>
  <c r="E642" i="25"/>
  <c r="E641" i="25"/>
  <c r="E639" i="25"/>
  <c r="E636" i="25"/>
  <c r="E635" i="25"/>
  <c r="E634" i="25"/>
  <c r="E633" i="25"/>
  <c r="E631" i="25"/>
  <c r="E689" i="25"/>
  <c r="E681" i="25"/>
  <c r="E673" i="25"/>
  <c r="E717" i="25"/>
  <c r="E700" i="25"/>
  <c r="E678" i="25"/>
  <c r="E670" i="25"/>
  <c r="E628" i="25"/>
  <c r="E706" i="25"/>
  <c r="E688" i="25"/>
  <c r="E648" i="25"/>
  <c r="E627" i="25"/>
  <c r="E701" i="25"/>
  <c r="E629" i="25"/>
  <c r="E646" i="25"/>
  <c r="E677" i="25"/>
  <c r="E669" i="25"/>
  <c r="E626" i="25"/>
  <c r="E711" i="25"/>
  <c r="E683" i="25"/>
  <c r="E647" i="25"/>
  <c r="E714" i="25"/>
  <c r="E709" i="25"/>
  <c r="E695" i="25"/>
  <c r="E671" i="25"/>
  <c r="E613" i="25"/>
  <c r="E702" i="25" s="1"/>
  <c r="C87" i="8"/>
  <c r="D350" i="24"/>
  <c r="C50" i="8"/>
  <c r="F309" i="24"/>
  <c r="D352" i="24"/>
  <c r="C103" i="8" s="1"/>
  <c r="D716" i="25"/>
  <c r="C121" i="8"/>
  <c r="D384" i="24"/>
  <c r="M5" i="31" l="1"/>
  <c r="F85" i="24"/>
  <c r="F17" i="34"/>
  <c r="M69" i="31"/>
  <c r="G305" i="34"/>
  <c r="BR85" i="24"/>
  <c r="F241" i="34"/>
  <c r="BC85" i="24"/>
  <c r="M54" i="31"/>
  <c r="E177" i="34"/>
  <c r="AN85" i="24"/>
  <c r="M39" i="31"/>
  <c r="Y85" i="24"/>
  <c r="M24" i="31"/>
  <c r="D113" i="34"/>
  <c r="M9" i="31"/>
  <c r="C49" i="34"/>
  <c r="J85" i="24"/>
  <c r="M73" i="31"/>
  <c r="D337" i="34"/>
  <c r="BV85" i="24"/>
  <c r="I209" i="34"/>
  <c r="AY85" i="24"/>
  <c r="M50" i="31"/>
  <c r="H145" i="34"/>
  <c r="AJ85" i="24"/>
  <c r="M35" i="31"/>
  <c r="U85" i="24"/>
  <c r="M20" i="31"/>
  <c r="G81" i="34"/>
  <c r="N85" i="24"/>
  <c r="M13" i="31"/>
  <c r="G49" i="34"/>
  <c r="H337" i="34"/>
  <c r="M77" i="31"/>
  <c r="BZ85" i="24"/>
  <c r="M62" i="31"/>
  <c r="BK85" i="24"/>
  <c r="G273" i="34"/>
  <c r="M47" i="31"/>
  <c r="F209" i="34"/>
  <c r="AV85" i="24"/>
  <c r="E145" i="34"/>
  <c r="AG85" i="24"/>
  <c r="M32" i="31"/>
  <c r="R85" i="24"/>
  <c r="M17" i="31"/>
  <c r="D81" i="34"/>
  <c r="M58" i="31"/>
  <c r="BG85" i="24"/>
  <c r="C273" i="34"/>
  <c r="AR85" i="24"/>
  <c r="M43" i="31"/>
  <c r="I177" i="34"/>
  <c r="AC85" i="24"/>
  <c r="M28" i="31"/>
  <c r="H113" i="34"/>
  <c r="V85" i="24"/>
  <c r="M21" i="31"/>
  <c r="H81" i="34"/>
  <c r="G17" i="34"/>
  <c r="G85" i="24"/>
  <c r="M6" i="31"/>
  <c r="H305" i="34"/>
  <c r="BS85" i="24"/>
  <c r="M70" i="31"/>
  <c r="G241" i="34"/>
  <c r="BD85" i="24"/>
  <c r="M55" i="31"/>
  <c r="M40" i="31"/>
  <c r="F177" i="34"/>
  <c r="AO85" i="24"/>
  <c r="Z85" i="24"/>
  <c r="M25" i="31"/>
  <c r="E113" i="34"/>
  <c r="CE52" i="24"/>
  <c r="C67" i="24"/>
  <c r="M66" i="31"/>
  <c r="D305" i="34"/>
  <c r="BO85" i="24"/>
  <c r="M51" i="31"/>
  <c r="AZ85" i="24"/>
  <c r="C241" i="34"/>
  <c r="I145" i="34"/>
  <c r="AK85" i="24"/>
  <c r="M36" i="31"/>
  <c r="AD85" i="24"/>
  <c r="M29" i="31"/>
  <c r="I113" i="34"/>
  <c r="M14" i="31"/>
  <c r="O85" i="24"/>
  <c r="H49" i="34"/>
  <c r="M78" i="31"/>
  <c r="I337" i="34"/>
  <c r="CA85" i="24"/>
  <c r="M63" i="31"/>
  <c r="BL85" i="24"/>
  <c r="H273" i="34"/>
  <c r="AW85" i="24"/>
  <c r="G209" i="34"/>
  <c r="M48" i="31"/>
  <c r="M33" i="31"/>
  <c r="F145" i="34"/>
  <c r="AH85" i="24"/>
  <c r="M10" i="31"/>
  <c r="D49" i="34"/>
  <c r="K85" i="24"/>
  <c r="BW85" i="24"/>
  <c r="M74" i="31"/>
  <c r="E337" i="34"/>
  <c r="M59" i="31"/>
  <c r="D273" i="34"/>
  <c r="BH85" i="24"/>
  <c r="M44" i="31"/>
  <c r="AS85" i="24"/>
  <c r="C209" i="34"/>
  <c r="C177" i="34"/>
  <c r="AL85" i="24"/>
  <c r="M37" i="31"/>
  <c r="W85" i="24"/>
  <c r="M22" i="31"/>
  <c r="I81" i="34"/>
  <c r="H17" i="34"/>
  <c r="H85" i="24"/>
  <c r="M7" i="31"/>
  <c r="BT85" i="24"/>
  <c r="I305" i="34"/>
  <c r="M71" i="31"/>
  <c r="M56" i="31"/>
  <c r="BE85" i="24"/>
  <c r="H241" i="34"/>
  <c r="M41" i="31"/>
  <c r="G177" i="34"/>
  <c r="AP85" i="24"/>
  <c r="M18" i="31"/>
  <c r="E81" i="34"/>
  <c r="S85" i="24"/>
  <c r="M3" i="31"/>
  <c r="D85" i="24"/>
  <c r="D17" i="34"/>
  <c r="M67" i="31"/>
  <c r="E305" i="34"/>
  <c r="BP85" i="24"/>
  <c r="M52" i="31"/>
  <c r="D241" i="34"/>
  <c r="BA85" i="24"/>
  <c r="M45" i="31"/>
  <c r="D209" i="34"/>
  <c r="AT85" i="24"/>
  <c r="AE85" i="24"/>
  <c r="M30" i="31"/>
  <c r="C145" i="34"/>
  <c r="M15" i="31"/>
  <c r="P85" i="24"/>
  <c r="I49" i="34"/>
  <c r="CB85" i="24"/>
  <c r="M79" i="31"/>
  <c r="C369" i="34"/>
  <c r="BM85" i="24"/>
  <c r="I273" i="34"/>
  <c r="M64" i="31"/>
  <c r="M49" i="31"/>
  <c r="H209" i="34"/>
  <c r="AX85" i="24"/>
  <c r="M26" i="31"/>
  <c r="F113" i="34"/>
  <c r="AA85" i="24"/>
  <c r="M11" i="31"/>
  <c r="E49" i="34"/>
  <c r="L85" i="24"/>
  <c r="BX85" i="24"/>
  <c r="M75" i="31"/>
  <c r="F337" i="34"/>
  <c r="BI85" i="24"/>
  <c r="M60" i="31"/>
  <c r="E273" i="34"/>
  <c r="BB85" i="24"/>
  <c r="M53" i="31"/>
  <c r="E241" i="34"/>
  <c r="D177" i="34"/>
  <c r="M38" i="31"/>
  <c r="AM85" i="24"/>
  <c r="X85" i="24"/>
  <c r="M23" i="31"/>
  <c r="C113" i="34"/>
  <c r="M8" i="31"/>
  <c r="I17" i="34"/>
  <c r="I85" i="24"/>
  <c r="M72" i="31"/>
  <c r="C337" i="34"/>
  <c r="BU85" i="24"/>
  <c r="BF85" i="24"/>
  <c r="M57" i="31"/>
  <c r="I241" i="34"/>
  <c r="M34" i="31"/>
  <c r="G145" i="34"/>
  <c r="AI85" i="24"/>
  <c r="M19" i="31"/>
  <c r="F81" i="34"/>
  <c r="T85" i="24"/>
  <c r="E17" i="34"/>
  <c r="E85" i="24"/>
  <c r="M4" i="31"/>
  <c r="F305" i="34"/>
  <c r="BQ85" i="24"/>
  <c r="M68" i="31"/>
  <c r="BJ85" i="24"/>
  <c r="M61" i="31"/>
  <c r="F273" i="34"/>
  <c r="M46" i="31"/>
  <c r="AU85" i="24"/>
  <c r="E209" i="34"/>
  <c r="AF85" i="24"/>
  <c r="M31" i="31"/>
  <c r="D145" i="34"/>
  <c r="C81" i="34"/>
  <c r="Q85" i="24"/>
  <c r="M16" i="31"/>
  <c r="M80" i="31"/>
  <c r="D369" i="34"/>
  <c r="CC85" i="24"/>
  <c r="M65" i="31"/>
  <c r="C305" i="34"/>
  <c r="BN85" i="24"/>
  <c r="AQ85" i="24"/>
  <c r="M42" i="31"/>
  <c r="H177" i="34"/>
  <c r="M27" i="31"/>
  <c r="G113" i="34"/>
  <c r="AB85" i="24"/>
  <c r="M12" i="31"/>
  <c r="F49" i="34"/>
  <c r="M85" i="24"/>
  <c r="BY85" i="24"/>
  <c r="M76" i="31"/>
  <c r="G337" i="34"/>
  <c r="E630" i="25"/>
  <c r="E698" i="25"/>
  <c r="E685" i="25"/>
  <c r="E672" i="25"/>
  <c r="E686" i="25"/>
  <c r="E697" i="25"/>
  <c r="E637" i="25"/>
  <c r="E645" i="25"/>
  <c r="E712" i="25"/>
  <c r="E679" i="25"/>
  <c r="E675" i="25"/>
  <c r="E693" i="25"/>
  <c r="E680" i="25"/>
  <c r="E694" i="25"/>
  <c r="E625" i="25"/>
  <c r="E638" i="25"/>
  <c r="E676" i="25"/>
  <c r="E699" i="25"/>
  <c r="E687" i="25"/>
  <c r="E691" i="25"/>
  <c r="E703" i="25"/>
  <c r="E696" i="25"/>
  <c r="E708" i="25"/>
  <c r="E632" i="25"/>
  <c r="E640" i="25"/>
  <c r="E692" i="25"/>
  <c r="C138" i="8"/>
  <c r="D417" i="24"/>
  <c r="C685" i="24" l="1"/>
  <c r="F85" i="34"/>
  <c r="C32" i="15"/>
  <c r="G32" i="15" s="1"/>
  <c r="C70" i="15"/>
  <c r="G70" i="15" s="1"/>
  <c r="C629" i="24"/>
  <c r="I245" i="34"/>
  <c r="F149" i="34"/>
  <c r="C46" i="15"/>
  <c r="C699" i="24"/>
  <c r="C79" i="15"/>
  <c r="G79" i="15" s="1"/>
  <c r="D309" i="34"/>
  <c r="C627" i="24"/>
  <c r="F181" i="34"/>
  <c r="C53" i="15"/>
  <c r="G53" i="15" s="1"/>
  <c r="C706" i="24"/>
  <c r="F245" i="34"/>
  <c r="C67" i="15"/>
  <c r="G67" i="15" s="1"/>
  <c r="C633" i="24"/>
  <c r="C309" i="34"/>
  <c r="C78" i="15"/>
  <c r="G78" i="15" s="1"/>
  <c r="C619" i="24"/>
  <c r="C35" i="15"/>
  <c r="G35" i="15" s="1"/>
  <c r="C688" i="24"/>
  <c r="I85" i="34"/>
  <c r="F277" i="34"/>
  <c r="C74" i="15"/>
  <c r="G74" i="15" s="1"/>
  <c r="C617" i="24"/>
  <c r="C341" i="34"/>
  <c r="C641" i="24"/>
  <c r="C85" i="15"/>
  <c r="G85" i="15" s="1"/>
  <c r="C36" i="15"/>
  <c r="G36" i="15" s="1"/>
  <c r="C689" i="24"/>
  <c r="C117" i="34"/>
  <c r="F117" i="34"/>
  <c r="C39" i="15"/>
  <c r="C692" i="24"/>
  <c r="I277" i="34"/>
  <c r="C77" i="15"/>
  <c r="G77" i="15" s="1"/>
  <c r="C638" i="24"/>
  <c r="E309" i="34"/>
  <c r="C80" i="15"/>
  <c r="G80" i="15" s="1"/>
  <c r="C621" i="24"/>
  <c r="C91" i="15"/>
  <c r="G91" i="15" s="1"/>
  <c r="C647" i="24"/>
  <c r="I341" i="34"/>
  <c r="C695" i="24"/>
  <c r="C42" i="15"/>
  <c r="G42" i="15" s="1"/>
  <c r="I117" i="34"/>
  <c r="H117" i="34"/>
  <c r="C694" i="24"/>
  <c r="C41" i="15"/>
  <c r="G53" i="34"/>
  <c r="C679" i="24"/>
  <c r="C26" i="15"/>
  <c r="G26" i="15" s="1"/>
  <c r="C625" i="24"/>
  <c r="I213" i="34"/>
  <c r="C63" i="15"/>
  <c r="G117" i="34"/>
  <c r="C40" i="15"/>
  <c r="G40" i="15" s="1"/>
  <c r="C693" i="24"/>
  <c r="D181" i="34"/>
  <c r="C51" i="15"/>
  <c r="G51" i="15" s="1"/>
  <c r="C704" i="24"/>
  <c r="E277" i="34"/>
  <c r="C73" i="15"/>
  <c r="G73" i="15" s="1"/>
  <c r="C634" i="24"/>
  <c r="C149" i="34"/>
  <c r="C43" i="15"/>
  <c r="C696" i="24"/>
  <c r="G181" i="34"/>
  <c r="C54" i="15"/>
  <c r="G54" i="15" s="1"/>
  <c r="C707" i="24"/>
  <c r="C84" i="15"/>
  <c r="G84" i="15" s="1"/>
  <c r="C640" i="24"/>
  <c r="I309" i="34"/>
  <c r="C181" i="34"/>
  <c r="C50" i="15"/>
  <c r="G50" i="15" s="1"/>
  <c r="C703" i="24"/>
  <c r="G21" i="34"/>
  <c r="C19" i="15"/>
  <c r="G19" i="15" s="1"/>
  <c r="C672" i="24"/>
  <c r="C30" i="15"/>
  <c r="C683" i="24"/>
  <c r="D85" i="34"/>
  <c r="C75" i="15"/>
  <c r="G75" i="15" s="1"/>
  <c r="G277" i="34"/>
  <c r="C635" i="24"/>
  <c r="C82" i="15"/>
  <c r="G82" i="15" s="1"/>
  <c r="G309" i="34"/>
  <c r="C626" i="24"/>
  <c r="F309" i="34"/>
  <c r="C81" i="15"/>
  <c r="G81" i="15" s="1"/>
  <c r="C623" i="24"/>
  <c r="C49" i="15"/>
  <c r="G49" i="15" s="1"/>
  <c r="I149" i="34"/>
  <c r="C702" i="24"/>
  <c r="CE67" i="24"/>
  <c r="I369" i="34" s="1"/>
  <c r="C85" i="24"/>
  <c r="M2" i="31"/>
  <c r="C17" i="34"/>
  <c r="C86" i="15"/>
  <c r="G86" i="15" s="1"/>
  <c r="C642" i="24"/>
  <c r="D341" i="34"/>
  <c r="C690" i="24"/>
  <c r="D117" i="34"/>
  <c r="C37" i="15"/>
  <c r="G149" i="34"/>
  <c r="C47" i="15"/>
  <c r="C700" i="24"/>
  <c r="D213" i="34"/>
  <c r="C58" i="15"/>
  <c r="G58" i="15" s="1"/>
  <c r="C711" i="24"/>
  <c r="C21" i="15"/>
  <c r="G21" i="15" s="1"/>
  <c r="C674" i="24"/>
  <c r="I21" i="34"/>
  <c r="H213" i="34"/>
  <c r="C616" i="24"/>
  <c r="C62" i="15"/>
  <c r="C373" i="34"/>
  <c r="C92" i="15"/>
  <c r="G92" i="15" s="1"/>
  <c r="C622" i="24"/>
  <c r="C673" i="24"/>
  <c r="H21" i="34"/>
  <c r="C20" i="15"/>
  <c r="G20" i="15" s="1"/>
  <c r="C643" i="24"/>
  <c r="C87" i="15"/>
  <c r="G87" i="15" s="1"/>
  <c r="E341" i="34"/>
  <c r="G245" i="34"/>
  <c r="C68" i="15"/>
  <c r="G68" i="15" s="1"/>
  <c r="C624" i="24"/>
  <c r="I181" i="34"/>
  <c r="C56" i="15"/>
  <c r="G56" i="15" s="1"/>
  <c r="C709" i="24"/>
  <c r="E149" i="34"/>
  <c r="C698" i="24"/>
  <c r="C45" i="15"/>
  <c r="H341" i="34"/>
  <c r="C90" i="15"/>
  <c r="G90" i="15" s="1"/>
  <c r="C646" i="24"/>
  <c r="C33" i="15"/>
  <c r="G85" i="34"/>
  <c r="C686" i="24"/>
  <c r="D373" i="34"/>
  <c r="C93" i="15"/>
  <c r="G93" i="15" s="1"/>
  <c r="C620" i="24"/>
  <c r="E213" i="34"/>
  <c r="C59" i="15"/>
  <c r="C712" i="24"/>
  <c r="F341" i="34"/>
  <c r="C88" i="15"/>
  <c r="G88" i="15" s="1"/>
  <c r="C644" i="24"/>
  <c r="D21" i="34"/>
  <c r="C16" i="15"/>
  <c r="G16" i="15" s="1"/>
  <c r="C669" i="24"/>
  <c r="C213" i="34"/>
  <c r="C710" i="24"/>
  <c r="C57" i="15"/>
  <c r="G57" i="15" s="1"/>
  <c r="D53" i="34"/>
  <c r="C23" i="15"/>
  <c r="C676" i="24"/>
  <c r="G213" i="34"/>
  <c r="C61" i="15"/>
  <c r="C631" i="24"/>
  <c r="C27" i="15"/>
  <c r="H53" i="34"/>
  <c r="C680" i="24"/>
  <c r="E181" i="34"/>
  <c r="C52" i="15"/>
  <c r="G52" i="15" s="1"/>
  <c r="C705" i="24"/>
  <c r="C645" i="24"/>
  <c r="G341" i="34"/>
  <c r="C89" i="15"/>
  <c r="G89" i="15" s="1"/>
  <c r="E21" i="34"/>
  <c r="C17" i="15"/>
  <c r="C670" i="24"/>
  <c r="C24" i="15"/>
  <c r="C677" i="24"/>
  <c r="E53" i="34"/>
  <c r="C28" i="15"/>
  <c r="I53" i="34"/>
  <c r="C681" i="24"/>
  <c r="D245" i="34"/>
  <c r="C630" i="24"/>
  <c r="C65" i="15"/>
  <c r="C69" i="15"/>
  <c r="H245" i="34"/>
  <c r="C614" i="24"/>
  <c r="C245" i="34"/>
  <c r="C64" i="15"/>
  <c r="C628" i="24"/>
  <c r="H85" i="34"/>
  <c r="C34" i="15"/>
  <c r="C687" i="24"/>
  <c r="C618" i="24"/>
  <c r="C71" i="15"/>
  <c r="G71" i="15" s="1"/>
  <c r="C277" i="34"/>
  <c r="C713" i="24"/>
  <c r="F213" i="34"/>
  <c r="C60" i="15"/>
  <c r="C48" i="15"/>
  <c r="C701" i="24"/>
  <c r="H149" i="34"/>
  <c r="C53" i="34"/>
  <c r="C22" i="15"/>
  <c r="C675" i="24"/>
  <c r="C671" i="24"/>
  <c r="F21" i="34"/>
  <c r="C18" i="15"/>
  <c r="G18" i="15" s="1"/>
  <c r="C44" i="15"/>
  <c r="G44" i="15" s="1"/>
  <c r="D149" i="34"/>
  <c r="C697" i="24"/>
  <c r="C25" i="15"/>
  <c r="G25" i="15" s="1"/>
  <c r="F53" i="34"/>
  <c r="C678" i="24"/>
  <c r="H181" i="34"/>
  <c r="C708" i="24"/>
  <c r="C55" i="15"/>
  <c r="G55" i="15" s="1"/>
  <c r="C29" i="15"/>
  <c r="C85" i="34"/>
  <c r="C682" i="24"/>
  <c r="E245" i="34"/>
  <c r="C66" i="15"/>
  <c r="G66" i="15" s="1"/>
  <c r="C632" i="24"/>
  <c r="C31" i="15"/>
  <c r="G31" i="15" s="1"/>
  <c r="E85" i="34"/>
  <c r="C684" i="24"/>
  <c r="C72" i="15"/>
  <c r="G72" i="15" s="1"/>
  <c r="C636" i="24"/>
  <c r="D277" i="34"/>
  <c r="C76" i="15"/>
  <c r="G76" i="15" s="1"/>
  <c r="C637" i="24"/>
  <c r="H277" i="34"/>
  <c r="E117" i="34"/>
  <c r="C38" i="15"/>
  <c r="G38" i="15" s="1"/>
  <c r="C691" i="24"/>
  <c r="H309" i="34"/>
  <c r="C83" i="15"/>
  <c r="G83" i="15" s="1"/>
  <c r="C639" i="24"/>
  <c r="E716" i="25"/>
  <c r="F625" i="25"/>
  <c r="C168" i="8"/>
  <c r="D421" i="24"/>
  <c r="G23" i="15" l="1"/>
  <c r="H23" i="15" s="1"/>
  <c r="I23" i="15" s="1"/>
  <c r="G48" i="15"/>
  <c r="H48" i="15" s="1"/>
  <c r="I48" i="15" s="1"/>
  <c r="H34" i="15"/>
  <c r="I34" i="15" s="1"/>
  <c r="G34" i="15"/>
  <c r="G65" i="15"/>
  <c r="H65" i="15"/>
  <c r="I65" i="15" s="1"/>
  <c r="G24" i="15"/>
  <c r="H24" i="15" s="1"/>
  <c r="I24" i="15" s="1"/>
  <c r="G45" i="15"/>
  <c r="H45" i="15" s="1"/>
  <c r="I45" i="15" s="1"/>
  <c r="G46" i="15"/>
  <c r="H46" i="15" s="1"/>
  <c r="I46" i="15" s="1"/>
  <c r="G17" i="15"/>
  <c r="H17" i="15" s="1"/>
  <c r="I17" i="15" s="1"/>
  <c r="G64" i="15"/>
  <c r="H64" i="15"/>
  <c r="I64" i="15" s="1"/>
  <c r="G22" i="15"/>
  <c r="H22" i="15" s="1"/>
  <c r="I22" i="15" s="1"/>
  <c r="G27" i="15"/>
  <c r="H27" i="15" s="1"/>
  <c r="I27" i="15" s="1"/>
  <c r="G33" i="15"/>
  <c r="H33" i="15" s="1"/>
  <c r="I33" i="15" s="1"/>
  <c r="G47" i="15"/>
  <c r="H47" i="15"/>
  <c r="I47" i="15" s="1"/>
  <c r="G43" i="15"/>
  <c r="H43" i="15" s="1"/>
  <c r="I43" i="15" s="1"/>
  <c r="G59" i="15"/>
  <c r="H59" i="15"/>
  <c r="I59" i="15" s="1"/>
  <c r="G41" i="15"/>
  <c r="H41" i="15" s="1"/>
  <c r="I41" i="15" s="1"/>
  <c r="G39" i="15"/>
  <c r="H39" i="15" s="1"/>
  <c r="I39" i="15" s="1"/>
  <c r="D615" i="24"/>
  <c r="C648" i="24"/>
  <c r="M716" i="24" s="1"/>
  <c r="H28" i="15"/>
  <c r="I28" i="15" s="1"/>
  <c r="G28" i="15"/>
  <c r="G29" i="15"/>
  <c r="H29" i="15"/>
  <c r="I29" i="15" s="1"/>
  <c r="G37" i="15"/>
  <c r="H37" i="15"/>
  <c r="I37" i="15" s="1"/>
  <c r="C15" i="15"/>
  <c r="G15" i="15" s="1"/>
  <c r="CE85" i="24"/>
  <c r="C668" i="24"/>
  <c r="C715" i="24" s="1"/>
  <c r="C21" i="34"/>
  <c r="H30" i="15"/>
  <c r="I30" i="15" s="1"/>
  <c r="G30" i="15"/>
  <c r="G69" i="15"/>
  <c r="H69" i="15"/>
  <c r="I69" i="15" s="1"/>
  <c r="G63" i="15"/>
  <c r="H63" i="15" s="1"/>
  <c r="I63" i="15" s="1"/>
  <c r="F710" i="25"/>
  <c r="F702" i="25"/>
  <c r="F707" i="25"/>
  <c r="F699" i="25"/>
  <c r="F712" i="25"/>
  <c r="F704" i="25"/>
  <c r="F709" i="25"/>
  <c r="F701" i="25"/>
  <c r="F711" i="25"/>
  <c r="F703" i="25"/>
  <c r="F698" i="25"/>
  <c r="F695" i="25"/>
  <c r="F687" i="25"/>
  <c r="F679" i="25"/>
  <c r="F671" i="25"/>
  <c r="F648" i="25"/>
  <c r="F647" i="25"/>
  <c r="F646" i="25"/>
  <c r="F697" i="25"/>
  <c r="F689" i="25"/>
  <c r="F681" i="25"/>
  <c r="F673" i="25"/>
  <c r="F717" i="25"/>
  <c r="F708" i="25"/>
  <c r="F700" i="25"/>
  <c r="F694" i="25"/>
  <c r="F686" i="25"/>
  <c r="F678" i="25"/>
  <c r="F670" i="25"/>
  <c r="F628" i="25"/>
  <c r="F691" i="25"/>
  <c r="F683" i="25"/>
  <c r="F675" i="25"/>
  <c r="F692" i="25"/>
  <c r="F684" i="25"/>
  <c r="F676" i="25"/>
  <c r="F640" i="25"/>
  <c r="F629" i="25"/>
  <c r="F643" i="25"/>
  <c r="F635" i="25"/>
  <c r="F632" i="25"/>
  <c r="F705" i="25"/>
  <c r="F693" i="25"/>
  <c r="F685" i="25"/>
  <c r="F677" i="25"/>
  <c r="F669" i="25"/>
  <c r="F638" i="25"/>
  <c r="F626" i="25"/>
  <c r="F714" i="25"/>
  <c r="F641" i="25"/>
  <c r="F633" i="25"/>
  <c r="F713" i="25"/>
  <c r="F642" i="25"/>
  <c r="F634" i="25"/>
  <c r="F706" i="25"/>
  <c r="F688" i="25"/>
  <c r="F690" i="25"/>
  <c r="F680" i="25"/>
  <c r="F644" i="25"/>
  <c r="F682" i="25"/>
  <c r="F672" i="25"/>
  <c r="F631" i="25"/>
  <c r="F674" i="25"/>
  <c r="F637" i="25"/>
  <c r="F627" i="25"/>
  <c r="F630" i="25"/>
  <c r="F636" i="25"/>
  <c r="F639" i="25"/>
  <c r="F696" i="25"/>
  <c r="F645" i="25"/>
  <c r="C172" i="8"/>
  <c r="D424" i="24"/>
  <c r="C177" i="8" s="1"/>
  <c r="C716" i="24" l="1"/>
  <c r="I373" i="34"/>
  <c r="D694" i="24"/>
  <c r="D707" i="24"/>
  <c r="D629" i="24"/>
  <c r="D679" i="24"/>
  <c r="D640" i="24"/>
  <c r="D686" i="24"/>
  <c r="D623" i="24"/>
  <c r="D643" i="24"/>
  <c r="D668" i="24"/>
  <c r="D635" i="24"/>
  <c r="D670" i="24"/>
  <c r="D624" i="24"/>
  <c r="D617" i="24"/>
  <c r="D703" i="24"/>
  <c r="D680" i="24"/>
  <c r="D716" i="24"/>
  <c r="D638" i="24"/>
  <c r="D628" i="24"/>
  <c r="D631" i="24"/>
  <c r="D646" i="24"/>
  <c r="D641" i="24"/>
  <c r="D681" i="24"/>
  <c r="D711" i="24"/>
  <c r="D712" i="24"/>
  <c r="D630" i="24"/>
  <c r="D682" i="24"/>
  <c r="D710" i="24"/>
  <c r="D695" i="24"/>
  <c r="D690" i="24"/>
  <c r="D685" i="24"/>
  <c r="D634" i="24"/>
  <c r="D701" i="24"/>
  <c r="D616" i="24"/>
  <c r="D683" i="24"/>
  <c r="D669" i="24"/>
  <c r="D713" i="24"/>
  <c r="D699" i="24"/>
  <c r="D698" i="24"/>
  <c r="D708" i="24"/>
  <c r="D618" i="24"/>
  <c r="D700" i="24"/>
  <c r="D626" i="24"/>
  <c r="D689" i="24"/>
  <c r="D684" i="24"/>
  <c r="D620" i="24"/>
  <c r="D705" i="24"/>
  <c r="D691" i="24"/>
  <c r="D696" i="24"/>
  <c r="D697" i="24"/>
  <c r="D645" i="24"/>
  <c r="D692" i="24"/>
  <c r="D621" i="24"/>
  <c r="D687" i="24"/>
  <c r="D642" i="24"/>
  <c r="D702" i="24"/>
  <c r="D706" i="24"/>
  <c r="D671" i="24"/>
  <c r="D693" i="24"/>
  <c r="D644" i="24"/>
  <c r="D688" i="24"/>
  <c r="D636" i="24"/>
  <c r="D678" i="24"/>
  <c r="D637" i="24"/>
  <c r="D627" i="24"/>
  <c r="D674" i="24"/>
  <c r="D625" i="24"/>
  <c r="D676" i="24"/>
  <c r="D639" i="24"/>
  <c r="D673" i="24"/>
  <c r="D632" i="24"/>
  <c r="D647" i="24"/>
  <c r="D633" i="24"/>
  <c r="D704" i="24"/>
  <c r="D619" i="24"/>
  <c r="D709" i="24"/>
  <c r="D677" i="24"/>
  <c r="D622" i="24"/>
  <c r="D672" i="24"/>
  <c r="D675" i="24"/>
  <c r="F716" i="25"/>
  <c r="G626" i="25"/>
  <c r="E612" i="24" l="1"/>
  <c r="D715" i="24"/>
  <c r="E623" i="24"/>
  <c r="G707" i="25"/>
  <c r="G699" i="25"/>
  <c r="G712" i="25"/>
  <c r="G704" i="25"/>
  <c r="G709" i="25"/>
  <c r="G701" i="25"/>
  <c r="G714" i="25"/>
  <c r="G706" i="25"/>
  <c r="G698" i="25"/>
  <c r="G692" i="25"/>
  <c r="G68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717" i="25"/>
  <c r="G708" i="25"/>
  <c r="G700" i="25"/>
  <c r="G694" i="25"/>
  <c r="G686" i="25"/>
  <c r="G678" i="25"/>
  <c r="G670" i="25"/>
  <c r="G628" i="25"/>
  <c r="G691" i="25"/>
  <c r="G683" i="25"/>
  <c r="G675" i="25"/>
  <c r="G713" i="25"/>
  <c r="G705" i="25"/>
  <c r="G696" i="25"/>
  <c r="G688" i="25"/>
  <c r="G680" i="25"/>
  <c r="G672" i="25"/>
  <c r="G632" i="25"/>
  <c r="G703" i="25"/>
  <c r="G693" i="25"/>
  <c r="G685" i="25"/>
  <c r="G677" i="25"/>
  <c r="G669" i="25"/>
  <c r="G646" i="25"/>
  <c r="G710" i="25"/>
  <c r="G697" i="25"/>
  <c r="G689" i="25"/>
  <c r="G681" i="25"/>
  <c r="G673" i="25"/>
  <c r="G690" i="25"/>
  <c r="G682" i="25"/>
  <c r="G674" i="25"/>
  <c r="G630" i="25"/>
  <c r="G702" i="25"/>
  <c r="G695" i="25"/>
  <c r="G687" i="25"/>
  <c r="G679" i="25"/>
  <c r="G671" i="25"/>
  <c r="G631" i="25"/>
  <c r="G627" i="25"/>
  <c r="G647" i="25"/>
  <c r="G711" i="25"/>
  <c r="G648" i="25"/>
  <c r="G629" i="25"/>
  <c r="H629" i="25" s="1"/>
  <c r="E704" i="24" l="1"/>
  <c r="E625" i="24"/>
  <c r="E672" i="24"/>
  <c r="E642" i="24"/>
  <c r="E689" i="24"/>
  <c r="E629" i="24"/>
  <c r="E632" i="24"/>
  <c r="E630" i="24"/>
  <c r="E641" i="24"/>
  <c r="E674" i="24"/>
  <c r="E710" i="24"/>
  <c r="E696" i="24"/>
  <c r="E708" i="24"/>
  <c r="E705" i="24"/>
  <c r="E639" i="24"/>
  <c r="E687" i="24"/>
  <c r="E626" i="24"/>
  <c r="E681" i="24"/>
  <c r="E702" i="24"/>
  <c r="E640" i="24"/>
  <c r="E716" i="24"/>
  <c r="E688" i="24"/>
  <c r="E697" i="24"/>
  <c r="E700" i="24"/>
  <c r="E636" i="24"/>
  <c r="E685" i="24"/>
  <c r="E686" i="24"/>
  <c r="E706" i="24"/>
  <c r="E713" i="24"/>
  <c r="E647" i="24"/>
  <c r="E627" i="24"/>
  <c r="E707" i="24"/>
  <c r="E711" i="24"/>
  <c r="E695" i="24"/>
  <c r="E694" i="24"/>
  <c r="E633" i="24"/>
  <c r="E678" i="24"/>
  <c r="E675" i="24"/>
  <c r="E682" i="24"/>
  <c r="E680" i="24"/>
  <c r="E692" i="24"/>
  <c r="E643" i="24"/>
  <c r="E677" i="24"/>
  <c r="E698" i="24"/>
  <c r="E690" i="24"/>
  <c r="E637" i="24"/>
  <c r="E699" i="24"/>
  <c r="E703" i="24"/>
  <c r="E693" i="24"/>
  <c r="E631" i="24"/>
  <c r="E670" i="24"/>
  <c r="E644" i="24"/>
  <c r="E691" i="24"/>
  <c r="E624" i="24"/>
  <c r="E634" i="24"/>
  <c r="E676" i="24"/>
  <c r="E669" i="24"/>
  <c r="E683" i="24"/>
  <c r="E679" i="24"/>
  <c r="E668" i="24"/>
  <c r="E673" i="24"/>
  <c r="E709" i="24"/>
  <c r="E646" i="24"/>
  <c r="E638" i="24"/>
  <c r="E712" i="24"/>
  <c r="E671" i="24"/>
  <c r="E628" i="24"/>
  <c r="E684" i="24"/>
  <c r="E701" i="24"/>
  <c r="E645" i="24"/>
  <c r="E635" i="24"/>
  <c r="H712" i="25"/>
  <c r="H704" i="25"/>
  <c r="H709" i="25"/>
  <c r="H701" i="25"/>
  <c r="H714" i="25"/>
  <c r="H706" i="25"/>
  <c r="H711" i="25"/>
  <c r="H703" i="25"/>
  <c r="H697" i="25"/>
  <c r="H689" i="25"/>
  <c r="H681" i="25"/>
  <c r="H673" i="25"/>
  <c r="H691" i="25"/>
  <c r="H683" i="25"/>
  <c r="H675" i="25"/>
  <c r="H713" i="25"/>
  <c r="H705" i="25"/>
  <c r="H696" i="25"/>
  <c r="H688" i="25"/>
  <c r="H680" i="25"/>
  <c r="H672" i="25"/>
  <c r="H693" i="25"/>
  <c r="H685" i="25"/>
  <c r="H677" i="25"/>
  <c r="H669" i="25"/>
  <c r="H708" i="25"/>
  <c r="H699" i="25"/>
  <c r="H646" i="25"/>
  <c r="H643" i="25"/>
  <c r="H635" i="25"/>
  <c r="H710" i="25"/>
  <c r="H638" i="25"/>
  <c r="H690" i="25"/>
  <c r="H682" i="25"/>
  <c r="H674" i="25"/>
  <c r="H641" i="25"/>
  <c r="H633" i="25"/>
  <c r="H630" i="25"/>
  <c r="H647" i="25"/>
  <c r="H644" i="25"/>
  <c r="H636" i="25"/>
  <c r="H648" i="25"/>
  <c r="H645" i="25"/>
  <c r="H637" i="25"/>
  <c r="H698" i="25"/>
  <c r="H670" i="25"/>
  <c r="H702" i="25"/>
  <c r="H631" i="25"/>
  <c r="H695" i="25"/>
  <c r="H640" i="25"/>
  <c r="H634" i="25"/>
  <c r="H692" i="25"/>
  <c r="H687" i="25"/>
  <c r="H700" i="25"/>
  <c r="H684" i="25"/>
  <c r="H679" i="25"/>
  <c r="H639" i="25"/>
  <c r="H694" i="25"/>
  <c r="H676" i="25"/>
  <c r="H671" i="25"/>
  <c r="H717" i="25"/>
  <c r="H642" i="25"/>
  <c r="H632" i="25"/>
  <c r="H678" i="25"/>
  <c r="H686" i="25"/>
  <c r="H707" i="25"/>
  <c r="G716" i="25"/>
  <c r="F624" i="24" l="1"/>
  <c r="E715" i="24"/>
  <c r="H716" i="25"/>
  <c r="I630" i="25"/>
  <c r="F680" i="24" l="1"/>
  <c r="F671" i="24"/>
  <c r="F698" i="24"/>
  <c r="F643" i="24"/>
  <c r="F647" i="24"/>
  <c r="F668" i="24"/>
  <c r="F672" i="24"/>
  <c r="F625" i="24"/>
  <c r="F712" i="24"/>
  <c r="F684" i="24"/>
  <c r="F631" i="24"/>
  <c r="F641" i="24"/>
  <c r="F708" i="24"/>
  <c r="F682" i="24"/>
  <c r="F634" i="24"/>
  <c r="F683" i="24"/>
  <c r="F703" i="24"/>
  <c r="F692" i="24"/>
  <c r="F637" i="24"/>
  <c r="F673" i="24"/>
  <c r="F694" i="24"/>
  <c r="F687" i="24"/>
  <c r="F691" i="24"/>
  <c r="F642" i="24"/>
  <c r="F636" i="24"/>
  <c r="F632" i="24"/>
  <c r="F678" i="24"/>
  <c r="F713" i="24"/>
  <c r="F710" i="24"/>
  <c r="F674" i="24"/>
  <c r="F676" i="24"/>
  <c r="F693" i="24"/>
  <c r="F695" i="24"/>
  <c r="F626" i="24"/>
  <c r="F644" i="24"/>
  <c r="F640" i="24"/>
  <c r="F686" i="24"/>
  <c r="F627" i="24"/>
  <c r="F702" i="24"/>
  <c r="F677" i="24"/>
  <c r="F633" i="24"/>
  <c r="F706" i="24"/>
  <c r="F701" i="24"/>
  <c r="F707" i="24"/>
  <c r="F689" i="24"/>
  <c r="F645" i="24"/>
  <c r="F628" i="24"/>
  <c r="F635" i="24"/>
  <c r="F629" i="24"/>
  <c r="F669" i="24"/>
  <c r="F646" i="24"/>
  <c r="F690" i="24"/>
  <c r="F711" i="24"/>
  <c r="F699" i="24"/>
  <c r="F681" i="24"/>
  <c r="F630" i="24"/>
  <c r="F705" i="24"/>
  <c r="F709" i="24"/>
  <c r="F688" i="24"/>
  <c r="F716" i="24"/>
  <c r="F700" i="24"/>
  <c r="F675" i="24"/>
  <c r="F670" i="24"/>
  <c r="F638" i="24"/>
  <c r="F639" i="24"/>
  <c r="F704" i="24"/>
  <c r="F679" i="24"/>
  <c r="F696" i="24"/>
  <c r="F685" i="24"/>
  <c r="F697" i="24"/>
  <c r="I709" i="25"/>
  <c r="I701" i="25"/>
  <c r="I714" i="25"/>
  <c r="I706" i="25"/>
  <c r="I711" i="25"/>
  <c r="I703" i="25"/>
  <c r="I717" i="25"/>
  <c r="I708" i="25"/>
  <c r="I700" i="25"/>
  <c r="I707" i="25"/>
  <c r="I699" i="25"/>
  <c r="I694" i="25"/>
  <c r="I686" i="25"/>
  <c r="I678" i="25"/>
  <c r="I670" i="25"/>
  <c r="I713" i="25"/>
  <c r="I712" i="25"/>
  <c r="I705" i="25"/>
  <c r="I704" i="25"/>
  <c r="I696" i="25"/>
  <c r="I688" i="25"/>
  <c r="I680" i="25"/>
  <c r="I672" i="25"/>
  <c r="I693" i="25"/>
  <c r="I685" i="25"/>
  <c r="I677" i="25"/>
  <c r="I669" i="25"/>
  <c r="I690" i="25"/>
  <c r="I682" i="25"/>
  <c r="I674" i="25"/>
  <c r="I710" i="25"/>
  <c r="I638" i="25"/>
  <c r="I697" i="25"/>
  <c r="I689" i="25"/>
  <c r="I681" i="25"/>
  <c r="I673" i="25"/>
  <c r="I641" i="25"/>
  <c r="I633" i="25"/>
  <c r="I647" i="25"/>
  <c r="I644" i="25"/>
  <c r="I636" i="25"/>
  <c r="I698" i="25"/>
  <c r="I639" i="25"/>
  <c r="I692" i="25"/>
  <c r="I684" i="25"/>
  <c r="I676" i="25"/>
  <c r="I640" i="25"/>
  <c r="I632" i="25"/>
  <c r="I702" i="25"/>
  <c r="I675" i="25"/>
  <c r="I631" i="25"/>
  <c r="I695" i="25"/>
  <c r="I634" i="25"/>
  <c r="I687" i="25"/>
  <c r="I637" i="25"/>
  <c r="I679" i="25"/>
  <c r="I646" i="25"/>
  <c r="I643" i="25"/>
  <c r="I671" i="25"/>
  <c r="I642" i="25"/>
  <c r="I691" i="25"/>
  <c r="I648" i="25"/>
  <c r="I683" i="25"/>
  <c r="I635" i="25"/>
  <c r="I645" i="25"/>
  <c r="G625" i="24" l="1"/>
  <c r="F715" i="24"/>
  <c r="I716" i="25"/>
  <c r="J631" i="25"/>
  <c r="G694" i="24" l="1"/>
  <c r="G629" i="24"/>
  <c r="G636" i="24"/>
  <c r="G626" i="24"/>
  <c r="G713" i="24"/>
  <c r="G631" i="24"/>
  <c r="G716" i="24"/>
  <c r="G627" i="24"/>
  <c r="G708" i="24"/>
  <c r="G699" i="24"/>
  <c r="G684" i="24"/>
  <c r="G673" i="24"/>
  <c r="G638" i="24"/>
  <c r="G642" i="24"/>
  <c r="G647" i="24"/>
  <c r="G695" i="24"/>
  <c r="G682" i="24"/>
  <c r="G712" i="24"/>
  <c r="G689" i="24"/>
  <c r="G697" i="24"/>
  <c r="G707" i="24"/>
  <c r="G640" i="24"/>
  <c r="G671" i="24"/>
  <c r="G674" i="24"/>
  <c r="G645" i="24"/>
  <c r="G676" i="24"/>
  <c r="G710" i="24"/>
  <c r="G646" i="24"/>
  <c r="G706" i="24"/>
  <c r="G680" i="24"/>
  <c r="G709" i="24"/>
  <c r="G633" i="24"/>
  <c r="G677" i="24"/>
  <c r="G630" i="24"/>
  <c r="G637" i="24"/>
  <c r="G700" i="24"/>
  <c r="G691" i="24"/>
  <c r="G643" i="24"/>
  <c r="G679" i="24"/>
  <c r="G692" i="24"/>
  <c r="G704" i="24"/>
  <c r="G683" i="24"/>
  <c r="G634" i="24"/>
  <c r="G701" i="24"/>
  <c r="G688" i="24"/>
  <c r="G711" i="24"/>
  <c r="G690" i="24"/>
  <c r="G693" i="24"/>
  <c r="G685" i="24"/>
  <c r="G703" i="24"/>
  <c r="G641" i="24"/>
  <c r="G639" i="24"/>
  <c r="G698" i="24"/>
  <c r="G702" i="24"/>
  <c r="G628" i="24"/>
  <c r="G686" i="24"/>
  <c r="G670" i="24"/>
  <c r="G687" i="24"/>
  <c r="G669" i="24"/>
  <c r="G705" i="24"/>
  <c r="G672" i="24"/>
  <c r="G681" i="24"/>
  <c r="G696" i="24"/>
  <c r="G632" i="24"/>
  <c r="G644" i="24"/>
  <c r="G675" i="24"/>
  <c r="G635" i="24"/>
  <c r="G678" i="24"/>
  <c r="G668" i="24"/>
  <c r="J714" i="25"/>
  <c r="J706" i="25"/>
  <c r="J698" i="25"/>
  <c r="J711" i="25"/>
  <c r="J703" i="25"/>
  <c r="J717" i="25"/>
  <c r="J708" i="25"/>
  <c r="J700" i="25"/>
  <c r="J713" i="25"/>
  <c r="J705" i="25"/>
  <c r="J691" i="25"/>
  <c r="J683" i="25"/>
  <c r="J675" i="25"/>
  <c r="J693" i="25"/>
  <c r="J685" i="25"/>
  <c r="J677" i="25"/>
  <c r="J669" i="25"/>
  <c r="J690" i="25"/>
  <c r="J682" i="25"/>
  <c r="J674" i="25"/>
  <c r="J710" i="25"/>
  <c r="J709" i="25"/>
  <c r="J702" i="25"/>
  <c r="J701" i="25"/>
  <c r="J695" i="25"/>
  <c r="J687" i="25"/>
  <c r="J679" i="25"/>
  <c r="J671" i="25"/>
  <c r="J648" i="25"/>
  <c r="J647" i="25"/>
  <c r="J646" i="25"/>
  <c r="J697" i="25"/>
  <c r="J689" i="25"/>
  <c r="J681" i="25"/>
  <c r="J673" i="25"/>
  <c r="J641" i="25"/>
  <c r="J633" i="25"/>
  <c r="J712" i="25"/>
  <c r="J644" i="25"/>
  <c r="J636" i="25"/>
  <c r="J639" i="25"/>
  <c r="J707" i="25"/>
  <c r="J694" i="25"/>
  <c r="J686" i="25"/>
  <c r="J678" i="25"/>
  <c r="J670" i="25"/>
  <c r="J642" i="25"/>
  <c r="J634" i="25"/>
  <c r="J696" i="25"/>
  <c r="J688" i="25"/>
  <c r="J680" i="25"/>
  <c r="J672" i="25"/>
  <c r="J643" i="25"/>
  <c r="J635" i="25"/>
  <c r="J640" i="25"/>
  <c r="J637" i="25"/>
  <c r="J692" i="25"/>
  <c r="J684" i="25"/>
  <c r="J704" i="25"/>
  <c r="J676" i="25"/>
  <c r="J638" i="25"/>
  <c r="J632" i="25"/>
  <c r="J645" i="25"/>
  <c r="J699" i="25"/>
  <c r="H628" i="24" l="1"/>
  <c r="G715" i="24"/>
  <c r="J716" i="25"/>
  <c r="L648" i="25"/>
  <c r="K645" i="25"/>
  <c r="H644" i="24" l="1"/>
  <c r="H708" i="24"/>
  <c r="H674" i="24"/>
  <c r="H693" i="24"/>
  <c r="H703" i="24"/>
  <c r="H695" i="24"/>
  <c r="H713" i="24"/>
  <c r="H675" i="24"/>
  <c r="H684" i="24"/>
  <c r="H635" i="24"/>
  <c r="H680" i="24"/>
  <c r="H690" i="24"/>
  <c r="H699" i="24"/>
  <c r="H687" i="24"/>
  <c r="H691" i="24"/>
  <c r="H642" i="24"/>
  <c r="H643" i="24"/>
  <c r="H678" i="24"/>
  <c r="H631" i="24"/>
  <c r="H672" i="24"/>
  <c r="H705" i="24"/>
  <c r="H709" i="24"/>
  <c r="H670" i="24"/>
  <c r="H716" i="24"/>
  <c r="H702" i="24"/>
  <c r="H676" i="24"/>
  <c r="H671" i="24"/>
  <c r="H681" i="24"/>
  <c r="H686" i="24"/>
  <c r="H688" i="24"/>
  <c r="H683" i="24"/>
  <c r="H633" i="24"/>
  <c r="H638" i="24"/>
  <c r="H697" i="24"/>
  <c r="H696" i="24"/>
  <c r="H677" i="24"/>
  <c r="H711" i="24"/>
  <c r="H630" i="24"/>
  <c r="H698" i="24"/>
  <c r="H632" i="24"/>
  <c r="H646" i="24"/>
  <c r="H679" i="24"/>
  <c r="H669" i="24"/>
  <c r="H685" i="24"/>
  <c r="H668" i="24"/>
  <c r="H629" i="24"/>
  <c r="H704" i="24"/>
  <c r="H639" i="24"/>
  <c r="H712" i="24"/>
  <c r="H640" i="24"/>
  <c r="H689" i="24"/>
  <c r="H692" i="24"/>
  <c r="H710" i="24"/>
  <c r="H645" i="24"/>
  <c r="H647" i="24"/>
  <c r="H701" i="24"/>
  <c r="H706" i="24"/>
  <c r="H694" i="24"/>
  <c r="H700" i="24"/>
  <c r="H637" i="24"/>
  <c r="H636" i="24"/>
  <c r="H707" i="24"/>
  <c r="H673" i="24"/>
  <c r="H682" i="24"/>
  <c r="H634" i="24"/>
  <c r="H641" i="24"/>
  <c r="K711" i="25"/>
  <c r="K703" i="25"/>
  <c r="K717" i="25"/>
  <c r="K708" i="25"/>
  <c r="K700" i="25"/>
  <c r="K713" i="25"/>
  <c r="K705" i="25"/>
  <c r="K710" i="25"/>
  <c r="K702" i="25"/>
  <c r="K712" i="25"/>
  <c r="K704" i="25"/>
  <c r="K696" i="25"/>
  <c r="K688" i="25"/>
  <c r="K680" i="25"/>
  <c r="K672" i="25"/>
  <c r="K690" i="25"/>
  <c r="K682" i="25"/>
  <c r="K674" i="25"/>
  <c r="K709" i="25"/>
  <c r="K701" i="25"/>
  <c r="K695" i="25"/>
  <c r="K687" i="25"/>
  <c r="K679" i="25"/>
  <c r="K671" i="25"/>
  <c r="K692" i="25"/>
  <c r="K684" i="25"/>
  <c r="K676" i="25"/>
  <c r="K693" i="25"/>
  <c r="K685" i="25"/>
  <c r="K677" i="25"/>
  <c r="K669" i="25"/>
  <c r="K714" i="25"/>
  <c r="K707" i="25"/>
  <c r="K698" i="25"/>
  <c r="K694" i="25"/>
  <c r="K686" i="25"/>
  <c r="K678" i="25"/>
  <c r="K670" i="25"/>
  <c r="K706" i="25"/>
  <c r="K699" i="25"/>
  <c r="K697" i="25"/>
  <c r="K689" i="25"/>
  <c r="K681" i="25"/>
  <c r="K675" i="25"/>
  <c r="K673" i="25"/>
  <c r="K691" i="25"/>
  <c r="K683" i="25"/>
  <c r="L717" i="25"/>
  <c r="L708" i="25"/>
  <c r="L700" i="25"/>
  <c r="M700" i="25" s="1"/>
  <c r="L713" i="25"/>
  <c r="M713" i="25" s="1"/>
  <c r="L705" i="25"/>
  <c r="M705" i="25" s="1"/>
  <c r="L710" i="25"/>
  <c r="L702" i="25"/>
  <c r="M702" i="25" s="1"/>
  <c r="L707" i="25"/>
  <c r="M707" i="25" s="1"/>
  <c r="L699" i="25"/>
  <c r="M699" i="25" s="1"/>
  <c r="L693" i="25"/>
  <c r="L685" i="25"/>
  <c r="M685" i="25" s="1"/>
  <c r="L677" i="25"/>
  <c r="M677" i="25" s="1"/>
  <c r="L669" i="25"/>
  <c r="L709" i="25"/>
  <c r="M709" i="25" s="1"/>
  <c r="L701" i="25"/>
  <c r="L695" i="25"/>
  <c r="M695" i="25" s="1"/>
  <c r="L687" i="25"/>
  <c r="M687" i="25" s="1"/>
  <c r="L679" i="25"/>
  <c r="L671" i="25"/>
  <c r="L692" i="25"/>
  <c r="M692" i="25" s="1"/>
  <c r="L684" i="25"/>
  <c r="M684" i="25" s="1"/>
  <c r="L676" i="25"/>
  <c r="M676" i="25" s="1"/>
  <c r="L714" i="25"/>
  <c r="L706" i="25"/>
  <c r="M706" i="25" s="1"/>
  <c r="L698" i="25"/>
  <c r="M698" i="25" s="1"/>
  <c r="L697" i="25"/>
  <c r="M697" i="25" s="1"/>
  <c r="L689" i="25"/>
  <c r="M689" i="25" s="1"/>
  <c r="L681" i="25"/>
  <c r="M681" i="25" s="1"/>
  <c r="L673" i="25"/>
  <c r="M673" i="25" s="1"/>
  <c r="L712" i="25"/>
  <c r="M712" i="25" s="1"/>
  <c r="L703" i="25"/>
  <c r="M703" i="25" s="1"/>
  <c r="L694" i="25"/>
  <c r="M694" i="25" s="1"/>
  <c r="L690" i="25"/>
  <c r="M690" i="25" s="1"/>
  <c r="L686" i="25"/>
  <c r="L682" i="25"/>
  <c r="M682" i="25" s="1"/>
  <c r="L678" i="25"/>
  <c r="M678" i="25" s="1"/>
  <c r="L674" i="25"/>
  <c r="M674" i="25" s="1"/>
  <c r="L670" i="25"/>
  <c r="M670" i="25" s="1"/>
  <c r="L691" i="25"/>
  <c r="M691" i="25" s="1"/>
  <c r="L683" i="25"/>
  <c r="M683" i="25" s="1"/>
  <c r="L675" i="25"/>
  <c r="M675" i="25" s="1"/>
  <c r="L680" i="25"/>
  <c r="M680" i="25" s="1"/>
  <c r="L672" i="25"/>
  <c r="L704" i="25"/>
  <c r="M704" i="25" s="1"/>
  <c r="L711" i="25"/>
  <c r="M711" i="25" s="1"/>
  <c r="L688" i="25"/>
  <c r="M688" i="25" s="1"/>
  <c r="L696" i="25"/>
  <c r="I629" i="24" l="1"/>
  <c r="H715" i="24"/>
  <c r="K716" i="25"/>
  <c r="M696" i="25"/>
  <c r="M714" i="25"/>
  <c r="M701" i="25"/>
  <c r="M710" i="25"/>
  <c r="M671" i="25"/>
  <c r="L716" i="25"/>
  <c r="M669" i="25"/>
  <c r="M716" i="25" s="1"/>
  <c r="M672" i="25"/>
  <c r="M686" i="25"/>
  <c r="M679" i="25"/>
  <c r="M693" i="25"/>
  <c r="M708" i="25"/>
  <c r="I676" i="24" l="1"/>
  <c r="I636" i="24"/>
  <c r="I642" i="24"/>
  <c r="I706" i="24"/>
  <c r="I710" i="24"/>
  <c r="I679" i="24"/>
  <c r="I635" i="24"/>
  <c r="I686" i="24"/>
  <c r="I638" i="24"/>
  <c r="I671" i="24"/>
  <c r="I713" i="24"/>
  <c r="I690" i="24"/>
  <c r="I669" i="24"/>
  <c r="I712" i="24"/>
  <c r="I698" i="24"/>
  <c r="I705" i="24"/>
  <c r="I689" i="24"/>
  <c r="I701" i="24"/>
  <c r="I687" i="24"/>
  <c r="I646" i="24"/>
  <c r="I674" i="24"/>
  <c r="I685" i="24"/>
  <c r="I693" i="24"/>
  <c r="I632" i="24"/>
  <c r="I678" i="24"/>
  <c r="I647" i="24"/>
  <c r="I716" i="24"/>
  <c r="I630" i="24"/>
  <c r="I688" i="24"/>
  <c r="I692" i="24"/>
  <c r="I691" i="24"/>
  <c r="I708" i="24"/>
  <c r="I695" i="24"/>
  <c r="I631" i="24"/>
  <c r="I694" i="24"/>
  <c r="I672" i="24"/>
  <c r="I634" i="24"/>
  <c r="I639" i="24"/>
  <c r="I675" i="24"/>
  <c r="I681" i="24"/>
  <c r="I703" i="24"/>
  <c r="I711" i="24"/>
  <c r="I699" i="24"/>
  <c r="I637" i="24"/>
  <c r="I645" i="24"/>
  <c r="I670" i="24"/>
  <c r="I673" i="24"/>
  <c r="I684" i="24"/>
  <c r="I643" i="24"/>
  <c r="I696" i="24"/>
  <c r="I697" i="24"/>
  <c r="I680" i="24"/>
  <c r="I641" i="24"/>
  <c r="I682" i="24"/>
  <c r="I709" i="24"/>
  <c r="I702" i="24"/>
  <c r="I640" i="24"/>
  <c r="I668" i="24"/>
  <c r="I677" i="24"/>
  <c r="I707" i="24"/>
  <c r="I704" i="24"/>
  <c r="I683" i="24"/>
  <c r="I700" i="24"/>
  <c r="I633" i="24"/>
  <c r="I644" i="24"/>
  <c r="I715" i="24" l="1"/>
  <c r="J630" i="24"/>
  <c r="J643" i="24" l="1"/>
  <c r="J708" i="24"/>
  <c r="J646" i="24"/>
  <c r="J647" i="24"/>
  <c r="J641" i="24"/>
  <c r="J674" i="24"/>
  <c r="J707" i="24"/>
  <c r="J645" i="24"/>
  <c r="L647" i="24" s="1"/>
  <c r="J706" i="24"/>
  <c r="J703" i="24"/>
  <c r="J683" i="24"/>
  <c r="J688" i="24"/>
  <c r="J686" i="24"/>
  <c r="J675" i="24"/>
  <c r="J671" i="24"/>
  <c r="J676" i="24"/>
  <c r="J694" i="24"/>
  <c r="J696" i="24"/>
  <c r="J704" i="24"/>
  <c r="J680" i="24"/>
  <c r="J681" i="24"/>
  <c r="J702" i="24"/>
  <c r="J697" i="24"/>
  <c r="J692" i="24"/>
  <c r="J700" i="24"/>
  <c r="J669" i="24"/>
  <c r="J679" i="24"/>
  <c r="J695" i="24"/>
  <c r="J687" i="24"/>
  <c r="J713" i="24"/>
  <c r="J672" i="24"/>
  <c r="J705" i="24"/>
  <c r="J698" i="24"/>
  <c r="J716" i="24"/>
  <c r="J640" i="24"/>
  <c r="J682" i="24"/>
  <c r="J678" i="24"/>
  <c r="J709" i="24"/>
  <c r="J689" i="24"/>
  <c r="J635" i="24"/>
  <c r="J699" i="24"/>
  <c r="J634" i="24"/>
  <c r="J701" i="24"/>
  <c r="J638" i="24"/>
  <c r="J710" i="24"/>
  <c r="J642" i="24"/>
  <c r="J684" i="24"/>
  <c r="J712" i="24"/>
  <c r="J690" i="24"/>
  <c r="J677" i="24"/>
  <c r="J632" i="24"/>
  <c r="J668" i="24"/>
  <c r="J644" i="24"/>
  <c r="J711" i="24"/>
  <c r="J691" i="24"/>
  <c r="J631" i="24"/>
  <c r="J685" i="24"/>
  <c r="J637" i="24"/>
  <c r="J639" i="24"/>
  <c r="J633" i="24"/>
  <c r="J673" i="24"/>
  <c r="J670" i="24"/>
  <c r="J693" i="24"/>
  <c r="J636" i="24"/>
  <c r="J715" i="24" l="1"/>
  <c r="K644" i="24"/>
  <c r="L677" i="24"/>
  <c r="L668" i="24"/>
  <c r="L712" i="24"/>
  <c r="L707" i="24"/>
  <c r="L678" i="24"/>
  <c r="L713" i="24"/>
  <c r="L672" i="24"/>
  <c r="L682" i="24"/>
  <c r="L710" i="24"/>
  <c r="L676" i="24"/>
  <c r="L679" i="24"/>
  <c r="L674" i="24"/>
  <c r="L691" i="24"/>
  <c r="L675" i="24"/>
  <c r="L696" i="24"/>
  <c r="L689" i="24"/>
  <c r="L705" i="24"/>
  <c r="L681" i="24"/>
  <c r="L701" i="24"/>
  <c r="L669" i="24"/>
  <c r="L704" i="24"/>
  <c r="L690" i="24"/>
  <c r="L709" i="24"/>
  <c r="L697" i="24"/>
  <c r="L716" i="24"/>
  <c r="L684" i="24"/>
  <c r="L702" i="24"/>
  <c r="L698" i="24"/>
  <c r="L694" i="24"/>
  <c r="L693" i="24"/>
  <c r="L685" i="24"/>
  <c r="L700" i="24"/>
  <c r="L699" i="24"/>
  <c r="L683" i="24"/>
  <c r="L695" i="24"/>
  <c r="L711" i="24"/>
  <c r="L688" i="24"/>
  <c r="L708" i="24"/>
  <c r="L671" i="24"/>
  <c r="L687" i="24"/>
  <c r="L703" i="24"/>
  <c r="L680" i="24"/>
  <c r="L692" i="24"/>
  <c r="L673" i="24"/>
  <c r="L670" i="24"/>
  <c r="L686" i="24"/>
  <c r="L706" i="24"/>
  <c r="L715" i="24" l="1"/>
  <c r="K683" i="24"/>
  <c r="M683" i="24" s="1"/>
  <c r="D87" i="34" s="1"/>
  <c r="K673" i="24"/>
  <c r="M673" i="24" s="1"/>
  <c r="H23" i="34" s="1"/>
  <c r="K677" i="24"/>
  <c r="M677" i="24" s="1"/>
  <c r="K670" i="24"/>
  <c r="M670" i="24" s="1"/>
  <c r="E23" i="34" s="1"/>
  <c r="K698" i="24"/>
  <c r="M698" i="24" s="1"/>
  <c r="E151" i="34" s="1"/>
  <c r="K690" i="24"/>
  <c r="M690" i="24" s="1"/>
  <c r="D119" i="34" s="1"/>
  <c r="K694" i="24"/>
  <c r="M694" i="24" s="1"/>
  <c r="H119" i="34" s="1"/>
  <c r="K699" i="24"/>
  <c r="M699" i="24" s="1"/>
  <c r="F151" i="34" s="1"/>
  <c r="K702" i="24"/>
  <c r="M702" i="24" s="1"/>
  <c r="I151" i="34" s="1"/>
  <c r="K682" i="24"/>
  <c r="M682" i="24" s="1"/>
  <c r="C87" i="34" s="1"/>
  <c r="K708" i="24"/>
  <c r="M708" i="24" s="1"/>
  <c r="H183" i="34" s="1"/>
  <c r="K705" i="24"/>
  <c r="M705" i="24" s="1"/>
  <c r="E183" i="34" s="1"/>
  <c r="K696" i="24"/>
  <c r="M696" i="24" s="1"/>
  <c r="C151" i="34" s="1"/>
  <c r="K674" i="24"/>
  <c r="M674" i="24" s="1"/>
  <c r="I23" i="34" s="1"/>
  <c r="K668" i="24"/>
  <c r="K716" i="24"/>
  <c r="K707" i="24"/>
  <c r="M707" i="24" s="1"/>
  <c r="G183" i="34" s="1"/>
  <c r="K713" i="24"/>
  <c r="M713" i="24" s="1"/>
  <c r="F215" i="34" s="1"/>
  <c r="K689" i="24"/>
  <c r="M689" i="24" s="1"/>
  <c r="C119" i="34" s="1"/>
  <c r="K706" i="24"/>
  <c r="M706" i="24" s="1"/>
  <c r="F183" i="34" s="1"/>
  <c r="K679" i="24"/>
  <c r="M679" i="24" s="1"/>
  <c r="K688" i="24"/>
  <c r="M688" i="24" s="1"/>
  <c r="I87" i="34" s="1"/>
  <c r="K671" i="24"/>
  <c r="M671" i="24" s="1"/>
  <c r="F23" i="34" s="1"/>
  <c r="K685" i="24"/>
  <c r="M685" i="24" s="1"/>
  <c r="F87" i="34" s="1"/>
  <c r="K687" i="24"/>
  <c r="M687" i="24" s="1"/>
  <c r="H87" i="34" s="1"/>
  <c r="K686" i="24"/>
  <c r="M686" i="24" s="1"/>
  <c r="G87" i="34" s="1"/>
  <c r="K684" i="24"/>
  <c r="M684" i="24" s="1"/>
  <c r="E87" i="34" s="1"/>
  <c r="K700" i="24"/>
  <c r="M700" i="24" s="1"/>
  <c r="G151" i="34" s="1"/>
  <c r="K709" i="24"/>
  <c r="M709" i="24" s="1"/>
  <c r="I183" i="34" s="1"/>
  <c r="K676" i="24"/>
  <c r="M676" i="24" s="1"/>
  <c r="D55" i="34" s="1"/>
  <c r="K704" i="24"/>
  <c r="M704" i="24" s="1"/>
  <c r="D183" i="34" s="1"/>
  <c r="K672" i="24"/>
  <c r="M672" i="24" s="1"/>
  <c r="G23" i="34" s="1"/>
  <c r="K697" i="24"/>
  <c r="M697" i="24" s="1"/>
  <c r="D151" i="34" s="1"/>
  <c r="K701" i="24"/>
  <c r="M701" i="24" s="1"/>
  <c r="H151" i="34" s="1"/>
  <c r="K680" i="24"/>
  <c r="M680" i="24" s="1"/>
  <c r="H55" i="34" s="1"/>
  <c r="K695" i="24"/>
  <c r="M695" i="24" s="1"/>
  <c r="I119" i="34" s="1"/>
  <c r="K712" i="24"/>
  <c r="M712" i="24" s="1"/>
  <c r="E215" i="34" s="1"/>
  <c r="K675" i="24"/>
  <c r="M675" i="24" s="1"/>
  <c r="C55" i="34" s="1"/>
  <c r="K681" i="24"/>
  <c r="M681" i="24" s="1"/>
  <c r="I55" i="34" s="1"/>
  <c r="K692" i="24"/>
  <c r="M692" i="24" s="1"/>
  <c r="K693" i="24"/>
  <c r="M693" i="24" s="1"/>
  <c r="K703" i="24"/>
  <c r="M703" i="24" s="1"/>
  <c r="C183" i="34" s="1"/>
  <c r="K691" i="24"/>
  <c r="M691" i="24" s="1"/>
  <c r="K669" i="24"/>
  <c r="M669" i="24" s="1"/>
  <c r="D23" i="34" s="1"/>
  <c r="K710" i="24"/>
  <c r="M710" i="24" s="1"/>
  <c r="C215" i="34" s="1"/>
  <c r="K678" i="24"/>
  <c r="M678" i="24" s="1"/>
  <c r="K711" i="24"/>
  <c r="M711" i="24" s="1"/>
  <c r="D215" i="34" s="1"/>
  <c r="E119" i="34" l="1"/>
  <c r="E55" i="34"/>
  <c r="G55" i="34"/>
  <c r="G119" i="34"/>
  <c r="F119" i="34"/>
  <c r="F55" i="34"/>
  <c r="M668" i="24"/>
  <c r="K715" i="24"/>
  <c r="C23" i="34" l="1"/>
  <c r="M715" i="24"/>
</calcChain>
</file>

<file path=xl/sharedStrings.xml><?xml version="1.0" encoding="utf-8"?>
<sst xmlns="http://schemas.openxmlformats.org/spreadsheetml/2006/main" count="4842" uniqueCount="1377">
  <si>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</si>
  <si>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</si>
  <si>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</si>
  <si>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</si>
  <si>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</si>
  <si>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</si>
  <si>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</si>
  <si>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</si>
  <si>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</si>
  <si>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</si>
  <si>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</si>
  <si>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</si>
  <si>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</si>
  <si>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</si>
  <si>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</si>
  <si>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</si>
  <si>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</si>
  <si>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</si>
  <si>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</si>
  <si>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</si>
  <si>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</si>
  <si>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</si>
  <si>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</si>
  <si>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</si>
  <si>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</si>
  <si>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</si>
  <si>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</si>
  <si>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</si>
  <si>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</si>
  <si>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</si>
  <si>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</si>
  <si>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</si>
  <si>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</si>
  <si>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</si>
  <si>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</si>
  <si>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</si>
  <si>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</si>
  <si>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</si>
  <si>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</si>
  <si>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</si>
  <si>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</si>
  <si>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</si>
  <si>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</si>
  <si>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</si>
  <si>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</si>
  <si>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</si>
  <si>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</si>
  <si>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</si>
  <si>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</si>
  <si>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</si>
  <si>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</si>
  <si>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</si>
  <si>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</si>
  <si>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</si>
  <si>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</si>
  <si>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</si>
  <si>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</si>
  <si>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</si>
  <si>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</si>
  <si>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</si>
  <si>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</si>
  <si>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</si>
  <si>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</si>
  <si>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</si>
  <si>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</si>
  <si>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</si>
  <si>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</si>
  <si>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</si>
  <si>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</si>
  <si>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</si>
  <si>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</si>
  <si>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</si>
  <si>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</si>
  <si>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</si>
  <si>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</si>
  <si>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</si>
  <si>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</si>
  <si>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</si>
  <si>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</si>
  <si>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</si>
  <si>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</si>
  <si>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</si>
  <si>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</si>
  <si>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</si>
  <si>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</si>
  <si>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</si>
  <si>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</si>
  <si>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</si>
  <si>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</si>
  <si>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</si>
  <si>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</si>
  <si>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</si>
  <si>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</si>
  <si>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</si>
  <si>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</si>
  <si>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</si>
  <si>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</si>
  <si>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</si>
  <si>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</si>
  <si>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</si>
  <si>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</si>
  <si>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</si>
  <si>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</si>
  <si>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</si>
  <si>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</si>
  <si>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</si>
  <si>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</si>
  <si>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</si>
  <si>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</si>
  <si>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</si>
  <si>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</si>
  <si>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</si>
  <si>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</si>
  <si>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</si>
  <si>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</si>
  <si>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</si>
  <si>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</si>
  <si>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</si>
  <si>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</si>
  <si>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</si>
  <si>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</si>
  <si>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</si>
  <si>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</si>
  <si>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</si>
  <si>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</si>
  <si>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</si>
  <si>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</si>
  <si>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</si>
  <si>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</si>
  <si>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</si>
  <si>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</si>
  <si>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</si>
  <si>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</si>
  <si>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</si>
  <si>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</si>
  <si>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</si>
  <si>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</si>
  <si>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</si>
  <si>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</si>
  <si>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</si>
  <si>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</si>
  <si>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</si>
  <si>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</si>
  <si>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</si>
  <si>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</si>
  <si>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</si>
  <si>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</si>
  <si>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</si>
  <si>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</si>
  <si>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</si>
  <si>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</si>
  <si>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</si>
  <si>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</si>
  <si>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</si>
  <si>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</si>
  <si>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</si>
  <si>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</si>
  <si>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</si>
  <si>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</si>
  <si>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</si>
  <si>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</si>
  <si>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</si>
  <si>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</si>
  <si>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</si>
  <si>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</si>
  <si>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</si>
  <si>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</si>
  <si>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</si>
  <si>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</si>
  <si>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</si>
  <si>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</si>
  <si>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</si>
  <si>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</si>
  <si>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</si>
  <si>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</si>
  <si>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</si>
  <si>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</si>
  <si>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</si>
  <si>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</si>
  <si>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</si>
  <si>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</si>
  <si>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</si>
  <si>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</si>
  <si>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</si>
  <si>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</si>
  <si>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</si>
  <si>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</si>
  <si>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</si>
  <si>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</si>
  <si>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</si>
  <si>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</si>
  <si>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</si>
  <si>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</si>
  <si>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</si>
  <si>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</si>
  <si>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</si>
  <si>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</si>
  <si>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</si>
  <si>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</si>
  <si>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</si>
  <si>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</si>
  <si>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</si>
  <si>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</si>
  <si>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</si>
  <si>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</si>
  <si>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</si>
  <si>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</si>
  <si>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</si>
  <si>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</si>
  <si>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</si>
  <si>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</si>
  <si>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</si>
  <si>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</si>
  <si>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</si>
  <si>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</si>
  <si>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</si>
  <si>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</si>
  <si>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</si>
  <si>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</si>
  <si>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</si>
  <si>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</si>
  <si>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</si>
  <si>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</si>
  <si>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</si>
  <si>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</si>
  <si>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</si>
  <si>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</si>
  <si>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</si>
  <si>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</si>
  <si>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</si>
  <si>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</si>
  <si>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</si>
  <si>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</si>
  <si>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</si>
  <si>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</si>
  <si>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</si>
  <si>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</si>
  <si>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</si>
  <si>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</si>
  <si>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</si>
  <si>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</si>
  <si>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</si>
  <si>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</si>
  <si>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</si>
  <si>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</si>
  <si>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</si>
  <si>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</si>
  <si>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</si>
  <si>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</si>
  <si>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</si>
  <si>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</si>
  <si>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</si>
  <si>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</si>
  <si>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</si>
  <si>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</si>
  <si>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</si>
  <si>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</si>
  <si>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</si>
  <si>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</si>
  <si>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</si>
  <si>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</si>
  <si>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</si>
  <si>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</si>
  <si>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</si>
  <si>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</si>
  <si>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</si>
  <si>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</si>
  <si>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</si>
  <si>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</si>
  <si>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</si>
  <si>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</si>
  <si>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</si>
  <si>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</si>
  <si>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</si>
  <si>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</si>
  <si>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</si>
  <si>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</si>
  <si>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</si>
  <si>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</si>
  <si>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</si>
  <si>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</si>
  <si>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</si>
  <si>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</si>
  <si>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</si>
  <si>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</si>
  <si>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</si>
  <si>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</si>
  <si>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</si>
  <si>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</si>
  <si>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</si>
  <si>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</si>
  <si>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</si>
  <si>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</si>
  <si>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</si>
  <si>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</si>
  <si>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</si>
  <si>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</si>
  <si>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</si>
  <si>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</si>
  <si>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</si>
  <si>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054</t>
  </si>
  <si>
    <t>Hospital Name</t>
  </si>
  <si>
    <t>Forks Community Hospital</t>
  </si>
  <si>
    <t>Mailing Address</t>
  </si>
  <si>
    <t>530 Bogachiel Way</t>
  </si>
  <si>
    <t>City</t>
  </si>
  <si>
    <t>Forks</t>
  </si>
  <si>
    <t>State</t>
  </si>
  <si>
    <t>WA</t>
  </si>
  <si>
    <t>Zip</t>
  </si>
  <si>
    <t>County</t>
  </si>
  <si>
    <t>Clallam</t>
  </si>
  <si>
    <t>Chief Executive Officer</t>
  </si>
  <si>
    <t>Heidi Anderson</t>
  </si>
  <si>
    <t>Chief Financial Officer</t>
  </si>
  <si>
    <t>Paul Babcock</t>
  </si>
  <si>
    <t>Chair of Governing Board</t>
  </si>
  <si>
    <t>Sandy Schier</t>
  </si>
  <si>
    <t>Telephone Number</t>
  </si>
  <si>
    <t xml:space="preserve">(360)374-6271 </t>
  </si>
  <si>
    <t>Facsimile Number</t>
  </si>
  <si>
    <t>(360)374-5220</t>
  </si>
  <si>
    <t>Name of Submitter</t>
  </si>
  <si>
    <t>Email of Submitter</t>
  </si>
  <si>
    <t>paulb@forkshospital.org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</si>
  <si>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</si>
  <si>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</si>
  <si>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</si>
  <si>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</si>
  <si>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</si>
  <si>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</si>
  <si>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</si>
  <si>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</si>
  <si>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</si>
  <si>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</si>
  <si>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</si>
  <si>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</si>
  <si>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</si>
  <si>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</si>
  <si>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</si>
  <si>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</si>
  <si>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</si>
  <si>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</si>
  <si>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</si>
  <si>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</si>
  <si>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</si>
  <si>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</si>
  <si>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</si>
  <si>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</si>
  <si>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</si>
  <si>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</si>
  <si>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</si>
  <si>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</si>
  <si>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</si>
  <si>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</si>
  <si>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</si>
  <si>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</si>
  <si>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</si>
  <si>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</si>
  <si>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</si>
  <si>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</si>
  <si>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</si>
  <si>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</si>
  <si>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</si>
  <si>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</si>
  <si>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</si>
  <si>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</si>
  <si>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</si>
  <si>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</si>
  <si>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</si>
  <si>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</si>
  <si>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</si>
  <si>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</si>
  <si>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</si>
  <si>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</si>
  <si>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</si>
  <si>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</si>
  <si>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</si>
  <si>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</si>
  <si>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</si>
  <si>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</si>
  <si>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</si>
  <si>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</si>
  <si>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</si>
  <si>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</si>
  <si>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</si>
  <si>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</si>
  <si>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</si>
  <si>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</si>
  <si>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</si>
  <si>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</si>
  <si>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</si>
  <si>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</si>
  <si>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</si>
  <si>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</si>
  <si>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</si>
  <si>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</si>
  <si>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</si>
  <si>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</si>
  <si>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</si>
  <si>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</si>
  <si>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</si>
  <si>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</si>
  <si>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</si>
  <si>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</si>
  <si>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</si>
  <si>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</si>
  <si>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</si>
  <si>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</si>
  <si>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</si>
  <si>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</si>
  <si>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</si>
  <si>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</si>
  <si>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</si>
  <si>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</si>
  <si>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</si>
  <si>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</si>
  <si>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</si>
  <si>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</si>
  <si>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</si>
  <si>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</si>
  <si>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</si>
  <si>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</si>
  <si>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</si>
  <si>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</si>
  <si>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</si>
  <si>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</si>
  <si>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</si>
  <si>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</si>
  <si>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</si>
  <si>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</si>
  <si>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</si>
  <si>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</si>
  <si>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</si>
  <si>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</si>
  <si>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</si>
  <si>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</si>
  <si>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</si>
  <si>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</si>
  <si>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</si>
  <si>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</si>
  <si>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</si>
  <si>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</si>
  <si>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</si>
  <si>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</si>
  <si>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</si>
  <si>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</si>
  <si>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</si>
  <si>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</si>
  <si>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</si>
  <si>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</si>
  <si>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</si>
  <si>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</si>
  <si>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</si>
  <si>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</si>
  <si>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</si>
  <si>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</si>
  <si>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</si>
  <si>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</si>
  <si>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</si>
  <si>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</si>
  <si>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</si>
  <si>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</si>
  <si>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</si>
  <si>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</si>
  <si>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</si>
  <si>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</si>
  <si>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</si>
  <si>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</si>
  <si>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</si>
  <si>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</si>
  <si>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</si>
  <si>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</si>
  <si>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</si>
  <si>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</si>
  <si>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</si>
  <si>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</si>
  <si>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</si>
  <si>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</si>
  <si>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</si>
  <si>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</si>
  <si>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</si>
  <si>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</si>
  <si>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</si>
  <si>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</si>
  <si>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</si>
  <si>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</si>
  <si>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</si>
  <si>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</si>
  <si>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</si>
  <si>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</si>
  <si>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</si>
  <si>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</si>
  <si>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</si>
  <si>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</si>
  <si>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</si>
  <si>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</si>
  <si>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</si>
  <si>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</si>
  <si>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</si>
  <si>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</si>
  <si>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</si>
  <si>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</si>
  <si>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</si>
  <si>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</si>
  <si>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</si>
  <si>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</si>
  <si>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</si>
  <si>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</si>
  <si>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</si>
  <si>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</si>
  <si>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</si>
  <si>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</si>
  <si>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</si>
  <si>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</si>
  <si>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</si>
  <si>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</si>
  <si>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</si>
  <si>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</si>
  <si>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</si>
  <si>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</si>
  <si>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</si>
  <si>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</si>
  <si>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</si>
  <si>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</si>
  <si>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</si>
  <si>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</si>
  <si>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</si>
  <si>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</si>
  <si>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</si>
  <si>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</si>
  <si>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</si>
  <si>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</si>
  <si>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</si>
  <si>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</si>
  <si>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</si>
  <si>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</si>
  <si>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</si>
  <si>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</si>
  <si>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</si>
  <si>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</si>
  <si>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</si>
  <si>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</si>
  <si>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</si>
  <si>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</si>
  <si>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</si>
  <si>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</si>
  <si>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</si>
  <si>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</si>
  <si>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</si>
  <si>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</si>
  <si>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</si>
  <si>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</si>
  <si>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</si>
  <si>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</si>
  <si>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</si>
  <si>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</si>
  <si>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</si>
  <si>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</si>
  <si>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</si>
  <si>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</si>
  <si>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</si>
  <si>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</si>
  <si>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</si>
  <si>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</si>
  <si>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</si>
  <si>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</si>
  <si>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</si>
  <si>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</si>
  <si>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</si>
  <si>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</si>
  <si>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</si>
  <si>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</si>
  <si>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</si>
  <si>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</si>
  <si>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</si>
  <si>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</si>
  <si>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</si>
  <si>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</si>
  <si>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</si>
  <si>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</si>
  <si>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</si>
  <si>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</si>
  <si>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</si>
  <si>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</si>
  <si>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</si>
  <si>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</si>
  <si>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</si>
  <si>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</si>
  <si>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</si>
  <si>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</si>
  <si>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</si>
  <si>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</si>
  <si>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</si>
  <si>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</si>
  <si>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</si>
  <si>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</si>
  <si>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</si>
  <si>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</si>
  <si>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</si>
  <si>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</si>
  <si>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</si>
  <si>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</si>
  <si>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</si>
  <si>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</si>
  <si>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</si>
  <si>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</si>
  <si>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</si>
  <si>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</si>
  <si>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</si>
  <si>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</si>
  <si>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</si>
  <si>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</si>
  <si>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</si>
  <si>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</si>
  <si>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</si>
  <si>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</si>
  <si>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</si>
  <si>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</si>
  <si>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</si>
  <si>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</si>
  <si>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</si>
  <si>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</si>
  <si>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</si>
  <si>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</si>
  <si>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</si>
  <si>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</si>
  <si>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</si>
  <si>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</si>
  <si>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</si>
  <si>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</si>
  <si>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</si>
  <si>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</si>
  <si>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</si>
  <si>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</si>
  <si>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</si>
  <si>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</si>
  <si>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</si>
  <si>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</si>
  <si>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</si>
  <si>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</si>
  <si>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</si>
  <si>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</si>
  <si>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</si>
  <si>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</si>
  <si>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</si>
  <si>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</si>
  <si>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</si>
  <si>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</si>
  <si>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</si>
  <si>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</si>
  <si>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</si>
  <si>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</si>
  <si>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</si>
  <si>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</si>
  <si>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</si>
  <si>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</si>
  <si>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</si>
  <si>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</si>
  <si>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</si>
  <si>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</si>
  <si>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</si>
  <si>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</si>
  <si>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</si>
  <si>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</si>
  <si>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</si>
  <si>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</si>
  <si>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</si>
  <si>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</si>
  <si>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</si>
  <si>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</si>
  <si>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</si>
  <si>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</si>
  <si>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</si>
  <si>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</si>
  <si>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</si>
  <si>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</si>
  <si>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</si>
  <si>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</si>
  <si>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</si>
  <si>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</si>
  <si>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</si>
  <si>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</si>
  <si>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</si>
  <si>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</si>
  <si>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</si>
  <si>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</si>
  <si>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</si>
  <si>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</si>
  <si>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</si>
  <si>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</si>
  <si>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</si>
  <si>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</si>
  <si>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</si>
  <si>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</si>
  <si>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</si>
  <si>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</si>
  <si>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</si>
  <si>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</si>
  <si>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</si>
  <si>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</si>
  <si>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</si>
  <si>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</si>
  <si>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</si>
  <si>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</si>
  <si>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</si>
  <si>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</si>
  <si>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</si>
  <si>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</si>
  <si>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</si>
  <si>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</si>
  <si>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</si>
  <si>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</si>
  <si>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</si>
  <si>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</si>
  <si>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</si>
  <si>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</si>
  <si>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</si>
  <si>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</si>
  <si>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</si>
  <si>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</si>
  <si>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</si>
  <si>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</si>
  <si>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</si>
  <si>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</si>
  <si>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</si>
  <si>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</si>
  <si>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</si>
  <si>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</si>
  <si>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</si>
  <si>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</si>
  <si>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</si>
  <si>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</si>
  <si>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</si>
  <si>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</si>
  <si>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</si>
  <si>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</si>
  <si>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</si>
  <si>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</si>
  <si>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</si>
  <si>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</si>
  <si>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</si>
  <si>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</si>
  <si>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</si>
  <si>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</si>
  <si>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</si>
  <si>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</si>
  <si>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</si>
  <si>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</si>
  <si>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</si>
  <si>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</si>
  <si>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</si>
  <si>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</si>
  <si>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</si>
  <si>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</si>
  <si>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</si>
  <si>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</si>
  <si>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</si>
  <si>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</si>
  <si>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</si>
  <si>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</si>
  <si>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</si>
  <si>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</si>
  <si>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</si>
  <si>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</si>
  <si>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</si>
  <si>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</si>
  <si>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</si>
  <si>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</si>
  <si>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</si>
  <si>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</si>
  <si>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</si>
  <si>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</si>
  <si>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</si>
  <si>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</si>
  <si>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</si>
  <si>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</si>
  <si>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</si>
  <si>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</si>
  <si>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</si>
  <si>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</si>
  <si>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</si>
  <si>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</si>
  <si>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</si>
  <si>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</si>
  <si>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</si>
  <si>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</si>
  <si>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</si>
  <si>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</si>
  <si>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</si>
  <si>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</si>
  <si>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</si>
  <si>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</si>
  <si>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</si>
  <si>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</si>
  <si>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</si>
  <si>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</si>
  <si>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</si>
  <si>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</si>
  <si>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</si>
  <si>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</si>
  <si>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</si>
  <si>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</si>
  <si>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</si>
  <si>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</si>
  <si>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</si>
  <si>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</si>
  <si>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</si>
  <si>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</si>
  <si>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</si>
  <si>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</si>
  <si>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</si>
  <si>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</si>
  <si>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</si>
  <si>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</si>
  <si>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</si>
  <si>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</si>
  <si>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</si>
  <si>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</si>
  <si>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</si>
  <si>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</si>
  <si>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</si>
  <si>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</si>
  <si>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</si>
  <si>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</si>
  <si>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</si>
  <si>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</si>
  <si>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</si>
  <si>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</si>
  <si>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</si>
  <si>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</si>
  <si>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</si>
  <si>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</si>
  <si>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</si>
  <si>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</si>
  <si>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</si>
  <si>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</si>
  <si>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</si>
  <si>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</si>
  <si>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</si>
  <si>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</si>
  <si>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</si>
  <si>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</si>
  <si>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</si>
  <si>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</si>
  <si>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</si>
  <si>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</si>
  <si>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</si>
  <si>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</si>
  <si>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</si>
  <si>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</si>
  <si>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</si>
  <si>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</si>
  <si>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</si>
  <si>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</si>
  <si>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</si>
  <si>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</si>
  <si>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</si>
  <si>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</si>
  <si>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</si>
  <si>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</si>
  <si>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</si>
  <si>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</si>
  <si>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</si>
  <si>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</si>
  <si>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</si>
  <si>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</si>
  <si>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</si>
  <si>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</si>
  <si>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</si>
  <si>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</si>
  <si>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</si>
  <si>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</si>
  <si>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</si>
  <si>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</si>
  <si>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</si>
  <si>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</si>
  <si>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</si>
  <si>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</si>
  <si>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</si>
  <si>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</si>
  <si>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</si>
  <si>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</si>
  <si>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</si>
  <si>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</si>
  <si>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</si>
  <si>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</si>
  <si>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</si>
  <si>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</si>
  <si>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</si>
  <si>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</si>
  <si>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</si>
  <si>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</si>
  <si>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</si>
  <si>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</si>
  <si>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</si>
  <si>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</si>
  <si>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</si>
  <si>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</si>
  <si>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</si>
  <si>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</si>
  <si>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</si>
  <si>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</si>
  <si>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</si>
  <si>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</si>
  <si>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</si>
  <si>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</si>
  <si>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</si>
  <si>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</si>
  <si>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</si>
  <si>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</si>
  <si>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</si>
  <si>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</si>
  <si>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</si>
  <si>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</si>
  <si>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</si>
  <si>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</si>
  <si>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</si>
  <si>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</si>
  <si>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</si>
  <si>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</si>
  <si>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</si>
  <si>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</si>
  <si>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</si>
  <si>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</si>
  <si>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</si>
  <si>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</si>
  <si>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</si>
  <si>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</si>
  <si>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</si>
  <si>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</si>
  <si>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</si>
  <si>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</si>
  <si>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</si>
  <si>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</si>
  <si>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</si>
  <si>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</si>
  <si>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</si>
  <si>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</si>
  <si>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</si>
  <si>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</si>
  <si>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</si>
  <si>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</si>
  <si>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</si>
  <si>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</si>
  <si>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</si>
  <si>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</si>
  <si>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</si>
  <si>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</si>
  <si>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</si>
  <si>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</si>
  <si>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</si>
  <si>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</si>
  <si>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</si>
  <si>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</si>
  <si>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</si>
  <si>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</si>
  <si>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</si>
  <si>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</si>
  <si>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</si>
  <si>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</si>
  <si>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</si>
  <si>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</si>
  <si>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</si>
  <si>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</si>
  <si>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</si>
  <si>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</si>
  <si>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</si>
  <si>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</si>
  <si>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</si>
  <si>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</si>
  <si>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</si>
  <si>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</si>
  <si>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</si>
  <si>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</si>
  <si>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</si>
  <si>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</si>
  <si>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</si>
  <si>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</si>
  <si>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</si>
  <si>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</si>
  <si>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</si>
  <si>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</si>
  <si>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</si>
  <si>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</si>
  <si>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</si>
  <si>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</si>
  <si>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</si>
  <si>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</si>
  <si>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</si>
  <si>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</si>
  <si>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</si>
  <si>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</si>
  <si>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</si>
  <si>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</si>
  <si>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</si>
  <si>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</si>
  <si>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</si>
  <si>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</si>
  <si>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</si>
  <si>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</si>
  <si>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</si>
  <si>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</si>
  <si>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</si>
  <si>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</si>
  <si>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</si>
  <si>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</si>
  <si>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</si>
  <si>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</si>
  <si>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</si>
  <si>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</si>
  <si>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</si>
  <si>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</si>
  <si>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</si>
  <si>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</si>
  <si>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</si>
  <si>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</si>
  <si>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</si>
  <si>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</si>
  <si>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</si>
  <si>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</si>
  <si>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</si>
  <si>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</si>
  <si>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</si>
  <si>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</si>
  <si>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</si>
  <si>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</si>
  <si>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</si>
  <si>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</si>
  <si>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</si>
  <si>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</si>
  <si>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</si>
  <si>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</si>
  <si>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</si>
  <si>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</si>
  <si>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</si>
  <si>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</si>
  <si>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</si>
  <si>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</si>
  <si>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</si>
  <si>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</si>
  <si>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</si>
  <si>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</si>
  <si>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</si>
  <si>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</si>
  <si>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</si>
  <si>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</si>
  <si>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</si>
  <si>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</si>
  <si>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</si>
  <si>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</si>
  <si>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</si>
  <si>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</si>
  <si>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</si>
  <si>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</si>
  <si>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</si>
  <si>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</si>
  <si>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</si>
  <si>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</si>
  <si>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</si>
  <si>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</si>
  <si>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</si>
  <si>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</si>
  <si>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</si>
  <si>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</si>
  <si>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</si>
  <si>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</si>
  <si>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</si>
  <si>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</si>
  <si>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</si>
  <si>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</si>
  <si>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</si>
  <si>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</si>
  <si>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</si>
  <si>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</si>
  <si>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</si>
  <si>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</si>
  <si>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</si>
  <si>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</si>
  <si>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</si>
  <si>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</si>
  <si>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</si>
  <si>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</si>
  <si>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</si>
  <si>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</si>
  <si>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</si>
  <si>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</si>
  <si>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</si>
  <si>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</si>
  <si>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</si>
  <si>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</si>
  <si>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</si>
  <si>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</si>
  <si>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</si>
  <si>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</si>
  <si>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</si>
  <si>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</si>
  <si>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</si>
  <si>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</si>
  <si>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</si>
  <si>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</si>
  <si>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</si>
  <si>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</si>
  <si>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</si>
  <si>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</si>
  <si>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</si>
  <si>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</si>
  <si>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</si>
  <si>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</si>
  <si>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</si>
  <si>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</si>
  <si>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</si>
  <si>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</si>
  <si>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</si>
  <si>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</si>
  <si>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</si>
  <si>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</si>
  <si>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</si>
  <si>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</si>
  <si>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</si>
  <si>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</si>
  <si>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</si>
  <si>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</si>
  <si>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</si>
  <si>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</si>
  <si>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</si>
  <si>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</si>
  <si>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</si>
  <si>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</si>
  <si>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</si>
  <si>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</si>
  <si>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</si>
  <si>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</si>
  <si>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</si>
  <si>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</si>
  <si>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</si>
  <si>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</si>
  <si>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</si>
  <si>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</si>
  <si>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</si>
  <si>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</si>
  <si>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</si>
  <si>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</si>
  <si>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</si>
  <si>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</si>
  <si>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</si>
  <si>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</si>
  <si>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</si>
  <si>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</si>
  <si>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</si>
  <si>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</si>
  <si>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</si>
  <si>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</si>
  <si>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</si>
  <si>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</si>
  <si>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</si>
  <si>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</si>
  <si>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</si>
  <si>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</si>
  <si>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</si>
  <si>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</si>
  <si>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</si>
  <si>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</si>
  <si>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</si>
  <si>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</si>
  <si>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</si>
  <si>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</si>
  <si>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</si>
  <si>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</si>
  <si>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</si>
  <si>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</si>
  <si>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</si>
  <si>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</si>
  <si>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</si>
  <si>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</si>
  <si>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</si>
  <si>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</si>
  <si>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</si>
  <si>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</si>
  <si>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</si>
  <si>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</si>
  <si>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</si>
  <si>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</si>
  <si>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</si>
  <si>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</si>
  <si>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</si>
  <si>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</si>
  <si>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</si>
  <si>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</si>
  <si>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</si>
  <si>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</si>
  <si>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</si>
  <si>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</si>
  <si>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</si>
  <si>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</si>
  <si>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</si>
  <si>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</si>
  <si>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</si>
  <si>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</si>
  <si>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</si>
  <si>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</si>
  <si>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</si>
  <si>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</si>
  <si>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</si>
  <si>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</si>
  <si>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</si>
  <si>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</si>
  <si>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</si>
  <si>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</si>
  <si>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</si>
  <si>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</si>
  <si>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</si>
  <si>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</si>
  <si>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</si>
  <si>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</si>
  <si>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</si>
  <si>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</si>
  <si>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</si>
  <si>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</si>
  <si>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</si>
  <si>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</si>
  <si>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</si>
  <si>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</si>
  <si>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</si>
  <si>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</si>
  <si>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</si>
  <si>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</si>
  <si>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</si>
  <si>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</si>
  <si>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</si>
  <si>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</si>
  <si>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</si>
  <si>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</si>
  <si>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</si>
  <si>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</si>
  <si>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</si>
  <si>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</si>
  <si>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</si>
  <si>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</si>
  <si>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</si>
  <si>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</si>
  <si>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</si>
  <si>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</si>
  <si>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</si>
  <si>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</si>
  <si>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</si>
  <si>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</si>
  <si>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</si>
  <si>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</si>
  <si>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</si>
  <si>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</si>
  <si>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</si>
  <si>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</si>
  <si>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</si>
  <si>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</si>
  <si>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</si>
  <si>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</si>
  <si>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</si>
  <si>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</si>
  <si>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</si>
  <si>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</si>
  <si>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</si>
  <si>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</si>
  <si>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</si>
  <si>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</si>
  <si>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</si>
  <si>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</si>
  <si>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</si>
  <si>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</si>
  <si>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</si>
  <si>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</si>
  <si>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</si>
  <si>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</si>
  <si>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</si>
  <si>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</si>
  <si>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</si>
  <si>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</si>
  <si>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</si>
  <si>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</si>
  <si>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</si>
  <si>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</si>
  <si>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</si>
  <si>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</si>
  <si>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</si>
  <si>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</si>
  <si>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</si>
  <si>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</si>
  <si>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</si>
  <si>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</si>
  <si>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</si>
  <si>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</si>
  <si>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</si>
  <si>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</si>
  <si>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</si>
  <si>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</si>
  <si>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</si>
  <si>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</si>
  <si>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</si>
  <si>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</si>
  <si>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</si>
  <si>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</si>
  <si>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</si>
  <si>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</si>
  <si>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</si>
  <si>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</si>
  <si>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</si>
  <si>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</si>
  <si>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</si>
  <si>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</si>
  <si>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</si>
  <si>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</si>
  <si>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</si>
  <si>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</si>
  <si>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</si>
  <si>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</si>
  <si>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</si>
  <si>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</si>
  <si>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</si>
  <si>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</si>
  <si>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</si>
  <si>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</si>
  <si>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</si>
  <si>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</si>
  <si>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</si>
  <si>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</si>
  <si>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</si>
  <si>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</si>
  <si>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</si>
  <si>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</si>
  <si>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</si>
  <si>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</si>
  <si>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</si>
  <si>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</si>
  <si>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</si>
  <si>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</si>
  <si>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</si>
  <si>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</si>
  <si>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</si>
  <si>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</si>
  <si>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</si>
  <si>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</si>
  <si>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</si>
  <si>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</si>
  <si>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</si>
  <si>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</si>
  <si>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</si>
  <si>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</si>
  <si>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</si>
  <si>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</si>
  <si>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</si>
  <si>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</si>
  <si>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</si>
  <si>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</si>
  <si>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</si>
  <si>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</si>
  <si>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</si>
  <si>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</si>
  <si>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</si>
  <si>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</si>
  <si>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</si>
  <si>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</si>
  <si>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</si>
  <si>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</si>
  <si>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</si>
  <si>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</si>
  <si>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Don Lawley</t>
  </si>
  <si>
    <t>Volumes decreased and our Expenses for the dept are at the bottom of what we can do.</t>
  </si>
  <si>
    <t>OB was closed much of the year, we did have it open from Oct-Dec, so there was cost but few births</t>
  </si>
  <si>
    <t>OB was closed much of the year, we did have it open from Oct-Dec, so there was cost but few births. This is primarily the cost of the OB and call coverage</t>
  </si>
  <si>
    <t>Actually, we are now categorizing this correctly, in previous years Skilled Swing and Non-Skilled Swing/Custodial were in the wrong columns, I have fixed it, but not gone retro.</t>
  </si>
  <si>
    <t>Volume deteriorationg but the underlying cost through a 3rd party went up per unit. Their cost is based on them coming out to Forks periodically, so as volumes go down, cost does not move as fast.</t>
  </si>
  <si>
    <t>Volume decrease because one of our Resp Therapists was on leave during the year.</t>
  </si>
  <si>
    <t>Well, our volumes were flat, but the cost of our ER Docs and ER Nurses went up with market wages.</t>
  </si>
  <si>
    <t>Volumes were pretty flat, down a bit, however, we increased the FTEs in Ambulance for call coverage and also made significant increases in pay to retain the staff.</t>
  </si>
  <si>
    <r>
      <rPr>
        <b/>
        <sz val="11"/>
        <rFont val="Calibri"/>
        <family val="2"/>
        <scheme val="minor"/>
      </rP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</si>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</sst>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1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2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29" fillId="0" borderId="14" xfId="2" applyFont="1" applyBorder="1">
      <alignment vertical="top"/>
      <protection locked="0"/>
    </xf>
    <xf numFmtId="0" fontId="12" fillId="0" borderId="0" xfId="2" applyFont="1">
      <alignment vertical="top"/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0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1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7" fontId="11" fillId="13" borderId="0" xfId="0" applyFont="1" applyFill="1"/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0" fontId="29" fillId="13" borderId="14" xfId="2" applyFont="1" applyFill="1" applyBorder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30" fillId="0" borderId="0" xfId="0" quotePrefix="1" applyFont="1" applyAlignment="1">
      <alignment horizontal="left"/>
    </xf>
    <xf numFmtId="37" fontId="3" fillId="0" borderId="0" xfId="0" applyFont="1"/>
    <xf numFmtId="38" fontId="3" fillId="0" borderId="0" xfId="0" applyNumberFormat="1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 applyAlignment="1">
      <alignment horizontal="left"/>
    </xf>
    <xf numFmtId="37" fontId="2" fillId="0" borderId="0" xfId="0" quotePrefix="1" applyFont="1"/>
    <xf numFmtId="37" fontId="3" fillId="0" borderId="0" xfId="0" applyFont="1" applyAlignment="1">
      <alignment vertical="center" readingOrder="1"/>
    </xf>
    <xf numFmtId="37" fontId="38" fillId="0" borderId="0" xfId="0" applyFont="1" applyAlignment="1">
      <alignment vertical="center"/>
    </xf>
    <xf numFmtId="37" fontId="13" fillId="3" borderId="0" xfId="0" applyFont="1" applyFill="1" applyAlignment="1">
      <alignment horizontal="center" vertical="center"/>
    </xf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817034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9335E-86D1-4314-9394-183D79249495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C103" sqref="C103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9" t="s">
        <v>1375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1374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2" t="s">
        <v>28</v>
      </c>
      <c r="B36" s="343"/>
      <c r="C36" s="344"/>
      <c r="D36" s="343"/>
      <c r="E36" s="343"/>
      <c r="F36" s="343"/>
      <c r="G36" s="343"/>
    </row>
    <row r="37" spans="1:83" x14ac:dyDescent="0.35">
      <c r="A37" s="345" t="s">
        <v>29</v>
      </c>
      <c r="B37" s="346"/>
      <c r="C37" s="344"/>
      <c r="D37" s="343"/>
      <c r="E37" s="343"/>
      <c r="F37" s="343"/>
      <c r="G37" s="343"/>
    </row>
    <row r="38" spans="1:83" x14ac:dyDescent="0.35">
      <c r="A38" s="347" t="s">
        <v>30</v>
      </c>
      <c r="B38" s="346"/>
      <c r="C38" s="344"/>
      <c r="D38" s="343"/>
      <c r="E38" s="343"/>
      <c r="F38" s="343"/>
      <c r="G38" s="343"/>
    </row>
    <row r="39" spans="1:83" x14ac:dyDescent="0.35">
      <c r="A39" s="348" t="s">
        <v>31</v>
      </c>
      <c r="B39" s="343"/>
      <c r="C39" s="344"/>
      <c r="D39" s="343"/>
      <c r="E39" s="343"/>
      <c r="F39" s="343"/>
      <c r="G39" s="343"/>
    </row>
    <row r="40" spans="1:83" x14ac:dyDescent="0.35">
      <c r="A40" s="347" t="s">
        <v>32</v>
      </c>
      <c r="B40" s="343"/>
      <c r="C40" s="344"/>
      <c r="D40" s="343"/>
      <c r="E40" s="343"/>
      <c r="F40" s="343"/>
      <c r="G40" s="343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5">
        <v>0</v>
      </c>
      <c r="C47" s="316">
        <v>0</v>
      </c>
      <c r="D47" s="316">
        <v>0</v>
      </c>
      <c r="E47" s="316">
        <v>0</v>
      </c>
      <c r="F47" s="316">
        <v>0</v>
      </c>
      <c r="G47" s="316">
        <v>0</v>
      </c>
      <c r="H47" s="316">
        <v>0</v>
      </c>
      <c r="I47" s="316">
        <v>0</v>
      </c>
      <c r="J47" s="316">
        <v>0</v>
      </c>
      <c r="K47" s="316">
        <v>0</v>
      </c>
      <c r="L47" s="316">
        <v>0</v>
      </c>
      <c r="M47" s="316">
        <v>0</v>
      </c>
      <c r="N47" s="316">
        <v>0</v>
      </c>
      <c r="O47" s="316">
        <v>822</v>
      </c>
      <c r="P47" s="316">
        <v>0</v>
      </c>
      <c r="Q47" s="316">
        <v>0</v>
      </c>
      <c r="R47" s="316">
        <v>0</v>
      </c>
      <c r="S47" s="316">
        <v>0</v>
      </c>
      <c r="T47" s="316">
        <v>0</v>
      </c>
      <c r="U47" s="316">
        <v>0</v>
      </c>
      <c r="V47" s="316">
        <v>0</v>
      </c>
      <c r="W47" s="316">
        <v>0</v>
      </c>
      <c r="X47" s="316">
        <v>0</v>
      </c>
      <c r="Y47" s="316">
        <v>0</v>
      </c>
      <c r="Z47" s="316">
        <v>0</v>
      </c>
      <c r="AA47" s="316">
        <v>0</v>
      </c>
      <c r="AB47" s="316">
        <v>0</v>
      </c>
      <c r="AC47" s="316">
        <v>0</v>
      </c>
      <c r="AD47" s="316">
        <v>0</v>
      </c>
      <c r="AE47" s="316">
        <v>0</v>
      </c>
      <c r="AF47" s="316">
        <v>0</v>
      </c>
      <c r="AG47" s="316">
        <v>0</v>
      </c>
      <c r="AH47" s="316">
        <v>14076.73</v>
      </c>
      <c r="AI47" s="316">
        <v>0</v>
      </c>
      <c r="AJ47" s="316">
        <v>913231.44</v>
      </c>
      <c r="AK47" s="316">
        <v>0</v>
      </c>
      <c r="AL47" s="316">
        <v>0</v>
      </c>
      <c r="AM47" s="316">
        <v>0</v>
      </c>
      <c r="AN47" s="316">
        <v>0</v>
      </c>
      <c r="AO47" s="316">
        <v>0</v>
      </c>
      <c r="AP47" s="316">
        <v>0</v>
      </c>
      <c r="AQ47" s="316">
        <v>0</v>
      </c>
      <c r="AR47" s="316">
        <v>0</v>
      </c>
      <c r="AS47" s="316">
        <v>0</v>
      </c>
      <c r="AT47" s="316">
        <v>0</v>
      </c>
      <c r="AU47" s="316">
        <v>295959.28999999998</v>
      </c>
      <c r="AV47" s="316">
        <v>0</v>
      </c>
      <c r="AW47" s="316">
        <v>0</v>
      </c>
      <c r="AX47" s="316">
        <v>0</v>
      </c>
      <c r="AY47" s="316">
        <v>0</v>
      </c>
      <c r="AZ47" s="316">
        <v>0</v>
      </c>
      <c r="BA47" s="316">
        <v>0</v>
      </c>
      <c r="BB47" s="316">
        <v>0</v>
      </c>
      <c r="BC47" s="316">
        <v>0</v>
      </c>
      <c r="BD47" s="316">
        <v>0</v>
      </c>
      <c r="BE47" s="316">
        <v>0</v>
      </c>
      <c r="BF47" s="316">
        <v>0</v>
      </c>
      <c r="BG47" s="316">
        <v>0</v>
      </c>
      <c r="BH47" s="316">
        <v>0</v>
      </c>
      <c r="BI47" s="316">
        <v>0</v>
      </c>
      <c r="BJ47" s="316">
        <v>0</v>
      </c>
      <c r="BK47" s="316">
        <v>0</v>
      </c>
      <c r="BL47" s="316">
        <v>0</v>
      </c>
      <c r="BM47" s="316">
        <v>0</v>
      </c>
      <c r="BN47" s="316">
        <v>1414.82</v>
      </c>
      <c r="BO47" s="316">
        <v>0</v>
      </c>
      <c r="BP47" s="316">
        <v>0</v>
      </c>
      <c r="BQ47" s="316">
        <v>0</v>
      </c>
      <c r="BR47" s="316">
        <v>5722</v>
      </c>
      <c r="BS47" s="316">
        <v>0</v>
      </c>
      <c r="BT47" s="316">
        <v>0</v>
      </c>
      <c r="BU47" s="316">
        <v>0</v>
      </c>
      <c r="BV47" s="316">
        <v>0</v>
      </c>
      <c r="BW47" s="316">
        <v>0</v>
      </c>
      <c r="BX47" s="316">
        <v>0</v>
      </c>
      <c r="BY47" s="316">
        <v>0</v>
      </c>
      <c r="BZ47" s="316">
        <v>0</v>
      </c>
      <c r="CA47" s="316">
        <v>0</v>
      </c>
      <c r="CB47" s="316">
        <v>0</v>
      </c>
      <c r="CC47" s="316">
        <v>0</v>
      </c>
      <c r="CD47" s="16"/>
      <c r="CE47" s="28">
        <f>SUM(C47:CC47)</f>
        <v>1231226.28</v>
      </c>
    </row>
    <row r="48" spans="1:83" x14ac:dyDescent="0.35">
      <c r="A48" s="28" t="s">
        <v>232</v>
      </c>
      <c r="B48" s="315">
        <v>4882892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400361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42237</v>
      </c>
      <c r="L48" s="28">
        <f t="shared" si="0"/>
        <v>455280</v>
      </c>
      <c r="M48" s="28">
        <f t="shared" si="0"/>
        <v>0</v>
      </c>
      <c r="N48" s="28">
        <f t="shared" si="0"/>
        <v>0</v>
      </c>
      <c r="O48" s="28">
        <f t="shared" si="0"/>
        <v>32081</v>
      </c>
      <c r="P48" s="28">
        <f t="shared" si="0"/>
        <v>183824</v>
      </c>
      <c r="Q48" s="28">
        <f t="shared" si="0"/>
        <v>395</v>
      </c>
      <c r="R48" s="28">
        <f t="shared" si="0"/>
        <v>131771</v>
      </c>
      <c r="S48" s="28">
        <f t="shared" si="0"/>
        <v>21202</v>
      </c>
      <c r="T48" s="28">
        <f t="shared" si="0"/>
        <v>0</v>
      </c>
      <c r="U48" s="28">
        <f t="shared" si="0"/>
        <v>143075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335959</v>
      </c>
      <c r="Z48" s="28">
        <f t="shared" si="0"/>
        <v>0</v>
      </c>
      <c r="AA48" s="28">
        <f t="shared" si="0"/>
        <v>0</v>
      </c>
      <c r="AB48" s="28">
        <f t="shared" si="0"/>
        <v>68309</v>
      </c>
      <c r="AC48" s="28">
        <f t="shared" si="0"/>
        <v>18736</v>
      </c>
      <c r="AD48" s="28">
        <f t="shared" si="0"/>
        <v>0</v>
      </c>
      <c r="AE48" s="28">
        <f t="shared" si="0"/>
        <v>156462</v>
      </c>
      <c r="AF48" s="28">
        <f t="shared" si="0"/>
        <v>0</v>
      </c>
      <c r="AG48" s="28">
        <f t="shared" si="0"/>
        <v>201793</v>
      </c>
      <c r="AH48" s="28">
        <f t="shared" si="0"/>
        <v>103437</v>
      </c>
      <c r="AI48" s="28">
        <f t="shared" ref="AI48:BN48" si="1">IF($B$48,(ROUND((($B$48/$CE$61)*AI61),0)))</f>
        <v>24522</v>
      </c>
      <c r="AJ48" s="28">
        <f t="shared" si="1"/>
        <v>855111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267917</v>
      </c>
      <c r="AV48" s="28">
        <f t="shared" si="1"/>
        <v>18676</v>
      </c>
      <c r="AW48" s="28">
        <f t="shared" si="1"/>
        <v>0</v>
      </c>
      <c r="AX48" s="28">
        <f t="shared" si="1"/>
        <v>0</v>
      </c>
      <c r="AY48" s="28">
        <f t="shared" si="1"/>
        <v>148408</v>
      </c>
      <c r="AZ48" s="28">
        <f t="shared" si="1"/>
        <v>0</v>
      </c>
      <c r="BA48" s="28">
        <f t="shared" si="1"/>
        <v>313</v>
      </c>
      <c r="BB48" s="28">
        <f t="shared" si="1"/>
        <v>58815</v>
      </c>
      <c r="BC48" s="28">
        <f t="shared" si="1"/>
        <v>0</v>
      </c>
      <c r="BD48" s="28">
        <f t="shared" si="1"/>
        <v>39561</v>
      </c>
      <c r="BE48" s="28">
        <f t="shared" si="1"/>
        <v>132437</v>
      </c>
      <c r="BF48" s="28">
        <f t="shared" si="1"/>
        <v>168438</v>
      </c>
      <c r="BG48" s="28">
        <f t="shared" si="1"/>
        <v>0</v>
      </c>
      <c r="BH48" s="28">
        <f t="shared" si="1"/>
        <v>68953</v>
      </c>
      <c r="BI48" s="28">
        <f t="shared" si="1"/>
        <v>0</v>
      </c>
      <c r="BJ48" s="28">
        <f t="shared" si="1"/>
        <v>72930</v>
      </c>
      <c r="BK48" s="28">
        <f t="shared" si="1"/>
        <v>214931</v>
      </c>
      <c r="BL48" s="28">
        <f t="shared" si="1"/>
        <v>83859</v>
      </c>
      <c r="BM48" s="28">
        <f t="shared" si="1"/>
        <v>0</v>
      </c>
      <c r="BN48" s="28">
        <f t="shared" si="1"/>
        <v>155620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49082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60803</v>
      </c>
      <c r="BW48" s="28">
        <f t="shared" si="2"/>
        <v>0</v>
      </c>
      <c r="BX48" s="28">
        <f t="shared" si="2"/>
        <v>86937</v>
      </c>
      <c r="BY48" s="28">
        <f t="shared" si="2"/>
        <v>56884</v>
      </c>
      <c r="BZ48" s="28">
        <f t="shared" si="2"/>
        <v>0</v>
      </c>
      <c r="CA48" s="28">
        <f t="shared" si="2"/>
        <v>7164</v>
      </c>
      <c r="CB48" s="28">
        <f t="shared" si="2"/>
        <v>8298</v>
      </c>
      <c r="CC48" s="28">
        <f t="shared" si="2"/>
        <v>8312</v>
      </c>
      <c r="CD48" s="28">
        <f t="shared" si="2"/>
        <v>0</v>
      </c>
      <c r="CE48" s="28">
        <f>SUM(C48:CD48)</f>
        <v>4882893</v>
      </c>
    </row>
    <row r="49" spans="1:83" x14ac:dyDescent="0.35">
      <c r="A49" s="16" t="s">
        <v>233</v>
      </c>
      <c r="B49" s="28">
        <f>B47+B48</f>
        <v>4882892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6">
        <v>0</v>
      </c>
      <c r="C51" s="316">
        <v>0</v>
      </c>
      <c r="D51" s="316">
        <v>0</v>
      </c>
      <c r="E51" s="316">
        <v>311668.88</v>
      </c>
      <c r="F51" s="316">
        <v>0</v>
      </c>
      <c r="G51" s="316">
        <v>0</v>
      </c>
      <c r="H51" s="316">
        <v>0</v>
      </c>
      <c r="I51" s="316">
        <v>0</v>
      </c>
      <c r="J51" s="316">
        <v>1571.33</v>
      </c>
      <c r="K51" s="316">
        <v>7127.1</v>
      </c>
      <c r="L51" s="316">
        <v>128122.81</v>
      </c>
      <c r="M51" s="316">
        <v>0</v>
      </c>
      <c r="N51" s="316">
        <v>0</v>
      </c>
      <c r="O51" s="316">
        <v>29119.86</v>
      </c>
      <c r="P51" s="316">
        <v>72597.09</v>
      </c>
      <c r="Q51" s="316">
        <v>0</v>
      </c>
      <c r="R51" s="316">
        <v>10991.45</v>
      </c>
      <c r="S51" s="316">
        <v>0</v>
      </c>
      <c r="T51" s="316">
        <v>0</v>
      </c>
      <c r="U51" s="316">
        <v>85912.68</v>
      </c>
      <c r="V51" s="316">
        <v>0</v>
      </c>
      <c r="W51" s="316">
        <v>0</v>
      </c>
      <c r="X51" s="316">
        <v>0</v>
      </c>
      <c r="Y51" s="316">
        <v>117156.03</v>
      </c>
      <c r="Z51" s="316">
        <v>0</v>
      </c>
      <c r="AA51" s="316">
        <v>0</v>
      </c>
      <c r="AB51" s="316">
        <v>4359.8599999999997</v>
      </c>
      <c r="AC51" s="316">
        <v>1847.28</v>
      </c>
      <c r="AD51" s="316">
        <v>0</v>
      </c>
      <c r="AE51" s="316">
        <v>27378.51</v>
      </c>
      <c r="AF51" s="316">
        <v>0</v>
      </c>
      <c r="AG51" s="316">
        <v>61597.3</v>
      </c>
      <c r="AH51" s="316">
        <v>243312.73</v>
      </c>
      <c r="AI51" s="316">
        <v>0</v>
      </c>
      <c r="AJ51" s="316">
        <v>46321.599999999999</v>
      </c>
      <c r="AK51" s="316">
        <v>0</v>
      </c>
      <c r="AL51" s="316">
        <v>0</v>
      </c>
      <c r="AM51" s="316">
        <v>0</v>
      </c>
      <c r="AN51" s="316">
        <v>0</v>
      </c>
      <c r="AO51" s="316">
        <v>0</v>
      </c>
      <c r="AP51" s="316">
        <v>0</v>
      </c>
      <c r="AQ51" s="316">
        <v>0</v>
      </c>
      <c r="AR51" s="316">
        <v>0</v>
      </c>
      <c r="AS51" s="316">
        <v>0</v>
      </c>
      <c r="AT51" s="316">
        <v>0</v>
      </c>
      <c r="AU51" s="316">
        <v>169.44</v>
      </c>
      <c r="AV51" s="316">
        <v>41431.9</v>
      </c>
      <c r="AW51" s="316">
        <v>0</v>
      </c>
      <c r="AX51" s="316">
        <v>0</v>
      </c>
      <c r="AY51" s="316">
        <v>4575.8</v>
      </c>
      <c r="AZ51" s="316">
        <v>37110.58</v>
      </c>
      <c r="BA51" s="316">
        <v>27643.439999999999</v>
      </c>
      <c r="BB51" s="316">
        <v>0</v>
      </c>
      <c r="BC51" s="316">
        <v>0</v>
      </c>
      <c r="BD51" s="316">
        <v>0</v>
      </c>
      <c r="BE51" s="316">
        <v>20951.759999999998</v>
      </c>
      <c r="BF51" s="316">
        <v>0</v>
      </c>
      <c r="BG51" s="316">
        <v>0</v>
      </c>
      <c r="BH51" s="316">
        <v>43584.62</v>
      </c>
      <c r="BI51" s="316">
        <v>0</v>
      </c>
      <c r="BJ51" s="316">
        <v>0</v>
      </c>
      <c r="BK51" s="316">
        <v>0</v>
      </c>
      <c r="BL51" s="316">
        <v>3238.99</v>
      </c>
      <c r="BM51" s="316">
        <v>0</v>
      </c>
      <c r="BN51" s="316">
        <v>19929.72</v>
      </c>
      <c r="BO51" s="316">
        <v>0</v>
      </c>
      <c r="BP51" s="316">
        <v>0</v>
      </c>
      <c r="BQ51" s="316">
        <v>0</v>
      </c>
      <c r="BR51" s="316">
        <v>0</v>
      </c>
      <c r="BS51" s="316">
        <v>0</v>
      </c>
      <c r="BT51" s="316">
        <v>0</v>
      </c>
      <c r="BU51" s="316">
        <v>0</v>
      </c>
      <c r="BV51" s="316">
        <v>3222.68</v>
      </c>
      <c r="BW51" s="316">
        <v>0</v>
      </c>
      <c r="BX51" s="316">
        <v>0</v>
      </c>
      <c r="BY51" s="316">
        <v>0</v>
      </c>
      <c r="BZ51" s="316">
        <v>0</v>
      </c>
      <c r="CA51" s="316">
        <v>0</v>
      </c>
      <c r="CB51" s="316">
        <v>0</v>
      </c>
      <c r="CC51" s="316">
        <v>0</v>
      </c>
      <c r="CD51" s="16"/>
      <c r="CE51" s="28">
        <f>SUM(C51:CD51)</f>
        <v>1350943.4400000002</v>
      </c>
    </row>
    <row r="52" spans="1:83" x14ac:dyDescent="0.35">
      <c r="A52" s="35" t="s">
        <v>235</v>
      </c>
      <c r="B52" s="317">
        <v>614749.4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27048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1705</v>
      </c>
      <c r="K52" s="28">
        <f t="shared" si="3"/>
        <v>24679</v>
      </c>
      <c r="L52" s="28">
        <f t="shared" si="3"/>
        <v>17726</v>
      </c>
      <c r="M52" s="28">
        <f t="shared" si="3"/>
        <v>0</v>
      </c>
      <c r="N52" s="28">
        <f t="shared" si="3"/>
        <v>0</v>
      </c>
      <c r="O52" s="28">
        <f t="shared" si="3"/>
        <v>5371</v>
      </c>
      <c r="P52" s="28">
        <f t="shared" si="3"/>
        <v>63828</v>
      </c>
      <c r="Q52" s="28">
        <f t="shared" si="3"/>
        <v>0</v>
      </c>
      <c r="R52" s="28">
        <f t="shared" si="3"/>
        <v>0</v>
      </c>
      <c r="S52" s="28">
        <f t="shared" si="3"/>
        <v>15418</v>
      </c>
      <c r="T52" s="28">
        <f t="shared" si="3"/>
        <v>0</v>
      </c>
      <c r="U52" s="28">
        <f t="shared" si="3"/>
        <v>12866</v>
      </c>
      <c r="V52" s="28">
        <f t="shared" si="3"/>
        <v>2410</v>
      </c>
      <c r="W52" s="28">
        <f t="shared" si="3"/>
        <v>0</v>
      </c>
      <c r="X52" s="28">
        <f t="shared" si="3"/>
        <v>0</v>
      </c>
      <c r="Y52" s="28">
        <f t="shared" si="3"/>
        <v>25435</v>
      </c>
      <c r="Z52" s="28">
        <f t="shared" si="3"/>
        <v>0</v>
      </c>
      <c r="AA52" s="28">
        <f t="shared" si="3"/>
        <v>0</v>
      </c>
      <c r="AB52" s="28">
        <f t="shared" si="3"/>
        <v>4023</v>
      </c>
      <c r="AC52" s="28">
        <f t="shared" si="3"/>
        <v>7678</v>
      </c>
      <c r="AD52" s="28">
        <f t="shared" si="3"/>
        <v>0</v>
      </c>
      <c r="AE52" s="28">
        <f t="shared" si="3"/>
        <v>30591</v>
      </c>
      <c r="AF52" s="28">
        <f t="shared" si="3"/>
        <v>0</v>
      </c>
      <c r="AG52" s="28">
        <f t="shared" si="3"/>
        <v>16102</v>
      </c>
      <c r="AH52" s="28">
        <f t="shared" si="3"/>
        <v>16848</v>
      </c>
      <c r="AI52" s="28">
        <f t="shared" ref="AI52:BN52" si="4">IF($B$52,ROUND(($B$52/($CE$90+$CF$90)*AI90),0))</f>
        <v>0</v>
      </c>
      <c r="AJ52" s="28">
        <f t="shared" si="4"/>
        <v>142205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19503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10762</v>
      </c>
      <c r="AZ52" s="28">
        <f t="shared" si="4"/>
        <v>7515</v>
      </c>
      <c r="BA52" s="28">
        <f t="shared" si="4"/>
        <v>7627</v>
      </c>
      <c r="BB52" s="28">
        <f t="shared" si="4"/>
        <v>3676</v>
      </c>
      <c r="BC52" s="28">
        <f t="shared" si="4"/>
        <v>0</v>
      </c>
      <c r="BD52" s="28">
        <f t="shared" si="4"/>
        <v>1021</v>
      </c>
      <c r="BE52" s="28">
        <f t="shared" si="4"/>
        <v>18012</v>
      </c>
      <c r="BF52" s="28">
        <f t="shared" si="4"/>
        <v>1174</v>
      </c>
      <c r="BG52" s="28">
        <f t="shared" si="4"/>
        <v>0</v>
      </c>
      <c r="BH52" s="28">
        <f t="shared" si="4"/>
        <v>3635</v>
      </c>
      <c r="BI52" s="28">
        <f t="shared" si="4"/>
        <v>0</v>
      </c>
      <c r="BJ52" s="28">
        <f t="shared" si="4"/>
        <v>0</v>
      </c>
      <c r="BK52" s="28">
        <f t="shared" si="4"/>
        <v>27518</v>
      </c>
      <c r="BL52" s="28">
        <f t="shared" si="4"/>
        <v>1511</v>
      </c>
      <c r="BM52" s="28">
        <f t="shared" si="4"/>
        <v>0</v>
      </c>
      <c r="BN52" s="28">
        <f t="shared" si="4"/>
        <v>68259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11038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9241</v>
      </c>
      <c r="BW52" s="28">
        <f t="shared" si="5"/>
        <v>0</v>
      </c>
      <c r="BX52" s="28">
        <f t="shared" si="5"/>
        <v>0</v>
      </c>
      <c r="BY52" s="28">
        <f t="shared" si="5"/>
        <v>9210</v>
      </c>
      <c r="BZ52" s="28">
        <f t="shared" si="5"/>
        <v>0</v>
      </c>
      <c r="CA52" s="28">
        <f t="shared" si="5"/>
        <v>0</v>
      </c>
      <c r="CB52" s="28">
        <f t="shared" si="5"/>
        <v>1113</v>
      </c>
      <c r="CC52" s="28">
        <f t="shared" si="5"/>
        <v>0</v>
      </c>
      <c r="CD52" s="28">
        <f t="shared" si="5"/>
        <v>0</v>
      </c>
      <c r="CE52" s="28">
        <f>SUM(C52:CD52)</f>
        <v>614748</v>
      </c>
    </row>
    <row r="53" spans="1:83" x14ac:dyDescent="0.35">
      <c r="A53" s="16" t="s">
        <v>233</v>
      </c>
      <c r="B53" s="28">
        <f>B51+B52</f>
        <v>614749.4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6">
        <v>0</v>
      </c>
      <c r="D59" s="316">
        <v>0</v>
      </c>
      <c r="E59" s="316">
        <v>484</v>
      </c>
      <c r="F59" s="316">
        <v>0</v>
      </c>
      <c r="G59" s="316">
        <v>0</v>
      </c>
      <c r="H59" s="316">
        <v>0</v>
      </c>
      <c r="I59" s="316">
        <v>0</v>
      </c>
      <c r="J59" s="316">
        <v>7</v>
      </c>
      <c r="K59" s="316">
        <v>583</v>
      </c>
      <c r="L59" s="316">
        <v>6514</v>
      </c>
      <c r="M59" s="316">
        <v>0</v>
      </c>
      <c r="N59" s="316">
        <v>0</v>
      </c>
      <c r="O59" s="316">
        <v>10</v>
      </c>
      <c r="P59" s="318">
        <v>6722</v>
      </c>
      <c r="Q59" s="318">
        <v>8216</v>
      </c>
      <c r="R59" s="318">
        <v>15456</v>
      </c>
      <c r="S59" s="244">
        <v>0</v>
      </c>
      <c r="T59" s="244">
        <v>0</v>
      </c>
      <c r="U59" s="319">
        <v>59291</v>
      </c>
      <c r="V59" s="318">
        <v>0</v>
      </c>
      <c r="W59" s="318">
        <v>4116.99</v>
      </c>
      <c r="X59" s="318">
        <v>12926.89</v>
      </c>
      <c r="Y59" s="318">
        <v>7350.1</v>
      </c>
      <c r="Z59" s="318">
        <v>0</v>
      </c>
      <c r="AA59" s="318">
        <v>313.74</v>
      </c>
      <c r="AB59" s="244">
        <v>0</v>
      </c>
      <c r="AC59" s="318">
        <v>737</v>
      </c>
      <c r="AD59" s="318">
        <v>0</v>
      </c>
      <c r="AE59" s="318">
        <v>6238</v>
      </c>
      <c r="AF59" s="318">
        <v>0</v>
      </c>
      <c r="AG59" s="318">
        <v>4939</v>
      </c>
      <c r="AH59" s="318">
        <v>855</v>
      </c>
      <c r="AI59" s="318">
        <v>0</v>
      </c>
      <c r="AJ59" s="318">
        <v>16679</v>
      </c>
      <c r="AK59" s="318">
        <v>0</v>
      </c>
      <c r="AL59" s="318">
        <v>0</v>
      </c>
      <c r="AM59" s="318">
        <v>0</v>
      </c>
      <c r="AN59" s="318">
        <v>0</v>
      </c>
      <c r="AO59" s="318">
        <v>0</v>
      </c>
      <c r="AP59" s="318">
        <v>0</v>
      </c>
      <c r="AQ59" s="318">
        <v>0</v>
      </c>
      <c r="AR59" s="318">
        <v>0</v>
      </c>
      <c r="AS59" s="318">
        <v>0</v>
      </c>
      <c r="AT59" s="318">
        <v>0</v>
      </c>
      <c r="AU59" s="318">
        <v>8396</v>
      </c>
      <c r="AV59" s="244">
        <v>0</v>
      </c>
      <c r="AW59" s="244">
        <v>0</v>
      </c>
      <c r="AX59" s="244">
        <v>0</v>
      </c>
      <c r="AY59" s="318">
        <v>108021</v>
      </c>
      <c r="AZ59" s="318">
        <v>0</v>
      </c>
      <c r="BA59" s="244">
        <v>0</v>
      </c>
      <c r="BB59" s="244">
        <v>0</v>
      </c>
      <c r="BC59" s="244">
        <v>0</v>
      </c>
      <c r="BD59" s="244">
        <v>0</v>
      </c>
      <c r="BE59" s="318">
        <v>60206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20">
        <v>0</v>
      </c>
      <c r="D60" s="320">
        <v>0</v>
      </c>
      <c r="E60" s="320">
        <v>19.260000000000002</v>
      </c>
      <c r="F60" s="320">
        <v>0</v>
      </c>
      <c r="G60" s="320">
        <v>0</v>
      </c>
      <c r="H60" s="320">
        <v>0</v>
      </c>
      <c r="I60" s="320">
        <v>0</v>
      </c>
      <c r="J60" s="320">
        <v>0</v>
      </c>
      <c r="K60" s="320">
        <v>1.34</v>
      </c>
      <c r="L60" s="320">
        <v>28.56</v>
      </c>
      <c r="M60" s="320">
        <v>0</v>
      </c>
      <c r="N60" s="320">
        <v>0</v>
      </c>
      <c r="O60" s="320">
        <v>0.03</v>
      </c>
      <c r="P60" s="321">
        <v>5.29</v>
      </c>
      <c r="Q60" s="321">
        <v>0.01</v>
      </c>
      <c r="R60" s="321">
        <f>1.31+0.03</f>
        <v>1.34</v>
      </c>
      <c r="S60" s="322">
        <v>2.02</v>
      </c>
      <c r="T60" s="322">
        <v>0</v>
      </c>
      <c r="U60" s="323">
        <v>8.6999999999999993</v>
      </c>
      <c r="V60" s="321">
        <v>0</v>
      </c>
      <c r="W60" s="321">
        <v>0</v>
      </c>
      <c r="X60" s="321">
        <v>0</v>
      </c>
      <c r="Y60" s="321">
        <v>11.19</v>
      </c>
      <c r="Z60" s="321">
        <v>0</v>
      </c>
      <c r="AA60" s="321">
        <v>0</v>
      </c>
      <c r="AB60" s="322">
        <v>3.15</v>
      </c>
      <c r="AC60" s="321">
        <v>0.93</v>
      </c>
      <c r="AD60" s="321">
        <v>0</v>
      </c>
      <c r="AE60" s="321">
        <v>9.77</v>
      </c>
      <c r="AF60" s="321">
        <v>0</v>
      </c>
      <c r="AG60" s="321">
        <f>2.49+4.51</f>
        <v>7</v>
      </c>
      <c r="AH60" s="321">
        <v>5.9</v>
      </c>
      <c r="AI60" s="321">
        <v>0.78</v>
      </c>
      <c r="AJ60" s="321">
        <v>34.159999999999997</v>
      </c>
      <c r="AK60" s="321">
        <v>0</v>
      </c>
      <c r="AL60" s="321">
        <v>0</v>
      </c>
      <c r="AM60" s="321">
        <v>0</v>
      </c>
      <c r="AN60" s="321">
        <v>0</v>
      </c>
      <c r="AO60" s="321">
        <v>0</v>
      </c>
      <c r="AP60" s="321">
        <v>0</v>
      </c>
      <c r="AQ60" s="321">
        <v>0</v>
      </c>
      <c r="AR60" s="321">
        <v>0</v>
      </c>
      <c r="AS60" s="321">
        <v>0</v>
      </c>
      <c r="AT60" s="321">
        <v>0</v>
      </c>
      <c r="AU60" s="321">
        <v>17.98</v>
      </c>
      <c r="AV60" s="322">
        <v>0</v>
      </c>
      <c r="AW60" s="322">
        <v>0</v>
      </c>
      <c r="AX60" s="322">
        <v>0</v>
      </c>
      <c r="AY60" s="321">
        <v>11.4</v>
      </c>
      <c r="AZ60" s="321">
        <v>0</v>
      </c>
      <c r="BA60" s="322">
        <v>0.03</v>
      </c>
      <c r="BB60" s="322">
        <v>2.9</v>
      </c>
      <c r="BC60" s="322">
        <v>0</v>
      </c>
      <c r="BD60" s="322">
        <v>2.0499999999999998</v>
      </c>
      <c r="BE60" s="321">
        <v>7.75</v>
      </c>
      <c r="BF60" s="322">
        <v>14.8</v>
      </c>
      <c r="BG60" s="322">
        <v>0</v>
      </c>
      <c r="BH60" s="322">
        <v>3.34</v>
      </c>
      <c r="BI60" s="322">
        <v>0</v>
      </c>
      <c r="BJ60" s="322">
        <v>4.03</v>
      </c>
      <c r="BK60" s="322">
        <v>13.74</v>
      </c>
      <c r="BL60" s="322">
        <v>6.69</v>
      </c>
      <c r="BM60" s="322">
        <v>0</v>
      </c>
      <c r="BN60" s="322">
        <f>3.77+0.07</f>
        <v>3.84</v>
      </c>
      <c r="BO60" s="322">
        <v>0</v>
      </c>
      <c r="BP60" s="322">
        <v>0</v>
      </c>
      <c r="BQ60" s="322">
        <v>0</v>
      </c>
      <c r="BR60" s="322">
        <v>3.02</v>
      </c>
      <c r="BS60" s="322">
        <v>0</v>
      </c>
      <c r="BT60" s="322">
        <v>0</v>
      </c>
      <c r="BU60" s="322">
        <v>0</v>
      </c>
      <c r="BV60" s="322">
        <v>4.66</v>
      </c>
      <c r="BW60" s="322">
        <v>0</v>
      </c>
      <c r="BX60" s="322">
        <v>3.3</v>
      </c>
      <c r="BY60" s="322">
        <v>2.0699999999999998</v>
      </c>
      <c r="BZ60" s="322">
        <v>0</v>
      </c>
      <c r="CA60" s="322">
        <v>0.32</v>
      </c>
      <c r="CB60" s="322">
        <v>0.5</v>
      </c>
      <c r="CC60" s="322">
        <f>0.5+0.89</f>
        <v>1.3900000000000001</v>
      </c>
      <c r="CD60" s="219" t="s">
        <v>248</v>
      </c>
      <c r="CE60" s="237">
        <f t="shared" ref="CE60:CE68" si="6">SUM(C60:CD60)</f>
        <v>243.24000000000004</v>
      </c>
    </row>
    <row r="61" spans="1:83" x14ac:dyDescent="0.35">
      <c r="A61" s="35" t="s">
        <v>263</v>
      </c>
      <c r="B61" s="16"/>
      <c r="C61" s="316">
        <v>0</v>
      </c>
      <c r="D61" s="316">
        <v>0</v>
      </c>
      <c r="E61" s="316">
        <v>1674725.75</v>
      </c>
      <c r="F61" s="316">
        <v>0</v>
      </c>
      <c r="G61" s="316">
        <v>0</v>
      </c>
      <c r="H61" s="316">
        <v>0</v>
      </c>
      <c r="I61" s="316">
        <v>0</v>
      </c>
      <c r="J61" s="316">
        <v>0</v>
      </c>
      <c r="K61" s="316">
        <v>176678.34</v>
      </c>
      <c r="L61" s="316">
        <v>1904450.3499999999</v>
      </c>
      <c r="M61" s="316">
        <v>0</v>
      </c>
      <c r="N61" s="316">
        <v>0</v>
      </c>
      <c r="O61" s="316">
        <v>134197.24</v>
      </c>
      <c r="P61" s="318">
        <v>768944.30999999994</v>
      </c>
      <c r="Q61" s="318">
        <v>1652.78</v>
      </c>
      <c r="R61" s="318">
        <v>551204.43000000005</v>
      </c>
      <c r="S61" s="324">
        <v>88687.1</v>
      </c>
      <c r="T61" s="324">
        <v>0</v>
      </c>
      <c r="U61" s="319">
        <v>598487.1</v>
      </c>
      <c r="V61" s="318">
        <v>0</v>
      </c>
      <c r="W61" s="318">
        <v>0</v>
      </c>
      <c r="X61" s="318">
        <v>0</v>
      </c>
      <c r="Y61" s="318">
        <v>1405329.12</v>
      </c>
      <c r="Z61" s="318">
        <v>0</v>
      </c>
      <c r="AA61" s="318">
        <v>0</v>
      </c>
      <c r="AB61" s="325">
        <v>285737.06</v>
      </c>
      <c r="AC61" s="318">
        <v>78371.33</v>
      </c>
      <c r="AD61" s="318">
        <v>0</v>
      </c>
      <c r="AE61" s="318">
        <v>654485.16</v>
      </c>
      <c r="AF61" s="318">
        <v>0</v>
      </c>
      <c r="AG61" s="318">
        <v>844109.16</v>
      </c>
      <c r="AH61" s="318">
        <v>432679.08</v>
      </c>
      <c r="AI61" s="318">
        <v>102574.96</v>
      </c>
      <c r="AJ61" s="318">
        <v>3576961.35</v>
      </c>
      <c r="AK61" s="318">
        <v>0</v>
      </c>
      <c r="AL61" s="318">
        <v>0</v>
      </c>
      <c r="AM61" s="318">
        <v>0</v>
      </c>
      <c r="AN61" s="318">
        <v>0</v>
      </c>
      <c r="AO61" s="318">
        <v>0</v>
      </c>
      <c r="AP61" s="318">
        <v>0</v>
      </c>
      <c r="AQ61" s="318">
        <v>0</v>
      </c>
      <c r="AR61" s="318">
        <v>0</v>
      </c>
      <c r="AS61" s="318">
        <v>0</v>
      </c>
      <c r="AT61" s="318">
        <v>0</v>
      </c>
      <c r="AU61" s="318">
        <v>1120704.3400000001</v>
      </c>
      <c r="AV61" s="324">
        <v>78123.88</v>
      </c>
      <c r="AW61" s="324">
        <v>0</v>
      </c>
      <c r="AX61" s="324">
        <v>0</v>
      </c>
      <c r="AY61" s="318">
        <v>620794.62</v>
      </c>
      <c r="AZ61" s="318">
        <v>0</v>
      </c>
      <c r="BA61" s="324">
        <v>1310.75</v>
      </c>
      <c r="BB61" s="324">
        <v>246024.5</v>
      </c>
      <c r="BC61" s="324">
        <v>0</v>
      </c>
      <c r="BD61" s="324">
        <v>165483.82</v>
      </c>
      <c r="BE61" s="318">
        <v>553990.15</v>
      </c>
      <c r="BF61" s="324">
        <v>704583.82</v>
      </c>
      <c r="BG61" s="324">
        <v>0</v>
      </c>
      <c r="BH61" s="324">
        <v>288433.21000000002</v>
      </c>
      <c r="BI61" s="324">
        <v>0</v>
      </c>
      <c r="BJ61" s="324">
        <v>305066.78000000003</v>
      </c>
      <c r="BK61" s="324">
        <v>899064.43</v>
      </c>
      <c r="BL61" s="324">
        <v>350783.61</v>
      </c>
      <c r="BM61" s="324">
        <v>0</v>
      </c>
      <c r="BN61" s="324">
        <v>650964.19999999995</v>
      </c>
      <c r="BO61" s="324">
        <v>0</v>
      </c>
      <c r="BP61" s="324">
        <v>0</v>
      </c>
      <c r="BQ61" s="324">
        <v>0</v>
      </c>
      <c r="BR61" s="324">
        <v>205313.74</v>
      </c>
      <c r="BS61" s="324">
        <v>0</v>
      </c>
      <c r="BT61" s="324">
        <v>0</v>
      </c>
      <c r="BU61" s="324">
        <v>0</v>
      </c>
      <c r="BV61" s="324">
        <v>254339.74</v>
      </c>
      <c r="BW61" s="324">
        <v>0</v>
      </c>
      <c r="BX61" s="324">
        <v>363660.58</v>
      </c>
      <c r="BY61" s="324">
        <v>237945.93</v>
      </c>
      <c r="BZ61" s="324">
        <v>0</v>
      </c>
      <c r="CA61" s="324">
        <v>29966.97</v>
      </c>
      <c r="CB61" s="324">
        <v>34709.71</v>
      </c>
      <c r="CC61" s="324">
        <v>34771</v>
      </c>
      <c r="CD61" s="25" t="s">
        <v>248</v>
      </c>
      <c r="CE61" s="28">
        <f t="shared" si="6"/>
        <v>20425310.399999995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400361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42237</v>
      </c>
      <c r="L62" s="28">
        <f t="shared" si="7"/>
        <v>455280</v>
      </c>
      <c r="M62" s="28">
        <f t="shared" si="7"/>
        <v>0</v>
      </c>
      <c r="N62" s="28">
        <f t="shared" si="7"/>
        <v>0</v>
      </c>
      <c r="O62" s="28">
        <f t="shared" si="7"/>
        <v>32903</v>
      </c>
      <c r="P62" s="28">
        <f t="shared" si="7"/>
        <v>183824</v>
      </c>
      <c r="Q62" s="28">
        <f t="shared" si="7"/>
        <v>395</v>
      </c>
      <c r="R62" s="28">
        <f t="shared" si="7"/>
        <v>131771</v>
      </c>
      <c r="S62" s="28">
        <f t="shared" si="7"/>
        <v>21202</v>
      </c>
      <c r="T62" s="28">
        <f t="shared" si="7"/>
        <v>0</v>
      </c>
      <c r="U62" s="28">
        <f t="shared" si="7"/>
        <v>143075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335959</v>
      </c>
      <c r="Z62" s="28">
        <f t="shared" si="7"/>
        <v>0</v>
      </c>
      <c r="AA62" s="28">
        <f t="shared" si="7"/>
        <v>0</v>
      </c>
      <c r="AB62" s="28">
        <f t="shared" si="7"/>
        <v>68309</v>
      </c>
      <c r="AC62" s="28">
        <f t="shared" si="7"/>
        <v>18736</v>
      </c>
      <c r="AD62" s="28">
        <f t="shared" si="7"/>
        <v>0</v>
      </c>
      <c r="AE62" s="28">
        <f t="shared" si="7"/>
        <v>156462</v>
      </c>
      <c r="AF62" s="28">
        <f t="shared" si="7"/>
        <v>0</v>
      </c>
      <c r="AG62" s="28">
        <f t="shared" si="7"/>
        <v>201793</v>
      </c>
      <c r="AH62" s="28">
        <f t="shared" si="7"/>
        <v>117514</v>
      </c>
      <c r="AI62" s="28">
        <f t="shared" ref="AI62:BN62" si="8">ROUND(AI47+AI48,0)</f>
        <v>24522</v>
      </c>
      <c r="AJ62" s="28">
        <f t="shared" si="8"/>
        <v>1768342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563876</v>
      </c>
      <c r="AV62" s="28">
        <f t="shared" si="8"/>
        <v>18676</v>
      </c>
      <c r="AW62" s="28">
        <f t="shared" si="8"/>
        <v>0</v>
      </c>
      <c r="AX62" s="28">
        <f t="shared" si="8"/>
        <v>0</v>
      </c>
      <c r="AY62" s="28">
        <f t="shared" si="8"/>
        <v>148408</v>
      </c>
      <c r="AZ62" s="28">
        <f t="shared" si="8"/>
        <v>0</v>
      </c>
      <c r="BA62" s="28">
        <f t="shared" si="8"/>
        <v>313</v>
      </c>
      <c r="BB62" s="28">
        <f t="shared" si="8"/>
        <v>58815</v>
      </c>
      <c r="BC62" s="28">
        <f t="shared" si="8"/>
        <v>0</v>
      </c>
      <c r="BD62" s="28">
        <f t="shared" si="8"/>
        <v>39561</v>
      </c>
      <c r="BE62" s="28">
        <f t="shared" si="8"/>
        <v>132437</v>
      </c>
      <c r="BF62" s="28">
        <f t="shared" si="8"/>
        <v>168438</v>
      </c>
      <c r="BG62" s="28">
        <f t="shared" si="8"/>
        <v>0</v>
      </c>
      <c r="BH62" s="28">
        <f t="shared" si="8"/>
        <v>68953</v>
      </c>
      <c r="BI62" s="28">
        <f t="shared" si="8"/>
        <v>0</v>
      </c>
      <c r="BJ62" s="28">
        <f t="shared" si="8"/>
        <v>72930</v>
      </c>
      <c r="BK62" s="28">
        <f t="shared" si="8"/>
        <v>214931</v>
      </c>
      <c r="BL62" s="28">
        <f t="shared" si="8"/>
        <v>83859</v>
      </c>
      <c r="BM62" s="28">
        <f t="shared" si="8"/>
        <v>0</v>
      </c>
      <c r="BN62" s="28">
        <f t="shared" si="8"/>
        <v>157035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54804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60803</v>
      </c>
      <c r="BW62" s="28">
        <f t="shared" si="9"/>
        <v>0</v>
      </c>
      <c r="BX62" s="28">
        <f t="shared" si="9"/>
        <v>86937</v>
      </c>
      <c r="BY62" s="28">
        <f t="shared" si="9"/>
        <v>56884</v>
      </c>
      <c r="BZ62" s="28">
        <f t="shared" si="9"/>
        <v>0</v>
      </c>
      <c r="CA62" s="28">
        <f t="shared" si="9"/>
        <v>7164</v>
      </c>
      <c r="CB62" s="28">
        <f t="shared" si="9"/>
        <v>8298</v>
      </c>
      <c r="CC62" s="28">
        <f t="shared" si="9"/>
        <v>8312</v>
      </c>
      <c r="CD62" s="25" t="s">
        <v>248</v>
      </c>
      <c r="CE62" s="28">
        <f t="shared" si="6"/>
        <v>6114119</v>
      </c>
    </row>
    <row r="63" spans="1:83" x14ac:dyDescent="0.35">
      <c r="A63" s="35" t="s">
        <v>264</v>
      </c>
      <c r="B63" s="16"/>
      <c r="C63" s="316">
        <v>0</v>
      </c>
      <c r="D63" s="316">
        <v>0</v>
      </c>
      <c r="E63" s="316">
        <v>0</v>
      </c>
      <c r="F63" s="316">
        <v>0</v>
      </c>
      <c r="G63" s="316">
        <v>0</v>
      </c>
      <c r="H63" s="316">
        <v>0</v>
      </c>
      <c r="I63" s="316">
        <v>0</v>
      </c>
      <c r="J63" s="316">
        <v>0</v>
      </c>
      <c r="K63" s="316">
        <v>0</v>
      </c>
      <c r="L63" s="316">
        <v>0</v>
      </c>
      <c r="M63" s="316">
        <v>0</v>
      </c>
      <c r="N63" s="316">
        <v>0</v>
      </c>
      <c r="O63" s="316">
        <v>0</v>
      </c>
      <c r="P63" s="318">
        <v>0</v>
      </c>
      <c r="Q63" s="318">
        <v>0</v>
      </c>
      <c r="R63" s="318">
        <v>0</v>
      </c>
      <c r="S63" s="324">
        <v>0</v>
      </c>
      <c r="T63" s="324">
        <v>0</v>
      </c>
      <c r="U63" s="319">
        <v>0</v>
      </c>
      <c r="V63" s="318">
        <v>0</v>
      </c>
      <c r="W63" s="318">
        <v>0</v>
      </c>
      <c r="X63" s="318">
        <v>0</v>
      </c>
      <c r="Y63" s="318">
        <v>0</v>
      </c>
      <c r="Z63" s="318">
        <v>0</v>
      </c>
      <c r="AA63" s="318">
        <v>0</v>
      </c>
      <c r="AB63" s="325">
        <v>0</v>
      </c>
      <c r="AC63" s="318">
        <v>0</v>
      </c>
      <c r="AD63" s="318">
        <v>0</v>
      </c>
      <c r="AE63" s="318">
        <v>0</v>
      </c>
      <c r="AF63" s="318">
        <v>0</v>
      </c>
      <c r="AG63" s="318">
        <v>0</v>
      </c>
      <c r="AH63" s="318">
        <v>0</v>
      </c>
      <c r="AI63" s="318">
        <v>0</v>
      </c>
      <c r="AJ63" s="318">
        <v>0</v>
      </c>
      <c r="AK63" s="318">
        <v>0</v>
      </c>
      <c r="AL63" s="318">
        <v>0</v>
      </c>
      <c r="AM63" s="318">
        <v>0</v>
      </c>
      <c r="AN63" s="318">
        <v>0</v>
      </c>
      <c r="AO63" s="318">
        <v>0</v>
      </c>
      <c r="AP63" s="318">
        <v>0</v>
      </c>
      <c r="AQ63" s="318">
        <v>0</v>
      </c>
      <c r="AR63" s="318">
        <v>0</v>
      </c>
      <c r="AS63" s="318">
        <v>0</v>
      </c>
      <c r="AT63" s="318">
        <v>0</v>
      </c>
      <c r="AU63" s="318">
        <v>0</v>
      </c>
      <c r="AV63" s="324">
        <v>0</v>
      </c>
      <c r="AW63" s="324">
        <v>0</v>
      </c>
      <c r="AX63" s="324">
        <v>0</v>
      </c>
      <c r="AY63" s="318">
        <v>0</v>
      </c>
      <c r="AZ63" s="318">
        <v>0</v>
      </c>
      <c r="BA63" s="324">
        <v>0</v>
      </c>
      <c r="BB63" s="324">
        <v>0</v>
      </c>
      <c r="BC63" s="324">
        <v>0</v>
      </c>
      <c r="BD63" s="324">
        <v>0</v>
      </c>
      <c r="BE63" s="318">
        <v>0</v>
      </c>
      <c r="BF63" s="324">
        <v>0</v>
      </c>
      <c r="BG63" s="324">
        <v>0</v>
      </c>
      <c r="BH63" s="324">
        <v>0</v>
      </c>
      <c r="BI63" s="324">
        <v>0</v>
      </c>
      <c r="BJ63" s="324">
        <v>0</v>
      </c>
      <c r="BK63" s="324">
        <v>0</v>
      </c>
      <c r="BL63" s="324">
        <v>0</v>
      </c>
      <c r="BM63" s="324">
        <v>0</v>
      </c>
      <c r="BN63" s="324">
        <v>0</v>
      </c>
      <c r="BO63" s="324">
        <v>0</v>
      </c>
      <c r="BP63" s="324">
        <v>0</v>
      </c>
      <c r="BQ63" s="324">
        <v>0</v>
      </c>
      <c r="BR63" s="324">
        <v>0</v>
      </c>
      <c r="BS63" s="324">
        <v>0</v>
      </c>
      <c r="BT63" s="324">
        <v>0</v>
      </c>
      <c r="BU63" s="324">
        <v>0</v>
      </c>
      <c r="BV63" s="324">
        <v>0</v>
      </c>
      <c r="BW63" s="324">
        <v>0</v>
      </c>
      <c r="BX63" s="324">
        <v>0</v>
      </c>
      <c r="BY63" s="324">
        <v>0</v>
      </c>
      <c r="BZ63" s="324">
        <v>0</v>
      </c>
      <c r="CA63" s="324">
        <v>0</v>
      </c>
      <c r="CB63" s="324">
        <v>0</v>
      </c>
      <c r="CC63" s="324">
        <v>0</v>
      </c>
      <c r="CD63" s="25" t="s">
        <v>248</v>
      </c>
      <c r="CE63" s="28">
        <f t="shared" si="6"/>
        <v>0</v>
      </c>
    </row>
    <row r="64" spans="1:83" x14ac:dyDescent="0.35">
      <c r="A64" s="35" t="s">
        <v>265</v>
      </c>
      <c r="B64" s="16"/>
      <c r="C64" s="316">
        <v>0</v>
      </c>
      <c r="D64" s="316">
        <v>0</v>
      </c>
      <c r="E64" s="316">
        <v>63655.75</v>
      </c>
      <c r="F64" s="316">
        <v>0</v>
      </c>
      <c r="G64" s="316">
        <v>0</v>
      </c>
      <c r="H64" s="316">
        <v>0</v>
      </c>
      <c r="I64" s="316">
        <v>0</v>
      </c>
      <c r="J64" s="316">
        <v>583.56999999999994</v>
      </c>
      <c r="K64" s="316">
        <v>3614.65</v>
      </c>
      <c r="L64" s="316">
        <v>80848.290000000008</v>
      </c>
      <c r="M64" s="316">
        <v>0</v>
      </c>
      <c r="N64" s="316">
        <v>0</v>
      </c>
      <c r="O64" s="316">
        <v>3222.1600000000003</v>
      </c>
      <c r="P64" s="318">
        <v>154624.45000000001</v>
      </c>
      <c r="Q64" s="318">
        <v>0</v>
      </c>
      <c r="R64" s="318">
        <v>17198.78</v>
      </c>
      <c r="S64" s="324">
        <v>77978.44</v>
      </c>
      <c r="T64" s="324">
        <v>0</v>
      </c>
      <c r="U64" s="319">
        <v>614181.51</v>
      </c>
      <c r="V64" s="318">
        <v>0</v>
      </c>
      <c r="W64" s="318">
        <v>2956.2200000000003</v>
      </c>
      <c r="X64" s="318">
        <v>17579.5</v>
      </c>
      <c r="Y64" s="318">
        <v>20741.230000000003</v>
      </c>
      <c r="Z64" s="318">
        <v>0</v>
      </c>
      <c r="AA64" s="318">
        <v>10822.089999999998</v>
      </c>
      <c r="AB64" s="325">
        <v>891641.71</v>
      </c>
      <c r="AC64" s="318">
        <v>2670.19</v>
      </c>
      <c r="AD64" s="318">
        <v>0</v>
      </c>
      <c r="AE64" s="318">
        <v>23719.46</v>
      </c>
      <c r="AF64" s="318">
        <v>0</v>
      </c>
      <c r="AG64" s="318">
        <v>74674.45</v>
      </c>
      <c r="AH64" s="318">
        <v>49928.23</v>
      </c>
      <c r="AI64" s="318">
        <v>0</v>
      </c>
      <c r="AJ64" s="318">
        <v>150794.73000000001</v>
      </c>
      <c r="AK64" s="318">
        <v>0</v>
      </c>
      <c r="AL64" s="318">
        <v>0</v>
      </c>
      <c r="AM64" s="318">
        <v>0</v>
      </c>
      <c r="AN64" s="318">
        <v>0</v>
      </c>
      <c r="AO64" s="318">
        <v>0</v>
      </c>
      <c r="AP64" s="318">
        <v>0</v>
      </c>
      <c r="AQ64" s="318">
        <v>0</v>
      </c>
      <c r="AR64" s="318">
        <v>0</v>
      </c>
      <c r="AS64" s="318">
        <v>0</v>
      </c>
      <c r="AT64" s="318">
        <v>0</v>
      </c>
      <c r="AU64" s="318">
        <v>26195.14</v>
      </c>
      <c r="AV64" s="324">
        <f>8091+116315.39</f>
        <v>124406.39</v>
      </c>
      <c r="AW64" s="324">
        <v>0</v>
      </c>
      <c r="AX64" s="324">
        <v>0</v>
      </c>
      <c r="AY64" s="318">
        <v>372099.16</v>
      </c>
      <c r="AZ64" s="318">
        <v>2229.65</v>
      </c>
      <c r="BA64" s="324">
        <v>15885.08</v>
      </c>
      <c r="BB64" s="324">
        <v>5109.3099999999995</v>
      </c>
      <c r="BC64" s="324">
        <v>0</v>
      </c>
      <c r="BD64" s="324">
        <v>2148.7900000000004</v>
      </c>
      <c r="BE64" s="318">
        <v>79598.040000000008</v>
      </c>
      <c r="BF64" s="324">
        <v>87195.5</v>
      </c>
      <c r="BG64" s="324">
        <v>0</v>
      </c>
      <c r="BH64" s="324">
        <v>8694.81</v>
      </c>
      <c r="BI64" s="324">
        <v>0</v>
      </c>
      <c r="BJ64" s="324">
        <v>5846.42</v>
      </c>
      <c r="BK64" s="324">
        <v>13242.54</v>
      </c>
      <c r="BL64" s="324">
        <v>3847.3599999999997</v>
      </c>
      <c r="BM64" s="324">
        <v>0</v>
      </c>
      <c r="BN64" s="324">
        <v>25136.55</v>
      </c>
      <c r="BO64" s="324">
        <v>0</v>
      </c>
      <c r="BP64" s="324">
        <v>0</v>
      </c>
      <c r="BQ64" s="324">
        <v>0</v>
      </c>
      <c r="BR64" s="324">
        <v>6056.02</v>
      </c>
      <c r="BS64" s="324">
        <v>0</v>
      </c>
      <c r="BT64" s="324">
        <v>0</v>
      </c>
      <c r="BU64" s="324">
        <v>0</v>
      </c>
      <c r="BV64" s="324">
        <v>3396.2400000000002</v>
      </c>
      <c r="BW64" s="324">
        <v>0</v>
      </c>
      <c r="BX64" s="324">
        <v>1321.51</v>
      </c>
      <c r="BY64" s="324">
        <v>1594.3999999999999</v>
      </c>
      <c r="BZ64" s="324">
        <v>0</v>
      </c>
      <c r="CA64" s="324">
        <v>1527.8400000000001</v>
      </c>
      <c r="CB64" s="324">
        <v>1349.06</v>
      </c>
      <c r="CC64" s="324">
        <f>1737+299</f>
        <v>2036</v>
      </c>
      <c r="CD64" s="25" t="s">
        <v>248</v>
      </c>
      <c r="CE64" s="28">
        <f t="shared" si="6"/>
        <v>3050351.22</v>
      </c>
    </row>
    <row r="65" spans="1:83" x14ac:dyDescent="0.35">
      <c r="A65" s="35" t="s">
        <v>266</v>
      </c>
      <c r="B65" s="16"/>
      <c r="C65" s="316">
        <v>0</v>
      </c>
      <c r="D65" s="316">
        <v>0</v>
      </c>
      <c r="E65" s="316">
        <v>0</v>
      </c>
      <c r="F65" s="316">
        <v>0</v>
      </c>
      <c r="G65" s="316">
        <v>0</v>
      </c>
      <c r="H65" s="316">
        <v>0</v>
      </c>
      <c r="I65" s="316">
        <v>0</v>
      </c>
      <c r="J65" s="316">
        <v>0</v>
      </c>
      <c r="K65" s="316">
        <v>0</v>
      </c>
      <c r="L65" s="316">
        <v>0</v>
      </c>
      <c r="M65" s="316">
        <v>0</v>
      </c>
      <c r="N65" s="316">
        <v>0</v>
      </c>
      <c r="O65" s="316">
        <v>0</v>
      </c>
      <c r="P65" s="318">
        <v>0</v>
      </c>
      <c r="Q65" s="318">
        <v>0</v>
      </c>
      <c r="R65" s="318">
        <v>0</v>
      </c>
      <c r="S65" s="324">
        <v>0</v>
      </c>
      <c r="T65" s="324">
        <v>0</v>
      </c>
      <c r="U65" s="319">
        <v>0</v>
      </c>
      <c r="V65" s="318">
        <v>0</v>
      </c>
      <c r="W65" s="318">
        <v>0</v>
      </c>
      <c r="X65" s="318">
        <v>0</v>
      </c>
      <c r="Y65" s="318">
        <v>0</v>
      </c>
      <c r="Z65" s="318">
        <v>0</v>
      </c>
      <c r="AA65" s="318">
        <v>0</v>
      </c>
      <c r="AB65" s="325">
        <v>0</v>
      </c>
      <c r="AC65" s="318">
        <v>0</v>
      </c>
      <c r="AD65" s="318">
        <v>0</v>
      </c>
      <c r="AE65" s="318">
        <v>0</v>
      </c>
      <c r="AF65" s="318">
        <v>0</v>
      </c>
      <c r="AG65" s="318">
        <v>0</v>
      </c>
      <c r="AH65" s="318">
        <v>0</v>
      </c>
      <c r="AI65" s="318">
        <v>0</v>
      </c>
      <c r="AJ65" s="318">
        <v>0</v>
      </c>
      <c r="AK65" s="318">
        <v>0</v>
      </c>
      <c r="AL65" s="318">
        <v>0</v>
      </c>
      <c r="AM65" s="318">
        <v>0</v>
      </c>
      <c r="AN65" s="318">
        <v>0</v>
      </c>
      <c r="AO65" s="318">
        <v>0</v>
      </c>
      <c r="AP65" s="318">
        <v>0</v>
      </c>
      <c r="AQ65" s="318">
        <v>0</v>
      </c>
      <c r="AR65" s="318">
        <v>0</v>
      </c>
      <c r="AS65" s="318">
        <v>0</v>
      </c>
      <c r="AT65" s="318">
        <v>0</v>
      </c>
      <c r="AU65" s="318">
        <v>0</v>
      </c>
      <c r="AV65" s="324">
        <v>0</v>
      </c>
      <c r="AW65" s="324">
        <v>0</v>
      </c>
      <c r="AX65" s="324">
        <v>0</v>
      </c>
      <c r="AY65" s="318">
        <v>0</v>
      </c>
      <c r="AZ65" s="318">
        <v>0</v>
      </c>
      <c r="BA65" s="324">
        <v>0</v>
      </c>
      <c r="BB65" s="324">
        <v>0</v>
      </c>
      <c r="BC65" s="324">
        <v>0</v>
      </c>
      <c r="BD65" s="324">
        <v>0</v>
      </c>
      <c r="BE65" s="318">
        <v>0</v>
      </c>
      <c r="BF65" s="324">
        <v>0</v>
      </c>
      <c r="BG65" s="324">
        <v>0</v>
      </c>
      <c r="BH65" s="324">
        <v>0</v>
      </c>
      <c r="BI65" s="324">
        <v>0</v>
      </c>
      <c r="BJ65" s="324">
        <v>0</v>
      </c>
      <c r="BK65" s="324">
        <v>0</v>
      </c>
      <c r="BL65" s="324">
        <v>0</v>
      </c>
      <c r="BM65" s="324">
        <v>0</v>
      </c>
      <c r="BN65" s="324">
        <v>0</v>
      </c>
      <c r="BO65" s="324">
        <v>0</v>
      </c>
      <c r="BP65" s="324">
        <v>0</v>
      </c>
      <c r="BQ65" s="324">
        <v>0</v>
      </c>
      <c r="BR65" s="324">
        <v>0</v>
      </c>
      <c r="BS65" s="324">
        <v>0</v>
      </c>
      <c r="BT65" s="324">
        <v>0</v>
      </c>
      <c r="BU65" s="324">
        <v>0</v>
      </c>
      <c r="BV65" s="324">
        <v>0</v>
      </c>
      <c r="BW65" s="324">
        <v>0</v>
      </c>
      <c r="BX65" s="324">
        <v>0</v>
      </c>
      <c r="BY65" s="324">
        <v>0</v>
      </c>
      <c r="BZ65" s="324">
        <v>0</v>
      </c>
      <c r="CA65" s="324">
        <v>0</v>
      </c>
      <c r="CB65" s="324">
        <v>0</v>
      </c>
      <c r="CC65" s="324">
        <v>0</v>
      </c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16">
        <v>0</v>
      </c>
      <c r="D66" s="316">
        <v>0</v>
      </c>
      <c r="E66" s="316">
        <v>19624.48</v>
      </c>
      <c r="F66" s="316">
        <v>0</v>
      </c>
      <c r="G66" s="316">
        <v>0</v>
      </c>
      <c r="H66" s="316">
        <v>0</v>
      </c>
      <c r="I66" s="316">
        <v>0</v>
      </c>
      <c r="J66" s="316">
        <v>0</v>
      </c>
      <c r="K66" s="316">
        <v>4</v>
      </c>
      <c r="L66" s="316">
        <v>9561.0600000000013</v>
      </c>
      <c r="M66" s="316">
        <v>0</v>
      </c>
      <c r="N66" s="316">
        <v>0</v>
      </c>
      <c r="O66" s="316">
        <v>42.36</v>
      </c>
      <c r="P66" s="318">
        <v>15293.72</v>
      </c>
      <c r="Q66" s="318">
        <v>0</v>
      </c>
      <c r="R66" s="318">
        <v>9163.24</v>
      </c>
      <c r="S66" s="324">
        <v>-44.25</v>
      </c>
      <c r="T66" s="324">
        <v>0</v>
      </c>
      <c r="U66" s="319">
        <v>24666.41</v>
      </c>
      <c r="V66" s="318">
        <v>0</v>
      </c>
      <c r="W66" s="318">
        <v>97635.32</v>
      </c>
      <c r="X66" s="318">
        <v>16106.900000000001</v>
      </c>
      <c r="Y66" s="318">
        <v>139467.29999999999</v>
      </c>
      <c r="Z66" s="318">
        <v>0</v>
      </c>
      <c r="AA66" s="318">
        <v>52271.990000000005</v>
      </c>
      <c r="AB66" s="325">
        <v>68919.540000000008</v>
      </c>
      <c r="AC66" s="318">
        <v>3774.94</v>
      </c>
      <c r="AD66" s="318">
        <v>0</v>
      </c>
      <c r="AE66" s="318">
        <v>1208.8800000000001</v>
      </c>
      <c r="AF66" s="318">
        <v>0</v>
      </c>
      <c r="AG66" s="318">
        <v>47565.86</v>
      </c>
      <c r="AH66" s="318">
        <v>31260.81</v>
      </c>
      <c r="AI66" s="318">
        <v>0</v>
      </c>
      <c r="AJ66" s="318">
        <v>65285.56</v>
      </c>
      <c r="AK66" s="318">
        <v>0</v>
      </c>
      <c r="AL66" s="318">
        <v>0</v>
      </c>
      <c r="AM66" s="318">
        <v>0</v>
      </c>
      <c r="AN66" s="318">
        <v>0</v>
      </c>
      <c r="AO66" s="318">
        <v>0</v>
      </c>
      <c r="AP66" s="318">
        <v>0</v>
      </c>
      <c r="AQ66" s="318">
        <v>0</v>
      </c>
      <c r="AR66" s="318">
        <v>0</v>
      </c>
      <c r="AS66" s="318">
        <v>0</v>
      </c>
      <c r="AT66" s="318">
        <v>0</v>
      </c>
      <c r="AU66" s="318">
        <v>58867.759999999995</v>
      </c>
      <c r="AV66" s="324">
        <v>35857.47</v>
      </c>
      <c r="AW66" s="324">
        <v>0</v>
      </c>
      <c r="AX66" s="324">
        <v>0</v>
      </c>
      <c r="AY66" s="318">
        <v>957.29</v>
      </c>
      <c r="AZ66" s="318">
        <v>0</v>
      </c>
      <c r="BA66" s="324">
        <v>54148.979999999996</v>
      </c>
      <c r="BB66" s="324">
        <v>43.44</v>
      </c>
      <c r="BC66" s="324">
        <v>0</v>
      </c>
      <c r="BD66" s="324">
        <v>-19651.240000000002</v>
      </c>
      <c r="BE66" s="318">
        <v>111909.96</v>
      </c>
      <c r="BF66" s="324">
        <v>18348.260000000002</v>
      </c>
      <c r="BG66" s="324">
        <v>0</v>
      </c>
      <c r="BH66" s="324">
        <v>266650.84000000003</v>
      </c>
      <c r="BI66" s="324">
        <v>0</v>
      </c>
      <c r="BJ66" s="324">
        <v>45123.77</v>
      </c>
      <c r="BK66" s="324">
        <v>359707.75</v>
      </c>
      <c r="BL66" s="324">
        <v>8984.2900000000009</v>
      </c>
      <c r="BM66" s="324">
        <v>0</v>
      </c>
      <c r="BN66" s="324">
        <v>150238.94</v>
      </c>
      <c r="BO66" s="324">
        <v>0</v>
      </c>
      <c r="BP66" s="324">
        <v>18670.04</v>
      </c>
      <c r="BQ66" s="324">
        <v>0</v>
      </c>
      <c r="BR66" s="324">
        <v>14408.84</v>
      </c>
      <c r="BS66" s="324">
        <v>0</v>
      </c>
      <c r="BT66" s="324">
        <v>0</v>
      </c>
      <c r="BU66" s="324">
        <v>0</v>
      </c>
      <c r="BV66" s="324">
        <v>38505.870000000003</v>
      </c>
      <c r="BW66" s="324">
        <v>10736.25</v>
      </c>
      <c r="BX66" s="324">
        <v>37920.910000000003</v>
      </c>
      <c r="BY66" s="324">
        <v>0</v>
      </c>
      <c r="BZ66" s="324">
        <v>0</v>
      </c>
      <c r="CA66" s="324">
        <v>0</v>
      </c>
      <c r="CB66" s="324">
        <v>0</v>
      </c>
      <c r="CC66" s="324">
        <f>2348+136</f>
        <v>2484</v>
      </c>
      <c r="CD66" s="25" t="s">
        <v>248</v>
      </c>
      <c r="CE66" s="28">
        <f t="shared" si="6"/>
        <v>1815721.5400000003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338717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3276</v>
      </c>
      <c r="K67" s="28">
        <f t="shared" si="10"/>
        <v>31806</v>
      </c>
      <c r="L67" s="28">
        <f t="shared" si="10"/>
        <v>145849</v>
      </c>
      <c r="M67" s="28">
        <f t="shared" si="10"/>
        <v>0</v>
      </c>
      <c r="N67" s="28">
        <f t="shared" si="10"/>
        <v>0</v>
      </c>
      <c r="O67" s="28">
        <f t="shared" si="10"/>
        <v>34491</v>
      </c>
      <c r="P67" s="28">
        <f t="shared" si="10"/>
        <v>136425</v>
      </c>
      <c r="Q67" s="28">
        <f t="shared" si="10"/>
        <v>0</v>
      </c>
      <c r="R67" s="28">
        <f t="shared" si="10"/>
        <v>10991</v>
      </c>
      <c r="S67" s="28">
        <f t="shared" si="10"/>
        <v>15418</v>
      </c>
      <c r="T67" s="28">
        <f t="shared" si="10"/>
        <v>0</v>
      </c>
      <c r="U67" s="28">
        <f t="shared" si="10"/>
        <v>98779</v>
      </c>
      <c r="V67" s="28">
        <f t="shared" si="10"/>
        <v>2410</v>
      </c>
      <c r="W67" s="28">
        <f t="shared" si="10"/>
        <v>0</v>
      </c>
      <c r="X67" s="28">
        <f t="shared" si="10"/>
        <v>0</v>
      </c>
      <c r="Y67" s="28">
        <f t="shared" si="10"/>
        <v>142591</v>
      </c>
      <c r="Z67" s="28">
        <f t="shared" si="10"/>
        <v>0</v>
      </c>
      <c r="AA67" s="28">
        <f t="shared" si="10"/>
        <v>0</v>
      </c>
      <c r="AB67" s="28">
        <f t="shared" si="10"/>
        <v>8383</v>
      </c>
      <c r="AC67" s="28">
        <f t="shared" si="10"/>
        <v>9525</v>
      </c>
      <c r="AD67" s="28">
        <f t="shared" si="10"/>
        <v>0</v>
      </c>
      <c r="AE67" s="28">
        <f t="shared" si="10"/>
        <v>57970</v>
      </c>
      <c r="AF67" s="28">
        <f t="shared" si="10"/>
        <v>0</v>
      </c>
      <c r="AG67" s="28">
        <f t="shared" si="10"/>
        <v>77699</v>
      </c>
      <c r="AH67" s="28">
        <f t="shared" si="10"/>
        <v>260161</v>
      </c>
      <c r="AI67" s="28">
        <f t="shared" ref="AI67:BN67" si="11">ROUND(AI51+AI52,0)</f>
        <v>0</v>
      </c>
      <c r="AJ67" s="28">
        <f t="shared" si="11"/>
        <v>188527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19672</v>
      </c>
      <c r="AV67" s="28">
        <f t="shared" si="11"/>
        <v>41432</v>
      </c>
      <c r="AW67" s="28">
        <f t="shared" si="11"/>
        <v>0</v>
      </c>
      <c r="AX67" s="28">
        <f t="shared" si="11"/>
        <v>0</v>
      </c>
      <c r="AY67" s="28">
        <f t="shared" si="11"/>
        <v>15338</v>
      </c>
      <c r="AZ67" s="28">
        <f t="shared" si="11"/>
        <v>44626</v>
      </c>
      <c r="BA67" s="28">
        <f t="shared" si="11"/>
        <v>35270</v>
      </c>
      <c r="BB67" s="28">
        <f t="shared" si="11"/>
        <v>3676</v>
      </c>
      <c r="BC67" s="28">
        <f t="shared" si="11"/>
        <v>0</v>
      </c>
      <c r="BD67" s="28">
        <f t="shared" si="11"/>
        <v>1021</v>
      </c>
      <c r="BE67" s="28">
        <f t="shared" si="11"/>
        <v>38964</v>
      </c>
      <c r="BF67" s="28">
        <f t="shared" si="11"/>
        <v>1174</v>
      </c>
      <c r="BG67" s="28">
        <f t="shared" si="11"/>
        <v>0</v>
      </c>
      <c r="BH67" s="28">
        <f t="shared" si="11"/>
        <v>47220</v>
      </c>
      <c r="BI67" s="28">
        <f t="shared" si="11"/>
        <v>0</v>
      </c>
      <c r="BJ67" s="28">
        <f t="shared" si="11"/>
        <v>0</v>
      </c>
      <c r="BK67" s="28">
        <f t="shared" si="11"/>
        <v>27518</v>
      </c>
      <c r="BL67" s="28">
        <f t="shared" si="11"/>
        <v>4750</v>
      </c>
      <c r="BM67" s="28">
        <f t="shared" si="11"/>
        <v>0</v>
      </c>
      <c r="BN67" s="28">
        <f t="shared" si="11"/>
        <v>88189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11038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12464</v>
      </c>
      <c r="BW67" s="28">
        <f t="shared" si="12"/>
        <v>0</v>
      </c>
      <c r="BX67" s="28">
        <f t="shared" si="12"/>
        <v>0</v>
      </c>
      <c r="BY67" s="28">
        <f t="shared" si="12"/>
        <v>9210</v>
      </c>
      <c r="BZ67" s="28">
        <f t="shared" si="12"/>
        <v>0</v>
      </c>
      <c r="CA67" s="28">
        <f t="shared" si="12"/>
        <v>0</v>
      </c>
      <c r="CB67" s="28">
        <f t="shared" si="12"/>
        <v>1113</v>
      </c>
      <c r="CC67" s="28">
        <f t="shared" si="12"/>
        <v>0</v>
      </c>
      <c r="CD67" s="25" t="s">
        <v>248</v>
      </c>
      <c r="CE67" s="28">
        <f t="shared" si="6"/>
        <v>1965693</v>
      </c>
    </row>
    <row r="68" spans="1:83" x14ac:dyDescent="0.35">
      <c r="A68" s="35" t="s">
        <v>268</v>
      </c>
      <c r="B68" s="28"/>
      <c r="C68" s="316">
        <v>0</v>
      </c>
      <c r="D68" s="316">
        <v>0</v>
      </c>
      <c r="E68" s="316">
        <v>3935.58</v>
      </c>
      <c r="F68" s="316">
        <v>0</v>
      </c>
      <c r="G68" s="316">
        <v>0</v>
      </c>
      <c r="H68" s="316">
        <v>0</v>
      </c>
      <c r="I68" s="316">
        <v>0</v>
      </c>
      <c r="J68" s="316">
        <v>0</v>
      </c>
      <c r="K68" s="316">
        <v>97.28</v>
      </c>
      <c r="L68" s="316">
        <v>1303.68</v>
      </c>
      <c r="M68" s="316">
        <v>0</v>
      </c>
      <c r="N68" s="316">
        <v>0</v>
      </c>
      <c r="O68" s="316">
        <v>0</v>
      </c>
      <c r="P68" s="318">
        <v>207.68</v>
      </c>
      <c r="Q68" s="318">
        <v>0</v>
      </c>
      <c r="R68" s="318">
        <v>0</v>
      </c>
      <c r="S68" s="324">
        <v>0</v>
      </c>
      <c r="T68" s="324">
        <v>0</v>
      </c>
      <c r="U68" s="319">
        <v>16603.16</v>
      </c>
      <c r="V68" s="318">
        <v>0</v>
      </c>
      <c r="W68" s="318">
        <v>0</v>
      </c>
      <c r="X68" s="318">
        <v>0</v>
      </c>
      <c r="Y68" s="318">
        <v>497.20999999999992</v>
      </c>
      <c r="Z68" s="318">
        <v>0</v>
      </c>
      <c r="AA68" s="318">
        <v>0</v>
      </c>
      <c r="AB68" s="325">
        <v>48806.1</v>
      </c>
      <c r="AC68" s="318">
        <v>0</v>
      </c>
      <c r="AD68" s="318">
        <v>0</v>
      </c>
      <c r="AE68" s="318">
        <v>680.96</v>
      </c>
      <c r="AF68" s="318">
        <v>0</v>
      </c>
      <c r="AG68" s="318">
        <v>222.95</v>
      </c>
      <c r="AH68" s="318">
        <v>8535.85</v>
      </c>
      <c r="AI68" s="318">
        <v>0</v>
      </c>
      <c r="AJ68" s="318">
        <v>4391.04</v>
      </c>
      <c r="AK68" s="318">
        <v>0</v>
      </c>
      <c r="AL68" s="318">
        <v>0</v>
      </c>
      <c r="AM68" s="318">
        <v>0</v>
      </c>
      <c r="AN68" s="318">
        <v>0</v>
      </c>
      <c r="AO68" s="318">
        <v>0</v>
      </c>
      <c r="AP68" s="318">
        <v>0</v>
      </c>
      <c r="AQ68" s="318">
        <v>0</v>
      </c>
      <c r="AR68" s="318">
        <v>0</v>
      </c>
      <c r="AS68" s="318">
        <v>0</v>
      </c>
      <c r="AT68" s="318">
        <v>0</v>
      </c>
      <c r="AU68" s="318">
        <v>2133.88</v>
      </c>
      <c r="AV68" s="324">
        <v>325.68</v>
      </c>
      <c r="AW68" s="324">
        <v>0</v>
      </c>
      <c r="AX68" s="324">
        <v>0</v>
      </c>
      <c r="AY68" s="318">
        <v>0</v>
      </c>
      <c r="AZ68" s="318">
        <v>0</v>
      </c>
      <c r="BA68" s="324">
        <v>0</v>
      </c>
      <c r="BB68" s="324">
        <v>0</v>
      </c>
      <c r="BC68" s="324">
        <v>0</v>
      </c>
      <c r="BD68" s="324">
        <v>94.4</v>
      </c>
      <c r="BE68" s="318">
        <v>27304.59</v>
      </c>
      <c r="BF68" s="324">
        <v>0</v>
      </c>
      <c r="BG68" s="324">
        <v>0</v>
      </c>
      <c r="BH68" s="324">
        <v>0</v>
      </c>
      <c r="BI68" s="324">
        <v>0</v>
      </c>
      <c r="BJ68" s="324">
        <v>0</v>
      </c>
      <c r="BK68" s="324">
        <v>831.81</v>
      </c>
      <c r="BL68" s="324">
        <v>3941.24</v>
      </c>
      <c r="BM68" s="324">
        <v>0</v>
      </c>
      <c r="BN68" s="324">
        <v>33525.43</v>
      </c>
      <c r="BO68" s="324">
        <v>0</v>
      </c>
      <c r="BP68" s="324">
        <v>0</v>
      </c>
      <c r="BQ68" s="324">
        <v>0</v>
      </c>
      <c r="BR68" s="324">
        <v>452.55</v>
      </c>
      <c r="BS68" s="324">
        <v>0</v>
      </c>
      <c r="BT68" s="324">
        <v>0</v>
      </c>
      <c r="BU68" s="324">
        <v>0</v>
      </c>
      <c r="BV68" s="324">
        <v>1791.48</v>
      </c>
      <c r="BW68" s="324">
        <v>0</v>
      </c>
      <c r="BX68" s="324">
        <v>0</v>
      </c>
      <c r="BY68" s="324">
        <v>0</v>
      </c>
      <c r="BZ68" s="324">
        <v>0</v>
      </c>
      <c r="CA68" s="324">
        <v>0</v>
      </c>
      <c r="CB68" s="324">
        <v>0</v>
      </c>
      <c r="CC68" s="324">
        <v>-67559</v>
      </c>
      <c r="CD68" s="25" t="s">
        <v>248</v>
      </c>
      <c r="CE68" s="28">
        <f t="shared" si="6"/>
        <v>88123.549999999988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860003.82000000007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79351.150000000009</v>
      </c>
      <c r="L69" s="28">
        <f t="shared" si="13"/>
        <v>490770.02000000008</v>
      </c>
      <c r="M69" s="28">
        <f t="shared" si="13"/>
        <v>0</v>
      </c>
      <c r="N69" s="28">
        <f t="shared" si="13"/>
        <v>0</v>
      </c>
      <c r="O69" s="28">
        <f t="shared" si="13"/>
        <v>13038.92</v>
      </c>
      <c r="P69" s="28">
        <f t="shared" si="13"/>
        <v>26754.1</v>
      </c>
      <c r="Q69" s="28">
        <f t="shared" si="13"/>
        <v>0</v>
      </c>
      <c r="R69" s="28">
        <f t="shared" si="13"/>
        <v>52550.080000000002</v>
      </c>
      <c r="S69" s="28">
        <f t="shared" si="13"/>
        <v>10984.43</v>
      </c>
      <c r="T69" s="28">
        <f t="shared" si="13"/>
        <v>0</v>
      </c>
      <c r="U69" s="28">
        <f t="shared" si="13"/>
        <v>411742.83</v>
      </c>
      <c r="V69" s="28">
        <f t="shared" si="13"/>
        <v>0</v>
      </c>
      <c r="W69" s="28">
        <f t="shared" si="13"/>
        <v>41419.450000000004</v>
      </c>
      <c r="X69" s="28">
        <f t="shared" si="13"/>
        <v>56685.4</v>
      </c>
      <c r="Y69" s="28">
        <f t="shared" si="13"/>
        <v>177902.09</v>
      </c>
      <c r="Z69" s="28">
        <f t="shared" si="13"/>
        <v>0</v>
      </c>
      <c r="AA69" s="28">
        <f t="shared" si="13"/>
        <v>24844.86</v>
      </c>
      <c r="AB69" s="28">
        <f t="shared" si="13"/>
        <v>69097.02</v>
      </c>
      <c r="AC69" s="28">
        <f t="shared" si="13"/>
        <v>2327.2999999999997</v>
      </c>
      <c r="AD69" s="28">
        <f t="shared" si="13"/>
        <v>0</v>
      </c>
      <c r="AE69" s="28">
        <f t="shared" si="13"/>
        <v>179700.11999999997</v>
      </c>
      <c r="AF69" s="28">
        <f t="shared" si="13"/>
        <v>0</v>
      </c>
      <c r="AG69" s="28">
        <f t="shared" si="13"/>
        <v>1388115.1300000001</v>
      </c>
      <c r="AH69" s="28">
        <f t="shared" si="13"/>
        <v>60626.310000000005</v>
      </c>
      <c r="AI69" s="28">
        <f t="shared" ref="AI69:BN69" si="14">SUM(AI70:AI83)</f>
        <v>0</v>
      </c>
      <c r="AJ69" s="28">
        <f t="shared" si="14"/>
        <v>691432.04999999993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55144.740000000005</v>
      </c>
      <c r="AV69" s="28">
        <f t="shared" si="14"/>
        <v>128312.04999999997</v>
      </c>
      <c r="AW69" s="28">
        <f t="shared" si="14"/>
        <v>0</v>
      </c>
      <c r="AX69" s="28">
        <f t="shared" si="14"/>
        <v>0</v>
      </c>
      <c r="AY69" s="28">
        <f t="shared" si="14"/>
        <v>11107.029999999999</v>
      </c>
      <c r="AZ69" s="28">
        <f t="shared" si="14"/>
        <v>299.10000000000002</v>
      </c>
      <c r="BA69" s="28">
        <f t="shared" si="14"/>
        <v>253.20000000000002</v>
      </c>
      <c r="BB69" s="28">
        <f t="shared" si="14"/>
        <v>2301.6</v>
      </c>
      <c r="BC69" s="28">
        <f t="shared" si="14"/>
        <v>0</v>
      </c>
      <c r="BD69" s="28">
        <f t="shared" si="14"/>
        <v>2757.3099999999995</v>
      </c>
      <c r="BE69" s="28">
        <f t="shared" si="14"/>
        <v>481334.18</v>
      </c>
      <c r="BF69" s="28">
        <f t="shared" si="14"/>
        <v>2226.06</v>
      </c>
      <c r="BG69" s="28">
        <f t="shared" si="14"/>
        <v>0</v>
      </c>
      <c r="BH69" s="28">
        <f t="shared" si="14"/>
        <v>336205.9</v>
      </c>
      <c r="BI69" s="28">
        <f t="shared" si="14"/>
        <v>0</v>
      </c>
      <c r="BJ69" s="28">
        <f t="shared" si="14"/>
        <v>355517.11</v>
      </c>
      <c r="BK69" s="28">
        <f t="shared" si="14"/>
        <v>19015.599999999999</v>
      </c>
      <c r="BL69" s="28">
        <f t="shared" si="14"/>
        <v>4405.8600000000006</v>
      </c>
      <c r="BM69" s="28">
        <f t="shared" si="14"/>
        <v>0</v>
      </c>
      <c r="BN69" s="28">
        <f t="shared" si="14"/>
        <v>1283135.3799999999</v>
      </c>
      <c r="BO69" s="28">
        <f t="shared" ref="BO69:CE69" si="15">SUM(BO70:BO83)</f>
        <v>713.01</v>
      </c>
      <c r="BP69" s="28">
        <f t="shared" si="15"/>
        <v>0</v>
      </c>
      <c r="BQ69" s="28">
        <f t="shared" si="15"/>
        <v>0</v>
      </c>
      <c r="BR69" s="28">
        <f t="shared" si="15"/>
        <v>60215.3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22425.640000000003</v>
      </c>
      <c r="BW69" s="28">
        <f t="shared" si="15"/>
        <v>43697.85</v>
      </c>
      <c r="BX69" s="28">
        <f t="shared" si="15"/>
        <v>87760.72</v>
      </c>
      <c r="BY69" s="28">
        <f t="shared" si="15"/>
        <v>2497.3000000000002</v>
      </c>
      <c r="BZ69" s="28">
        <f t="shared" si="15"/>
        <v>0</v>
      </c>
      <c r="CA69" s="28">
        <f t="shared" si="15"/>
        <v>-1023.38</v>
      </c>
      <c r="CB69" s="28">
        <f t="shared" si="15"/>
        <v>277.93</v>
      </c>
      <c r="CC69" s="28">
        <f t="shared" si="15"/>
        <v>12688.78</v>
      </c>
      <c r="CD69" s="28">
        <f t="shared" si="15"/>
        <v>291903</v>
      </c>
      <c r="CE69" s="28">
        <f t="shared" si="15"/>
        <v>7840516.3500000006</v>
      </c>
    </row>
    <row r="70" spans="1:83" x14ac:dyDescent="0.35">
      <c r="A70" s="29" t="s">
        <v>270</v>
      </c>
      <c r="B70" s="30"/>
      <c r="C70" s="326">
        <v>0</v>
      </c>
      <c r="D70" s="326">
        <v>0</v>
      </c>
      <c r="E70" s="326">
        <v>0</v>
      </c>
      <c r="F70" s="326">
        <v>0</v>
      </c>
      <c r="G70" s="326">
        <v>0</v>
      </c>
      <c r="H70" s="326">
        <v>0</v>
      </c>
      <c r="I70" s="326">
        <v>0</v>
      </c>
      <c r="J70" s="326">
        <v>0</v>
      </c>
      <c r="K70" s="326">
        <v>0</v>
      </c>
      <c r="L70" s="326">
        <v>0</v>
      </c>
      <c r="M70" s="326">
        <v>0</v>
      </c>
      <c r="N70" s="326">
        <v>0</v>
      </c>
      <c r="O70" s="326">
        <v>0</v>
      </c>
      <c r="P70" s="326">
        <v>0</v>
      </c>
      <c r="Q70" s="326">
        <v>0</v>
      </c>
      <c r="R70" s="326">
        <v>0</v>
      </c>
      <c r="S70" s="326">
        <v>0</v>
      </c>
      <c r="T70" s="326">
        <v>0</v>
      </c>
      <c r="U70" s="326">
        <v>0</v>
      </c>
      <c r="V70" s="326">
        <v>0</v>
      </c>
      <c r="W70" s="326">
        <v>0</v>
      </c>
      <c r="X70" s="326">
        <v>0</v>
      </c>
      <c r="Y70" s="326">
        <v>0</v>
      </c>
      <c r="Z70" s="326">
        <v>0</v>
      </c>
      <c r="AA70" s="326">
        <v>0</v>
      </c>
      <c r="AB70" s="326">
        <v>0</v>
      </c>
      <c r="AC70" s="326">
        <v>0</v>
      </c>
      <c r="AD70" s="326">
        <v>0</v>
      </c>
      <c r="AE70" s="326">
        <v>0</v>
      </c>
      <c r="AF70" s="326">
        <v>0</v>
      </c>
      <c r="AG70" s="326">
        <v>0</v>
      </c>
      <c r="AH70" s="326">
        <v>0</v>
      </c>
      <c r="AI70" s="326">
        <v>0</v>
      </c>
      <c r="AJ70" s="326">
        <v>0</v>
      </c>
      <c r="AK70" s="326">
        <v>0</v>
      </c>
      <c r="AL70" s="326">
        <v>0</v>
      </c>
      <c r="AM70" s="326">
        <v>0</v>
      </c>
      <c r="AN70" s="326">
        <v>0</v>
      </c>
      <c r="AO70" s="326">
        <v>0</v>
      </c>
      <c r="AP70" s="326">
        <v>0</v>
      </c>
      <c r="AQ70" s="326">
        <v>0</v>
      </c>
      <c r="AR70" s="326">
        <v>0</v>
      </c>
      <c r="AS70" s="326">
        <v>0</v>
      </c>
      <c r="AT70" s="326">
        <v>0</v>
      </c>
      <c r="AU70" s="326">
        <v>0</v>
      </c>
      <c r="AV70" s="326">
        <v>0</v>
      </c>
      <c r="AW70" s="326">
        <v>0</v>
      </c>
      <c r="AX70" s="326">
        <v>0</v>
      </c>
      <c r="AY70" s="326">
        <v>0</v>
      </c>
      <c r="AZ70" s="326">
        <v>0</v>
      </c>
      <c r="BA70" s="326">
        <v>0</v>
      </c>
      <c r="BB70" s="326">
        <v>0</v>
      </c>
      <c r="BC70" s="326">
        <v>0</v>
      </c>
      <c r="BD70" s="326">
        <v>0</v>
      </c>
      <c r="BE70" s="326">
        <v>0</v>
      </c>
      <c r="BF70" s="326">
        <v>0</v>
      </c>
      <c r="BG70" s="326">
        <v>0</v>
      </c>
      <c r="BH70" s="326">
        <v>0</v>
      </c>
      <c r="BI70" s="326">
        <v>0</v>
      </c>
      <c r="BJ70" s="326">
        <v>0</v>
      </c>
      <c r="BK70" s="326">
        <v>0</v>
      </c>
      <c r="BL70" s="326">
        <v>0</v>
      </c>
      <c r="BM70" s="326">
        <v>0</v>
      </c>
      <c r="BN70" s="326">
        <v>0</v>
      </c>
      <c r="BO70" s="326">
        <v>0</v>
      </c>
      <c r="BP70" s="326">
        <v>0</v>
      </c>
      <c r="BQ70" s="326">
        <v>0</v>
      </c>
      <c r="BR70" s="326">
        <v>0</v>
      </c>
      <c r="BS70" s="326">
        <v>0</v>
      </c>
      <c r="BT70" s="326">
        <v>0</v>
      </c>
      <c r="BU70" s="326">
        <v>0</v>
      </c>
      <c r="BV70" s="326">
        <v>0</v>
      </c>
      <c r="BW70" s="326">
        <v>0</v>
      </c>
      <c r="BX70" s="326">
        <v>0</v>
      </c>
      <c r="BY70" s="326">
        <v>0</v>
      </c>
      <c r="BZ70" s="326">
        <v>0</v>
      </c>
      <c r="CA70" s="326">
        <v>0</v>
      </c>
      <c r="CB70" s="326">
        <v>0</v>
      </c>
      <c r="CC70" s="326">
        <v>0</v>
      </c>
      <c r="CD70" s="326">
        <v>0</v>
      </c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326">
        <v>0</v>
      </c>
      <c r="D71" s="326">
        <v>0</v>
      </c>
      <c r="E71" s="326">
        <v>804674.48</v>
      </c>
      <c r="F71" s="326">
        <v>0</v>
      </c>
      <c r="G71" s="326">
        <v>0</v>
      </c>
      <c r="H71" s="326">
        <v>0</v>
      </c>
      <c r="I71" s="326">
        <v>0</v>
      </c>
      <c r="J71" s="326">
        <v>0</v>
      </c>
      <c r="K71" s="326">
        <v>79020.2</v>
      </c>
      <c r="L71" s="326">
        <v>443874.98000000004</v>
      </c>
      <c r="M71" s="326">
        <v>0</v>
      </c>
      <c r="N71" s="326">
        <v>0</v>
      </c>
      <c r="O71" s="326">
        <v>0</v>
      </c>
      <c r="P71" s="326">
        <v>13.44</v>
      </c>
      <c r="Q71" s="326">
        <v>0</v>
      </c>
      <c r="R71" s="326">
        <v>29429.53</v>
      </c>
      <c r="S71" s="326">
        <v>0</v>
      </c>
      <c r="T71" s="326">
        <v>0</v>
      </c>
      <c r="U71" s="326">
        <v>155311.63</v>
      </c>
      <c r="V71" s="326">
        <v>0</v>
      </c>
      <c r="W71" s="326">
        <v>0</v>
      </c>
      <c r="X71" s="326">
        <v>0</v>
      </c>
      <c r="Y71" s="326">
        <v>40077.339999999997</v>
      </c>
      <c r="Z71" s="326">
        <v>0</v>
      </c>
      <c r="AA71" s="326">
        <v>21400</v>
      </c>
      <c r="AB71" s="326">
        <v>17936.46</v>
      </c>
      <c r="AC71" s="326">
        <v>0</v>
      </c>
      <c r="AD71" s="326">
        <v>0</v>
      </c>
      <c r="AE71" s="326">
        <v>170218.3</v>
      </c>
      <c r="AF71" s="326">
        <v>0</v>
      </c>
      <c r="AG71" s="326">
        <v>1321857.58</v>
      </c>
      <c r="AH71" s="326">
        <v>0</v>
      </c>
      <c r="AI71" s="326">
        <v>0</v>
      </c>
      <c r="AJ71" s="326">
        <v>412873.4</v>
      </c>
      <c r="AK71" s="326">
        <v>0</v>
      </c>
      <c r="AL71" s="326">
        <v>0</v>
      </c>
      <c r="AM71" s="326">
        <v>0</v>
      </c>
      <c r="AN71" s="326">
        <v>0</v>
      </c>
      <c r="AO71" s="326">
        <v>0</v>
      </c>
      <c r="AP71" s="326">
        <v>0</v>
      </c>
      <c r="AQ71" s="326">
        <v>0</v>
      </c>
      <c r="AR71" s="326">
        <v>0</v>
      </c>
      <c r="AS71" s="326">
        <v>0</v>
      </c>
      <c r="AT71" s="326">
        <v>0</v>
      </c>
      <c r="AU71" s="326">
        <v>0</v>
      </c>
      <c r="AV71" s="326">
        <v>71925.62</v>
      </c>
      <c r="AW71" s="326">
        <v>0</v>
      </c>
      <c r="AX71" s="326">
        <v>0</v>
      </c>
      <c r="AY71" s="326">
        <v>3580.2</v>
      </c>
      <c r="AZ71" s="326">
        <v>0</v>
      </c>
      <c r="BA71" s="326">
        <v>0</v>
      </c>
      <c r="BB71" s="326">
        <v>0</v>
      </c>
      <c r="BC71" s="326">
        <v>0</v>
      </c>
      <c r="BD71" s="326">
        <v>0</v>
      </c>
      <c r="BE71" s="326">
        <v>0</v>
      </c>
      <c r="BF71" s="326">
        <v>0</v>
      </c>
      <c r="BG71" s="326">
        <v>0</v>
      </c>
      <c r="BH71" s="326">
        <v>0</v>
      </c>
      <c r="BI71" s="326">
        <v>0</v>
      </c>
      <c r="BJ71" s="326">
        <v>0</v>
      </c>
      <c r="BK71" s="326">
        <v>386.33</v>
      </c>
      <c r="BL71" s="326">
        <v>0</v>
      </c>
      <c r="BM71" s="326">
        <v>0</v>
      </c>
      <c r="BN71" s="326">
        <v>47625.03</v>
      </c>
      <c r="BO71" s="326">
        <v>0</v>
      </c>
      <c r="BP71" s="326">
        <v>0</v>
      </c>
      <c r="BQ71" s="326">
        <v>0</v>
      </c>
      <c r="BR71" s="326">
        <v>20313.43</v>
      </c>
      <c r="BS71" s="326">
        <v>0</v>
      </c>
      <c r="BT71" s="326">
        <v>0</v>
      </c>
      <c r="BU71" s="326">
        <v>0</v>
      </c>
      <c r="BV71" s="326">
        <v>11027.86</v>
      </c>
      <c r="BW71" s="326">
        <v>0</v>
      </c>
      <c r="BX71" s="326">
        <v>30720.32</v>
      </c>
      <c r="BY71" s="326">
        <v>0</v>
      </c>
      <c r="BZ71" s="326">
        <v>0</v>
      </c>
      <c r="CA71" s="326">
        <v>0</v>
      </c>
      <c r="CB71" s="326">
        <v>0</v>
      </c>
      <c r="CC71" s="326">
        <v>0</v>
      </c>
      <c r="CD71" s="326">
        <v>0</v>
      </c>
      <c r="CE71" s="28">
        <f t="shared" si="16"/>
        <v>3682266.13</v>
      </c>
    </row>
    <row r="72" spans="1:83" x14ac:dyDescent="0.35">
      <c r="A72" s="29" t="s">
        <v>272</v>
      </c>
      <c r="B72" s="30"/>
      <c r="C72" s="326">
        <v>0</v>
      </c>
      <c r="D72" s="326">
        <v>0</v>
      </c>
      <c r="E72" s="326">
        <v>9675.4599999999991</v>
      </c>
      <c r="F72" s="326">
        <v>0</v>
      </c>
      <c r="G72" s="326">
        <v>0</v>
      </c>
      <c r="H72" s="326">
        <v>0</v>
      </c>
      <c r="I72" s="326">
        <v>0</v>
      </c>
      <c r="J72" s="326">
        <v>0</v>
      </c>
      <c r="K72" s="326">
        <v>0</v>
      </c>
      <c r="L72" s="326">
        <v>1614.98</v>
      </c>
      <c r="M72" s="326">
        <v>0</v>
      </c>
      <c r="N72" s="326">
        <v>0</v>
      </c>
      <c r="O72" s="326">
        <v>0</v>
      </c>
      <c r="P72" s="326">
        <v>585.86</v>
      </c>
      <c r="Q72" s="326">
        <v>0</v>
      </c>
      <c r="R72" s="326">
        <v>160.86000000000001</v>
      </c>
      <c r="S72" s="326">
        <v>321.67</v>
      </c>
      <c r="T72" s="326">
        <v>0</v>
      </c>
      <c r="U72" s="326">
        <v>86083.83</v>
      </c>
      <c r="V72" s="326">
        <v>0</v>
      </c>
      <c r="W72" s="326">
        <v>0</v>
      </c>
      <c r="X72" s="326">
        <v>0</v>
      </c>
      <c r="Y72" s="326">
        <v>1472.29</v>
      </c>
      <c r="Z72" s="326">
        <v>0</v>
      </c>
      <c r="AA72" s="326">
        <v>0</v>
      </c>
      <c r="AB72" s="326">
        <v>17871.399999999998</v>
      </c>
      <c r="AC72" s="326">
        <v>0</v>
      </c>
      <c r="AD72" s="326">
        <v>0</v>
      </c>
      <c r="AE72" s="326">
        <v>1930.07</v>
      </c>
      <c r="AF72" s="326">
        <v>0</v>
      </c>
      <c r="AG72" s="326">
        <v>23011.54</v>
      </c>
      <c r="AH72" s="326">
        <v>17303.84</v>
      </c>
      <c r="AI72" s="326">
        <v>0</v>
      </c>
      <c r="AJ72" s="326">
        <v>8403.19</v>
      </c>
      <c r="AK72" s="326">
        <v>0</v>
      </c>
      <c r="AL72" s="326">
        <v>0</v>
      </c>
      <c r="AM72" s="326">
        <v>0</v>
      </c>
      <c r="AN72" s="326">
        <v>0</v>
      </c>
      <c r="AO72" s="326">
        <v>0</v>
      </c>
      <c r="AP72" s="326">
        <v>0</v>
      </c>
      <c r="AQ72" s="326">
        <v>0</v>
      </c>
      <c r="AR72" s="326">
        <v>0</v>
      </c>
      <c r="AS72" s="326">
        <v>0</v>
      </c>
      <c r="AT72" s="326">
        <v>0</v>
      </c>
      <c r="AU72" s="326">
        <v>19066.940000000002</v>
      </c>
      <c r="AV72" s="326">
        <v>26603.84</v>
      </c>
      <c r="AW72" s="326">
        <v>0</v>
      </c>
      <c r="AX72" s="326">
        <v>0</v>
      </c>
      <c r="AY72" s="326">
        <v>257.87</v>
      </c>
      <c r="AZ72" s="326">
        <v>0</v>
      </c>
      <c r="BA72" s="326">
        <v>0</v>
      </c>
      <c r="BB72" s="326">
        <v>321.67</v>
      </c>
      <c r="BC72" s="326">
        <v>0</v>
      </c>
      <c r="BD72" s="326">
        <v>514.69000000000005</v>
      </c>
      <c r="BE72" s="326">
        <v>418.18</v>
      </c>
      <c r="BF72" s="326">
        <v>193.03</v>
      </c>
      <c r="BG72" s="326">
        <v>0</v>
      </c>
      <c r="BH72" s="326">
        <v>276255.01</v>
      </c>
      <c r="BI72" s="326">
        <v>0</v>
      </c>
      <c r="BJ72" s="326">
        <v>184354.59</v>
      </c>
      <c r="BK72" s="326">
        <v>10370.65</v>
      </c>
      <c r="BL72" s="326">
        <v>514.69000000000005</v>
      </c>
      <c r="BM72" s="326">
        <v>0</v>
      </c>
      <c r="BN72" s="326">
        <v>270891.92</v>
      </c>
      <c r="BO72" s="326">
        <v>0</v>
      </c>
      <c r="BP72" s="326">
        <v>0</v>
      </c>
      <c r="BQ72" s="326">
        <v>0</v>
      </c>
      <c r="BR72" s="326">
        <v>15590.52</v>
      </c>
      <c r="BS72" s="326">
        <v>0</v>
      </c>
      <c r="BT72" s="326">
        <v>0</v>
      </c>
      <c r="BU72" s="326">
        <v>0</v>
      </c>
      <c r="BV72" s="326">
        <v>739.84</v>
      </c>
      <c r="BW72" s="326">
        <v>0</v>
      </c>
      <c r="BX72" s="326">
        <v>6597.91</v>
      </c>
      <c r="BY72" s="326">
        <v>482.53</v>
      </c>
      <c r="BZ72" s="326">
        <v>0</v>
      </c>
      <c r="CA72" s="326">
        <v>0</v>
      </c>
      <c r="CB72" s="326">
        <v>0</v>
      </c>
      <c r="CC72" s="326">
        <v>92</v>
      </c>
      <c r="CD72" s="326">
        <v>125</v>
      </c>
      <c r="CE72" s="28">
        <f t="shared" si="16"/>
        <v>981825.86999999988</v>
      </c>
    </row>
    <row r="73" spans="1:83" x14ac:dyDescent="0.35">
      <c r="A73" s="29" t="s">
        <v>273</v>
      </c>
      <c r="B73" s="30"/>
      <c r="C73" s="326">
        <v>0</v>
      </c>
      <c r="D73" s="326">
        <v>0</v>
      </c>
      <c r="E73" s="326">
        <v>15535.25</v>
      </c>
      <c r="F73" s="326">
        <v>0</v>
      </c>
      <c r="G73" s="326">
        <v>0</v>
      </c>
      <c r="H73" s="326">
        <v>0</v>
      </c>
      <c r="I73" s="326">
        <v>0</v>
      </c>
      <c r="J73" s="326">
        <v>0</v>
      </c>
      <c r="K73" s="326">
        <v>0</v>
      </c>
      <c r="L73" s="326">
        <v>67.39</v>
      </c>
      <c r="M73" s="326">
        <v>0</v>
      </c>
      <c r="N73" s="326">
        <v>0</v>
      </c>
      <c r="O73" s="326">
        <v>0</v>
      </c>
      <c r="P73" s="326">
        <v>0</v>
      </c>
      <c r="Q73" s="326">
        <v>0</v>
      </c>
      <c r="R73" s="326">
        <v>4438.6400000000003</v>
      </c>
      <c r="S73" s="326">
        <v>0</v>
      </c>
      <c r="T73" s="326">
        <v>0</v>
      </c>
      <c r="U73" s="326">
        <v>0</v>
      </c>
      <c r="V73" s="326">
        <v>0</v>
      </c>
      <c r="W73" s="326">
        <v>0</v>
      </c>
      <c r="X73" s="326">
        <v>0</v>
      </c>
      <c r="Y73" s="326">
        <v>31070.52</v>
      </c>
      <c r="Z73" s="326">
        <v>0</v>
      </c>
      <c r="AA73" s="326">
        <v>0</v>
      </c>
      <c r="AB73" s="326">
        <v>0</v>
      </c>
      <c r="AC73" s="326">
        <v>0</v>
      </c>
      <c r="AD73" s="326">
        <v>0</v>
      </c>
      <c r="AE73" s="326">
        <v>0</v>
      </c>
      <c r="AF73" s="326">
        <v>0</v>
      </c>
      <c r="AG73" s="326">
        <v>31070.51</v>
      </c>
      <c r="AH73" s="326">
        <v>0</v>
      </c>
      <c r="AI73" s="326">
        <v>0</v>
      </c>
      <c r="AJ73" s="326">
        <v>139817.28</v>
      </c>
      <c r="AK73" s="326">
        <v>0</v>
      </c>
      <c r="AL73" s="326">
        <v>0</v>
      </c>
      <c r="AM73" s="326">
        <v>0</v>
      </c>
      <c r="AN73" s="326">
        <v>0</v>
      </c>
      <c r="AO73" s="326">
        <v>0</v>
      </c>
      <c r="AP73" s="326">
        <v>0</v>
      </c>
      <c r="AQ73" s="326">
        <v>0</v>
      </c>
      <c r="AR73" s="326">
        <v>0</v>
      </c>
      <c r="AS73" s="326">
        <v>0</v>
      </c>
      <c r="AT73" s="326">
        <v>0</v>
      </c>
      <c r="AU73" s="326">
        <v>0</v>
      </c>
      <c r="AV73" s="326">
        <v>0</v>
      </c>
      <c r="AW73" s="326">
        <v>0</v>
      </c>
      <c r="AX73" s="326">
        <v>0</v>
      </c>
      <c r="AY73" s="326">
        <v>0</v>
      </c>
      <c r="AZ73" s="326">
        <v>0</v>
      </c>
      <c r="BA73" s="326">
        <v>0</v>
      </c>
      <c r="BB73" s="326">
        <v>0</v>
      </c>
      <c r="BC73" s="326">
        <v>0</v>
      </c>
      <c r="BD73" s="326">
        <v>0</v>
      </c>
      <c r="BE73" s="326">
        <v>0</v>
      </c>
      <c r="BF73" s="326">
        <v>0</v>
      </c>
      <c r="BG73" s="326">
        <v>0</v>
      </c>
      <c r="BH73" s="326">
        <v>0</v>
      </c>
      <c r="BI73" s="326">
        <v>0</v>
      </c>
      <c r="BJ73" s="326">
        <v>0</v>
      </c>
      <c r="BK73" s="326">
        <v>0</v>
      </c>
      <c r="BL73" s="326">
        <v>0</v>
      </c>
      <c r="BM73" s="326">
        <v>0</v>
      </c>
      <c r="BN73" s="326">
        <v>321929.93</v>
      </c>
      <c r="BO73" s="326">
        <v>0</v>
      </c>
      <c r="BP73" s="326">
        <v>0</v>
      </c>
      <c r="BQ73" s="326">
        <v>0</v>
      </c>
      <c r="BR73" s="326">
        <v>0</v>
      </c>
      <c r="BS73" s="326">
        <v>0</v>
      </c>
      <c r="BT73" s="326">
        <v>0</v>
      </c>
      <c r="BU73" s="326">
        <v>0</v>
      </c>
      <c r="BV73" s="326">
        <v>0</v>
      </c>
      <c r="BW73" s="326">
        <v>0</v>
      </c>
      <c r="BX73" s="326">
        <v>0</v>
      </c>
      <c r="BY73" s="326">
        <v>0</v>
      </c>
      <c r="BZ73" s="326">
        <v>0</v>
      </c>
      <c r="CA73" s="326">
        <v>0</v>
      </c>
      <c r="CB73" s="326">
        <v>0</v>
      </c>
      <c r="CC73" s="326">
        <v>0</v>
      </c>
      <c r="CD73" s="326">
        <v>0</v>
      </c>
      <c r="CE73" s="28">
        <f t="shared" si="16"/>
        <v>543929.52</v>
      </c>
    </row>
    <row r="74" spans="1:83" x14ac:dyDescent="0.35">
      <c r="A74" s="29" t="s">
        <v>274</v>
      </c>
      <c r="B74" s="30"/>
      <c r="C74" s="326">
        <v>0</v>
      </c>
      <c r="D74" s="326">
        <v>0</v>
      </c>
      <c r="E74" s="326">
        <v>0</v>
      </c>
      <c r="F74" s="326">
        <v>0</v>
      </c>
      <c r="G74" s="326">
        <v>0</v>
      </c>
      <c r="H74" s="326">
        <v>0</v>
      </c>
      <c r="I74" s="326">
        <v>0</v>
      </c>
      <c r="J74" s="326">
        <v>0</v>
      </c>
      <c r="K74" s="326">
        <v>0</v>
      </c>
      <c r="L74" s="326">
        <v>0</v>
      </c>
      <c r="M74" s="326">
        <v>0</v>
      </c>
      <c r="N74" s="326">
        <v>0</v>
      </c>
      <c r="O74" s="326">
        <v>0</v>
      </c>
      <c r="P74" s="326">
        <v>0</v>
      </c>
      <c r="Q74" s="326">
        <v>0</v>
      </c>
      <c r="R74" s="326">
        <v>0</v>
      </c>
      <c r="S74" s="326">
        <v>0</v>
      </c>
      <c r="T74" s="326">
        <v>0</v>
      </c>
      <c r="U74" s="326">
        <v>0</v>
      </c>
      <c r="V74" s="326">
        <v>0</v>
      </c>
      <c r="W74" s="326">
        <v>0</v>
      </c>
      <c r="X74" s="326">
        <v>0</v>
      </c>
      <c r="Y74" s="326">
        <v>0</v>
      </c>
      <c r="Z74" s="326">
        <v>0</v>
      </c>
      <c r="AA74" s="326">
        <v>0</v>
      </c>
      <c r="AB74" s="326">
        <v>0</v>
      </c>
      <c r="AC74" s="326">
        <v>0</v>
      </c>
      <c r="AD74" s="326">
        <v>0</v>
      </c>
      <c r="AE74" s="326">
        <v>0</v>
      </c>
      <c r="AF74" s="326">
        <v>0</v>
      </c>
      <c r="AG74" s="326">
        <v>0</v>
      </c>
      <c r="AH74" s="326">
        <v>0</v>
      </c>
      <c r="AI74" s="326">
        <v>0</v>
      </c>
      <c r="AJ74" s="326">
        <v>0</v>
      </c>
      <c r="AK74" s="326">
        <v>0</v>
      </c>
      <c r="AL74" s="326">
        <v>0</v>
      </c>
      <c r="AM74" s="326">
        <v>0</v>
      </c>
      <c r="AN74" s="326">
        <v>0</v>
      </c>
      <c r="AO74" s="326">
        <v>0</v>
      </c>
      <c r="AP74" s="326">
        <v>0</v>
      </c>
      <c r="AQ74" s="326">
        <v>0</v>
      </c>
      <c r="AR74" s="326">
        <v>0</v>
      </c>
      <c r="AS74" s="326">
        <v>0</v>
      </c>
      <c r="AT74" s="326">
        <v>0</v>
      </c>
      <c r="AU74" s="326">
        <v>0</v>
      </c>
      <c r="AV74" s="326">
        <v>0</v>
      </c>
      <c r="AW74" s="326">
        <v>0</v>
      </c>
      <c r="AX74" s="326">
        <v>0</v>
      </c>
      <c r="AY74" s="326">
        <v>0</v>
      </c>
      <c r="AZ74" s="326">
        <v>0</v>
      </c>
      <c r="BA74" s="326">
        <v>0</v>
      </c>
      <c r="BB74" s="326">
        <v>0</v>
      </c>
      <c r="BC74" s="326">
        <v>0</v>
      </c>
      <c r="BD74" s="326">
        <v>0</v>
      </c>
      <c r="BE74" s="326">
        <v>0</v>
      </c>
      <c r="BF74" s="326">
        <v>0</v>
      </c>
      <c r="BG74" s="326">
        <v>0</v>
      </c>
      <c r="BH74" s="326">
        <v>0</v>
      </c>
      <c r="BI74" s="326">
        <v>0</v>
      </c>
      <c r="BJ74" s="326">
        <v>0</v>
      </c>
      <c r="BK74" s="326">
        <v>0</v>
      </c>
      <c r="BL74" s="326">
        <v>0</v>
      </c>
      <c r="BM74" s="326">
        <v>0</v>
      </c>
      <c r="BN74" s="326">
        <v>0</v>
      </c>
      <c r="BO74" s="326">
        <v>0</v>
      </c>
      <c r="BP74" s="326">
        <v>0</v>
      </c>
      <c r="BQ74" s="326">
        <v>0</v>
      </c>
      <c r="BR74" s="326">
        <v>0</v>
      </c>
      <c r="BS74" s="326">
        <v>0</v>
      </c>
      <c r="BT74" s="326">
        <v>0</v>
      </c>
      <c r="BU74" s="326">
        <v>0</v>
      </c>
      <c r="BV74" s="326">
        <v>0</v>
      </c>
      <c r="BW74" s="326">
        <v>0</v>
      </c>
      <c r="BX74" s="326">
        <v>0</v>
      </c>
      <c r="BY74" s="326">
        <v>0</v>
      </c>
      <c r="BZ74" s="326">
        <v>0</v>
      </c>
      <c r="CA74" s="326">
        <v>0</v>
      </c>
      <c r="CB74" s="326">
        <v>0</v>
      </c>
      <c r="CC74" s="326">
        <v>0</v>
      </c>
      <c r="CD74" s="326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326">
        <v>0</v>
      </c>
      <c r="D75" s="326">
        <v>0</v>
      </c>
      <c r="E75" s="326">
        <v>4800</v>
      </c>
      <c r="F75" s="326">
        <v>0</v>
      </c>
      <c r="G75" s="326">
        <v>0</v>
      </c>
      <c r="H75" s="326">
        <v>0</v>
      </c>
      <c r="I75" s="326">
        <v>0</v>
      </c>
      <c r="J75" s="326">
        <v>0</v>
      </c>
      <c r="K75" s="326">
        <v>0</v>
      </c>
      <c r="L75" s="326">
        <v>0</v>
      </c>
      <c r="M75" s="326">
        <v>0</v>
      </c>
      <c r="N75" s="326">
        <v>0</v>
      </c>
      <c r="O75" s="326">
        <v>6662.5</v>
      </c>
      <c r="P75" s="326">
        <v>0</v>
      </c>
      <c r="Q75" s="326">
        <v>0</v>
      </c>
      <c r="R75" s="326">
        <v>0</v>
      </c>
      <c r="S75" s="326">
        <v>0</v>
      </c>
      <c r="T75" s="326">
        <v>0</v>
      </c>
      <c r="U75" s="326">
        <v>0</v>
      </c>
      <c r="V75" s="326">
        <v>0</v>
      </c>
      <c r="W75" s="326">
        <v>41268</v>
      </c>
      <c r="X75" s="326">
        <v>0</v>
      </c>
      <c r="Y75" s="326">
        <v>1700</v>
      </c>
      <c r="Z75" s="326">
        <v>0</v>
      </c>
      <c r="AA75" s="326">
        <v>0</v>
      </c>
      <c r="AB75" s="326">
        <v>0</v>
      </c>
      <c r="AC75" s="326">
        <v>0</v>
      </c>
      <c r="AD75" s="326">
        <v>0</v>
      </c>
      <c r="AE75" s="326">
        <v>0</v>
      </c>
      <c r="AF75" s="326">
        <v>0</v>
      </c>
      <c r="AG75" s="326">
        <v>0</v>
      </c>
      <c r="AH75" s="326">
        <v>0</v>
      </c>
      <c r="AI75" s="326">
        <v>0</v>
      </c>
      <c r="AJ75" s="326">
        <v>1800</v>
      </c>
      <c r="AK75" s="326">
        <v>0</v>
      </c>
      <c r="AL75" s="326">
        <v>0</v>
      </c>
      <c r="AM75" s="326">
        <v>0</v>
      </c>
      <c r="AN75" s="326">
        <v>0</v>
      </c>
      <c r="AO75" s="326">
        <v>0</v>
      </c>
      <c r="AP75" s="326">
        <v>0</v>
      </c>
      <c r="AQ75" s="326">
        <v>0</v>
      </c>
      <c r="AR75" s="326">
        <v>0</v>
      </c>
      <c r="AS75" s="326">
        <v>0</v>
      </c>
      <c r="AT75" s="326">
        <v>0</v>
      </c>
      <c r="AU75" s="326">
        <v>0</v>
      </c>
      <c r="AV75" s="326">
        <v>13480</v>
      </c>
      <c r="AW75" s="326">
        <v>0</v>
      </c>
      <c r="AX75" s="326">
        <v>0</v>
      </c>
      <c r="AY75" s="326">
        <v>0</v>
      </c>
      <c r="AZ75" s="326">
        <v>0</v>
      </c>
      <c r="BA75" s="326">
        <v>0</v>
      </c>
      <c r="BB75" s="326">
        <v>0</v>
      </c>
      <c r="BC75" s="326">
        <v>0</v>
      </c>
      <c r="BD75" s="326">
        <v>0</v>
      </c>
      <c r="BE75" s="326">
        <v>0</v>
      </c>
      <c r="BF75" s="326">
        <v>0</v>
      </c>
      <c r="BG75" s="326">
        <v>0</v>
      </c>
      <c r="BH75" s="326">
        <v>26721.25</v>
      </c>
      <c r="BI75" s="326">
        <v>0</v>
      </c>
      <c r="BJ75" s="326">
        <v>159507.75</v>
      </c>
      <c r="BK75" s="326">
        <v>0</v>
      </c>
      <c r="BL75" s="326">
        <v>0</v>
      </c>
      <c r="BM75" s="326">
        <v>0</v>
      </c>
      <c r="BN75" s="326">
        <v>372888.94</v>
      </c>
      <c r="BO75" s="326">
        <v>0</v>
      </c>
      <c r="BP75" s="326">
        <v>0</v>
      </c>
      <c r="BQ75" s="326">
        <v>0</v>
      </c>
      <c r="BR75" s="326">
        <v>299.7</v>
      </c>
      <c r="BS75" s="326">
        <v>0</v>
      </c>
      <c r="BT75" s="326">
        <v>0</v>
      </c>
      <c r="BU75" s="326">
        <v>0</v>
      </c>
      <c r="BV75" s="326">
        <v>0</v>
      </c>
      <c r="BW75" s="326">
        <v>41596</v>
      </c>
      <c r="BX75" s="326">
        <v>36351.69</v>
      </c>
      <c r="BY75" s="326">
        <v>0</v>
      </c>
      <c r="BZ75" s="326">
        <v>0</v>
      </c>
      <c r="CA75" s="326">
        <v>0</v>
      </c>
      <c r="CB75" s="326">
        <v>0</v>
      </c>
      <c r="CC75" s="326">
        <v>0</v>
      </c>
      <c r="CD75" s="326">
        <v>0</v>
      </c>
      <c r="CE75" s="28">
        <f t="shared" si="16"/>
        <v>707075.82999999984</v>
      </c>
    </row>
    <row r="76" spans="1:83" x14ac:dyDescent="0.35">
      <c r="A76" s="29" t="s">
        <v>276</v>
      </c>
      <c r="B76" s="212"/>
      <c r="C76" s="326">
        <v>0</v>
      </c>
      <c r="D76" s="326">
        <v>0</v>
      </c>
      <c r="E76" s="326">
        <v>0</v>
      </c>
      <c r="F76" s="326">
        <v>0</v>
      </c>
      <c r="G76" s="326">
        <v>0</v>
      </c>
      <c r="H76" s="326">
        <v>0</v>
      </c>
      <c r="I76" s="326">
        <v>0</v>
      </c>
      <c r="J76" s="326">
        <v>0</v>
      </c>
      <c r="K76" s="326">
        <v>0</v>
      </c>
      <c r="L76" s="326">
        <v>0</v>
      </c>
      <c r="M76" s="326">
        <v>0</v>
      </c>
      <c r="N76" s="326">
        <v>0</v>
      </c>
      <c r="O76" s="326">
        <v>0</v>
      </c>
      <c r="P76" s="326">
        <v>0</v>
      </c>
      <c r="Q76" s="326">
        <v>0</v>
      </c>
      <c r="R76" s="326">
        <v>0</v>
      </c>
      <c r="S76" s="326">
        <v>0</v>
      </c>
      <c r="T76" s="326">
        <v>0</v>
      </c>
      <c r="U76" s="326">
        <v>58044.43</v>
      </c>
      <c r="V76" s="326">
        <v>0</v>
      </c>
      <c r="W76" s="326">
        <v>0</v>
      </c>
      <c r="X76" s="326">
        <v>0</v>
      </c>
      <c r="Y76" s="326">
        <v>0</v>
      </c>
      <c r="Z76" s="326">
        <v>0</v>
      </c>
      <c r="AA76" s="326">
        <v>0</v>
      </c>
      <c r="AB76" s="326">
        <v>135.1</v>
      </c>
      <c r="AC76" s="326">
        <v>0</v>
      </c>
      <c r="AD76" s="326">
        <v>0</v>
      </c>
      <c r="AE76" s="326">
        <v>0</v>
      </c>
      <c r="AF76" s="326">
        <v>0</v>
      </c>
      <c r="AG76" s="326">
        <v>0</v>
      </c>
      <c r="AH76" s="326">
        <v>0</v>
      </c>
      <c r="AI76" s="326">
        <v>0</v>
      </c>
      <c r="AJ76" s="326">
        <v>0</v>
      </c>
      <c r="AK76" s="326">
        <v>0</v>
      </c>
      <c r="AL76" s="326">
        <v>0</v>
      </c>
      <c r="AM76" s="326">
        <v>0</v>
      </c>
      <c r="AN76" s="326">
        <v>0</v>
      </c>
      <c r="AO76" s="326">
        <v>0</v>
      </c>
      <c r="AP76" s="326">
        <v>0</v>
      </c>
      <c r="AQ76" s="326">
        <v>0</v>
      </c>
      <c r="AR76" s="326">
        <v>0</v>
      </c>
      <c r="AS76" s="326">
        <v>0</v>
      </c>
      <c r="AT76" s="326">
        <v>0</v>
      </c>
      <c r="AU76" s="326">
        <v>444.18</v>
      </c>
      <c r="AV76" s="326">
        <v>6208.51</v>
      </c>
      <c r="AW76" s="326">
        <v>0</v>
      </c>
      <c r="AX76" s="326">
        <v>0</v>
      </c>
      <c r="AY76" s="326">
        <v>0</v>
      </c>
      <c r="AZ76" s="326">
        <v>0</v>
      </c>
      <c r="BA76" s="326">
        <v>0</v>
      </c>
      <c r="BB76" s="326">
        <v>0</v>
      </c>
      <c r="BC76" s="326">
        <v>0</v>
      </c>
      <c r="BD76" s="326">
        <v>0</v>
      </c>
      <c r="BE76" s="326">
        <v>0</v>
      </c>
      <c r="BF76" s="326">
        <v>0</v>
      </c>
      <c r="BG76" s="326">
        <v>0</v>
      </c>
      <c r="BH76" s="326">
        <v>0</v>
      </c>
      <c r="BI76" s="326">
        <v>0</v>
      </c>
      <c r="BJ76" s="326">
        <v>0</v>
      </c>
      <c r="BK76" s="326">
        <v>0</v>
      </c>
      <c r="BL76" s="326">
        <v>0</v>
      </c>
      <c r="BM76" s="326">
        <v>0</v>
      </c>
      <c r="BN76" s="326">
        <v>0</v>
      </c>
      <c r="BO76" s="326">
        <v>0</v>
      </c>
      <c r="BP76" s="326">
        <v>0</v>
      </c>
      <c r="BQ76" s="326">
        <v>0</v>
      </c>
      <c r="BR76" s="326">
        <v>1234.9000000000001</v>
      </c>
      <c r="BS76" s="326">
        <v>0</v>
      </c>
      <c r="BT76" s="326">
        <v>0</v>
      </c>
      <c r="BU76" s="326">
        <v>0</v>
      </c>
      <c r="BV76" s="326">
        <v>0</v>
      </c>
      <c r="BW76" s="326">
        <v>0</v>
      </c>
      <c r="BX76" s="326">
        <v>0</v>
      </c>
      <c r="BY76" s="326">
        <v>0</v>
      </c>
      <c r="BZ76" s="326">
        <v>0</v>
      </c>
      <c r="CA76" s="326">
        <v>0</v>
      </c>
      <c r="CB76" s="326">
        <v>0</v>
      </c>
      <c r="CC76" s="326">
        <v>0</v>
      </c>
      <c r="CD76" s="326">
        <v>0</v>
      </c>
      <c r="CE76" s="28">
        <f t="shared" si="16"/>
        <v>66067.12</v>
      </c>
    </row>
    <row r="77" spans="1:83" x14ac:dyDescent="0.35">
      <c r="A77" s="29" t="s">
        <v>277</v>
      </c>
      <c r="B77" s="30"/>
      <c r="C77" s="326">
        <v>0</v>
      </c>
      <c r="D77" s="326">
        <v>0</v>
      </c>
      <c r="E77" s="326">
        <v>13403.1</v>
      </c>
      <c r="F77" s="326">
        <v>0</v>
      </c>
      <c r="G77" s="326">
        <v>0</v>
      </c>
      <c r="H77" s="326">
        <v>0</v>
      </c>
      <c r="I77" s="326">
        <v>0</v>
      </c>
      <c r="J77" s="326">
        <v>0</v>
      </c>
      <c r="K77" s="326">
        <v>0</v>
      </c>
      <c r="L77" s="326">
        <v>2601.4899999999998</v>
      </c>
      <c r="M77" s="326">
        <v>0</v>
      </c>
      <c r="N77" s="326">
        <v>0</v>
      </c>
      <c r="O77" s="326">
        <v>3358.2</v>
      </c>
      <c r="P77" s="326">
        <v>16567.419999999998</v>
      </c>
      <c r="Q77" s="326">
        <v>0</v>
      </c>
      <c r="R77" s="326">
        <v>2060.33</v>
      </c>
      <c r="S77" s="326">
        <v>0</v>
      </c>
      <c r="T77" s="326">
        <v>0</v>
      </c>
      <c r="U77" s="326">
        <v>41705.06</v>
      </c>
      <c r="V77" s="326">
        <v>0</v>
      </c>
      <c r="W77" s="326">
        <v>0</v>
      </c>
      <c r="X77" s="326">
        <v>53298.48</v>
      </c>
      <c r="Y77" s="326">
        <v>84531.75999999998</v>
      </c>
      <c r="Z77" s="326">
        <v>0</v>
      </c>
      <c r="AA77" s="326">
        <v>0</v>
      </c>
      <c r="AB77" s="326">
        <v>7963.05</v>
      </c>
      <c r="AC77" s="326">
        <v>1907.34</v>
      </c>
      <c r="AD77" s="326">
        <v>0</v>
      </c>
      <c r="AE77" s="326">
        <v>-324.29000000000002</v>
      </c>
      <c r="AF77" s="326">
        <v>0</v>
      </c>
      <c r="AG77" s="326">
        <v>2010.25</v>
      </c>
      <c r="AH77" s="326">
        <v>10778.82</v>
      </c>
      <c r="AI77" s="326">
        <v>0</v>
      </c>
      <c r="AJ77" s="326">
        <v>6002.1</v>
      </c>
      <c r="AK77" s="326">
        <v>0</v>
      </c>
      <c r="AL77" s="326">
        <v>0</v>
      </c>
      <c r="AM77" s="326">
        <v>0</v>
      </c>
      <c r="AN77" s="326">
        <v>0</v>
      </c>
      <c r="AO77" s="326">
        <v>0</v>
      </c>
      <c r="AP77" s="326">
        <v>0</v>
      </c>
      <c r="AQ77" s="326">
        <v>0</v>
      </c>
      <c r="AR77" s="326">
        <v>0</v>
      </c>
      <c r="AS77" s="326">
        <v>0</v>
      </c>
      <c r="AT77" s="326">
        <v>0</v>
      </c>
      <c r="AU77" s="326">
        <v>2871.7</v>
      </c>
      <c r="AV77" s="326">
        <v>3163.33</v>
      </c>
      <c r="AW77" s="326">
        <v>0</v>
      </c>
      <c r="AX77" s="326">
        <v>0</v>
      </c>
      <c r="AY77" s="326">
        <v>3405.39</v>
      </c>
      <c r="AZ77" s="326">
        <v>0</v>
      </c>
      <c r="BA77" s="326">
        <v>0</v>
      </c>
      <c r="BB77" s="326">
        <v>0</v>
      </c>
      <c r="BC77" s="326">
        <v>0</v>
      </c>
      <c r="BD77" s="326">
        <v>640.14</v>
      </c>
      <c r="BE77" s="326">
        <v>153462.45000000001</v>
      </c>
      <c r="BF77" s="326">
        <v>213.86</v>
      </c>
      <c r="BG77" s="326">
        <v>0</v>
      </c>
      <c r="BH77" s="326">
        <v>125</v>
      </c>
      <c r="BI77" s="326">
        <v>0</v>
      </c>
      <c r="BJ77" s="326">
        <v>0</v>
      </c>
      <c r="BK77" s="326">
        <v>819.84</v>
      </c>
      <c r="BL77" s="326">
        <v>1508.02</v>
      </c>
      <c r="BM77" s="326">
        <v>0</v>
      </c>
      <c r="BN77" s="326">
        <v>6230.02</v>
      </c>
      <c r="BO77" s="326">
        <v>0</v>
      </c>
      <c r="BP77" s="326">
        <v>0</v>
      </c>
      <c r="BQ77" s="326">
        <v>0</v>
      </c>
      <c r="BR77" s="326">
        <v>758.3</v>
      </c>
      <c r="BS77" s="326">
        <v>0</v>
      </c>
      <c r="BT77" s="326">
        <v>0</v>
      </c>
      <c r="BU77" s="326">
        <v>0</v>
      </c>
      <c r="BV77" s="326">
        <v>966.35</v>
      </c>
      <c r="BW77" s="326">
        <v>0</v>
      </c>
      <c r="BX77" s="326">
        <v>0</v>
      </c>
      <c r="BY77" s="326">
        <v>0</v>
      </c>
      <c r="BZ77" s="326">
        <v>0</v>
      </c>
      <c r="CA77" s="326">
        <v>0</v>
      </c>
      <c r="CB77" s="326">
        <v>0</v>
      </c>
      <c r="CC77" s="326">
        <v>0</v>
      </c>
      <c r="CD77" s="326">
        <v>116</v>
      </c>
      <c r="CE77" s="28">
        <f t="shared" si="16"/>
        <v>420143.51</v>
      </c>
    </row>
    <row r="78" spans="1:83" x14ac:dyDescent="0.35">
      <c r="A78" s="29" t="s">
        <v>278</v>
      </c>
      <c r="B78" s="16"/>
      <c r="C78" s="326">
        <v>0</v>
      </c>
      <c r="D78" s="326">
        <v>0</v>
      </c>
      <c r="E78" s="326">
        <v>0</v>
      </c>
      <c r="F78" s="326">
        <v>0</v>
      </c>
      <c r="G78" s="326">
        <v>0</v>
      </c>
      <c r="H78" s="326">
        <v>0</v>
      </c>
      <c r="I78" s="326">
        <v>0</v>
      </c>
      <c r="J78" s="326">
        <v>0</v>
      </c>
      <c r="K78" s="326">
        <v>0</v>
      </c>
      <c r="L78" s="326">
        <v>0</v>
      </c>
      <c r="M78" s="326">
        <v>0</v>
      </c>
      <c r="N78" s="326">
        <v>0</v>
      </c>
      <c r="O78" s="326">
        <v>0</v>
      </c>
      <c r="P78" s="326">
        <v>0</v>
      </c>
      <c r="Q78" s="326">
        <v>0</v>
      </c>
      <c r="R78" s="326">
        <v>0</v>
      </c>
      <c r="S78" s="326">
        <v>0</v>
      </c>
      <c r="T78" s="326">
        <v>0</v>
      </c>
      <c r="U78" s="326">
        <v>0</v>
      </c>
      <c r="V78" s="326">
        <v>0</v>
      </c>
      <c r="W78" s="326">
        <v>0</v>
      </c>
      <c r="X78" s="326">
        <v>0</v>
      </c>
      <c r="Y78" s="326">
        <v>0</v>
      </c>
      <c r="Z78" s="326">
        <v>0</v>
      </c>
      <c r="AA78" s="326">
        <v>0</v>
      </c>
      <c r="AB78" s="326">
        <v>0</v>
      </c>
      <c r="AC78" s="326">
        <v>0</v>
      </c>
      <c r="AD78" s="326">
        <v>0</v>
      </c>
      <c r="AE78" s="326">
        <v>0</v>
      </c>
      <c r="AF78" s="326">
        <v>0</v>
      </c>
      <c r="AG78" s="326">
        <v>0</v>
      </c>
      <c r="AH78" s="326">
        <v>0</v>
      </c>
      <c r="AI78" s="326">
        <v>0</v>
      </c>
      <c r="AJ78" s="326">
        <v>0</v>
      </c>
      <c r="AK78" s="326">
        <v>0</v>
      </c>
      <c r="AL78" s="326">
        <v>0</v>
      </c>
      <c r="AM78" s="326">
        <v>0</v>
      </c>
      <c r="AN78" s="326">
        <v>0</v>
      </c>
      <c r="AO78" s="326">
        <v>0</v>
      </c>
      <c r="AP78" s="326">
        <v>0</v>
      </c>
      <c r="AQ78" s="326">
        <v>0</v>
      </c>
      <c r="AR78" s="326">
        <v>0</v>
      </c>
      <c r="AS78" s="326">
        <v>0</v>
      </c>
      <c r="AT78" s="326">
        <v>0</v>
      </c>
      <c r="AU78" s="326">
        <v>0</v>
      </c>
      <c r="AV78" s="326">
        <v>0</v>
      </c>
      <c r="AW78" s="326">
        <v>0</v>
      </c>
      <c r="AX78" s="326">
        <v>0</v>
      </c>
      <c r="AY78" s="326">
        <v>0</v>
      </c>
      <c r="AZ78" s="326">
        <v>0</v>
      </c>
      <c r="BA78" s="326">
        <v>0</v>
      </c>
      <c r="BB78" s="326">
        <v>0</v>
      </c>
      <c r="BC78" s="326">
        <v>0</v>
      </c>
      <c r="BD78" s="326">
        <v>0</v>
      </c>
      <c r="BE78" s="326">
        <v>0</v>
      </c>
      <c r="BF78" s="326">
        <v>0</v>
      </c>
      <c r="BG78" s="326">
        <v>0</v>
      </c>
      <c r="BH78" s="326">
        <v>0</v>
      </c>
      <c r="BI78" s="326">
        <v>0</v>
      </c>
      <c r="BJ78" s="326">
        <v>0</v>
      </c>
      <c r="BK78" s="326">
        <v>0</v>
      </c>
      <c r="BL78" s="326">
        <v>0</v>
      </c>
      <c r="BM78" s="326">
        <v>0</v>
      </c>
      <c r="BN78" s="326">
        <v>0</v>
      </c>
      <c r="BO78" s="326">
        <v>0</v>
      </c>
      <c r="BP78" s="326">
        <v>0</v>
      </c>
      <c r="BQ78" s="326">
        <v>0</v>
      </c>
      <c r="BR78" s="326">
        <v>0</v>
      </c>
      <c r="BS78" s="326">
        <v>0</v>
      </c>
      <c r="BT78" s="326">
        <v>0</v>
      </c>
      <c r="BU78" s="326">
        <v>0</v>
      </c>
      <c r="BV78" s="326">
        <v>0</v>
      </c>
      <c r="BW78" s="326">
        <v>0</v>
      </c>
      <c r="BX78" s="326">
        <v>0</v>
      </c>
      <c r="BY78" s="326">
        <v>0</v>
      </c>
      <c r="BZ78" s="326">
        <v>0</v>
      </c>
      <c r="CA78" s="326">
        <v>0</v>
      </c>
      <c r="CB78" s="326">
        <v>0</v>
      </c>
      <c r="CC78" s="326">
        <v>0</v>
      </c>
      <c r="CD78" s="326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326">
        <v>0</v>
      </c>
      <c r="D79" s="326">
        <v>0</v>
      </c>
      <c r="E79" s="326">
        <v>0</v>
      </c>
      <c r="F79" s="326">
        <v>0</v>
      </c>
      <c r="G79" s="326">
        <v>0</v>
      </c>
      <c r="H79" s="326">
        <v>0</v>
      </c>
      <c r="I79" s="326">
        <v>0</v>
      </c>
      <c r="J79" s="326">
        <v>0</v>
      </c>
      <c r="K79" s="326">
        <v>0</v>
      </c>
      <c r="L79" s="326">
        <v>0</v>
      </c>
      <c r="M79" s="326">
        <v>0</v>
      </c>
      <c r="N79" s="326">
        <v>0</v>
      </c>
      <c r="O79" s="326">
        <v>0</v>
      </c>
      <c r="P79" s="326">
        <v>0</v>
      </c>
      <c r="Q79" s="326">
        <v>0</v>
      </c>
      <c r="R79" s="326">
        <v>0</v>
      </c>
      <c r="S79" s="326">
        <v>0</v>
      </c>
      <c r="T79" s="326">
        <v>0</v>
      </c>
      <c r="U79" s="326">
        <v>0</v>
      </c>
      <c r="V79" s="326">
        <v>0</v>
      </c>
      <c r="W79" s="326">
        <v>0</v>
      </c>
      <c r="X79" s="326">
        <v>0</v>
      </c>
      <c r="Y79" s="326">
        <v>0</v>
      </c>
      <c r="Z79" s="326">
        <v>0</v>
      </c>
      <c r="AA79" s="326">
        <v>0</v>
      </c>
      <c r="AB79" s="326">
        <v>0</v>
      </c>
      <c r="AC79" s="326">
        <v>0</v>
      </c>
      <c r="AD79" s="326">
        <v>0</v>
      </c>
      <c r="AE79" s="326">
        <v>0</v>
      </c>
      <c r="AF79" s="326">
        <v>0</v>
      </c>
      <c r="AG79" s="326">
        <v>0</v>
      </c>
      <c r="AH79" s="326">
        <v>0</v>
      </c>
      <c r="AI79" s="326">
        <v>0</v>
      </c>
      <c r="AJ79" s="326">
        <v>0</v>
      </c>
      <c r="AK79" s="326">
        <v>0</v>
      </c>
      <c r="AL79" s="326">
        <v>0</v>
      </c>
      <c r="AM79" s="326">
        <v>0</v>
      </c>
      <c r="AN79" s="326">
        <v>0</v>
      </c>
      <c r="AO79" s="326">
        <v>0</v>
      </c>
      <c r="AP79" s="326">
        <v>0</v>
      </c>
      <c r="AQ79" s="326">
        <v>0</v>
      </c>
      <c r="AR79" s="326">
        <v>0</v>
      </c>
      <c r="AS79" s="326">
        <v>0</v>
      </c>
      <c r="AT79" s="326">
        <v>0</v>
      </c>
      <c r="AU79" s="326">
        <v>0</v>
      </c>
      <c r="AV79" s="326">
        <v>0</v>
      </c>
      <c r="AW79" s="326">
        <v>0</v>
      </c>
      <c r="AX79" s="326">
        <v>0</v>
      </c>
      <c r="AY79" s="326">
        <v>0</v>
      </c>
      <c r="AZ79" s="326">
        <v>0</v>
      </c>
      <c r="BA79" s="326">
        <v>0</v>
      </c>
      <c r="BB79" s="326">
        <v>0</v>
      </c>
      <c r="BC79" s="326">
        <v>0</v>
      </c>
      <c r="BD79" s="326">
        <v>0</v>
      </c>
      <c r="BE79" s="326">
        <v>0</v>
      </c>
      <c r="BF79" s="326">
        <v>0</v>
      </c>
      <c r="BG79" s="326">
        <v>0</v>
      </c>
      <c r="BH79" s="326">
        <v>0</v>
      </c>
      <c r="BI79" s="326">
        <v>0</v>
      </c>
      <c r="BJ79" s="326">
        <v>0</v>
      </c>
      <c r="BK79" s="326">
        <v>0</v>
      </c>
      <c r="BL79" s="326">
        <v>0</v>
      </c>
      <c r="BM79" s="326">
        <v>0</v>
      </c>
      <c r="BN79" s="326">
        <v>69</v>
      </c>
      <c r="BO79" s="326">
        <v>0</v>
      </c>
      <c r="BP79" s="326">
        <v>0</v>
      </c>
      <c r="BQ79" s="326">
        <v>0</v>
      </c>
      <c r="BR79" s="326">
        <v>9247.07</v>
      </c>
      <c r="BS79" s="326">
        <v>0</v>
      </c>
      <c r="BT79" s="326">
        <v>0</v>
      </c>
      <c r="BU79" s="326">
        <v>0</v>
      </c>
      <c r="BV79" s="326">
        <v>0</v>
      </c>
      <c r="BW79" s="326">
        <v>0</v>
      </c>
      <c r="BX79" s="326">
        <v>0</v>
      </c>
      <c r="BY79" s="326">
        <v>0</v>
      </c>
      <c r="BZ79" s="326">
        <v>0</v>
      </c>
      <c r="CA79" s="326">
        <v>0</v>
      </c>
      <c r="CB79" s="326">
        <v>0</v>
      </c>
      <c r="CC79" s="326">
        <v>0</v>
      </c>
      <c r="CD79" s="326">
        <v>0</v>
      </c>
      <c r="CE79" s="28">
        <f t="shared" si="16"/>
        <v>9316.07</v>
      </c>
    </row>
    <row r="80" spans="1:83" x14ac:dyDescent="0.35">
      <c r="A80" s="29" t="s">
        <v>280</v>
      </c>
      <c r="B80" s="16"/>
      <c r="C80" s="326">
        <v>0</v>
      </c>
      <c r="D80" s="326">
        <v>0</v>
      </c>
      <c r="E80" s="326">
        <v>5365</v>
      </c>
      <c r="F80" s="326">
        <v>0</v>
      </c>
      <c r="G80" s="326">
        <v>0</v>
      </c>
      <c r="H80" s="326">
        <v>0</v>
      </c>
      <c r="I80" s="326">
        <v>0</v>
      </c>
      <c r="J80" s="326">
        <v>0</v>
      </c>
      <c r="K80" s="326">
        <v>0</v>
      </c>
      <c r="L80" s="326">
        <v>0</v>
      </c>
      <c r="M80" s="326">
        <v>0</v>
      </c>
      <c r="N80" s="326">
        <v>0</v>
      </c>
      <c r="O80" s="326">
        <v>0</v>
      </c>
      <c r="P80" s="326">
        <v>0</v>
      </c>
      <c r="Q80" s="326">
        <v>0</v>
      </c>
      <c r="R80" s="326">
        <v>1225.4699999999998</v>
      </c>
      <c r="S80" s="326">
        <v>0</v>
      </c>
      <c r="T80" s="326">
        <v>0</v>
      </c>
      <c r="U80" s="326">
        <v>0</v>
      </c>
      <c r="V80" s="326">
        <v>0</v>
      </c>
      <c r="W80" s="326">
        <v>0</v>
      </c>
      <c r="X80" s="326">
        <v>0</v>
      </c>
      <c r="Y80" s="326">
        <v>1950</v>
      </c>
      <c r="Z80" s="326">
        <v>0</v>
      </c>
      <c r="AA80" s="326">
        <v>0</v>
      </c>
      <c r="AB80" s="326">
        <v>-135</v>
      </c>
      <c r="AC80" s="326">
        <v>0</v>
      </c>
      <c r="AD80" s="326">
        <v>0</v>
      </c>
      <c r="AE80" s="326">
        <v>3458.2799999999997</v>
      </c>
      <c r="AF80" s="326">
        <v>0</v>
      </c>
      <c r="AG80" s="326">
        <v>2848.52</v>
      </c>
      <c r="AH80" s="326">
        <v>384.6</v>
      </c>
      <c r="AI80" s="326">
        <v>0</v>
      </c>
      <c r="AJ80" s="326">
        <v>11888.189999999999</v>
      </c>
      <c r="AK80" s="326">
        <v>0</v>
      </c>
      <c r="AL80" s="326">
        <v>0</v>
      </c>
      <c r="AM80" s="326">
        <v>0</v>
      </c>
      <c r="AN80" s="326">
        <v>0</v>
      </c>
      <c r="AO80" s="326">
        <v>0</v>
      </c>
      <c r="AP80" s="326">
        <v>0</v>
      </c>
      <c r="AQ80" s="326">
        <v>0</v>
      </c>
      <c r="AR80" s="326">
        <v>0</v>
      </c>
      <c r="AS80" s="326">
        <v>0</v>
      </c>
      <c r="AT80" s="326">
        <v>0</v>
      </c>
      <c r="AU80" s="326">
        <v>1189.55</v>
      </c>
      <c r="AV80" s="326">
        <v>0</v>
      </c>
      <c r="AW80" s="326">
        <v>0</v>
      </c>
      <c r="AX80" s="326">
        <v>0</v>
      </c>
      <c r="AY80" s="326">
        <v>0</v>
      </c>
      <c r="AZ80" s="326">
        <v>0</v>
      </c>
      <c r="BA80" s="326">
        <v>0</v>
      </c>
      <c r="BB80" s="326">
        <v>68.97</v>
      </c>
      <c r="BC80" s="326">
        <v>0</v>
      </c>
      <c r="BD80" s="326">
        <v>0</v>
      </c>
      <c r="BE80" s="326">
        <v>230.78</v>
      </c>
      <c r="BF80" s="326">
        <v>0</v>
      </c>
      <c r="BG80" s="326">
        <v>0</v>
      </c>
      <c r="BH80" s="326">
        <v>0</v>
      </c>
      <c r="BI80" s="326">
        <v>0</v>
      </c>
      <c r="BJ80" s="326">
        <v>98</v>
      </c>
      <c r="BK80" s="326">
        <v>0</v>
      </c>
      <c r="BL80" s="326">
        <v>0</v>
      </c>
      <c r="BM80" s="326">
        <v>0</v>
      </c>
      <c r="BN80" s="326">
        <v>11610.64</v>
      </c>
      <c r="BO80" s="326">
        <v>410</v>
      </c>
      <c r="BP80" s="326">
        <v>0</v>
      </c>
      <c r="BQ80" s="326">
        <v>0</v>
      </c>
      <c r="BR80" s="326">
        <v>147</v>
      </c>
      <c r="BS80" s="326">
        <v>0</v>
      </c>
      <c r="BT80" s="326">
        <v>0</v>
      </c>
      <c r="BU80" s="326">
        <v>0</v>
      </c>
      <c r="BV80" s="326">
        <v>57.48</v>
      </c>
      <c r="BW80" s="326">
        <v>2185.2800000000002</v>
      </c>
      <c r="BX80" s="326">
        <v>1146.8</v>
      </c>
      <c r="BY80" s="326">
        <v>0</v>
      </c>
      <c r="BZ80" s="326">
        <v>0</v>
      </c>
      <c r="CA80" s="326">
        <v>-658.41</v>
      </c>
      <c r="CB80" s="326">
        <v>0</v>
      </c>
      <c r="CC80" s="326">
        <v>0</v>
      </c>
      <c r="CD80" s="326">
        <v>0</v>
      </c>
      <c r="CE80" s="28">
        <f t="shared" si="16"/>
        <v>43471.15</v>
      </c>
    </row>
    <row r="81" spans="1:84" x14ac:dyDescent="0.35">
      <c r="A81" s="29" t="s">
        <v>281</v>
      </c>
      <c r="B81" s="16"/>
      <c r="C81" s="326">
        <v>0</v>
      </c>
      <c r="D81" s="326">
        <v>0</v>
      </c>
      <c r="E81" s="326">
        <v>2695.54</v>
      </c>
      <c r="F81" s="326">
        <v>0</v>
      </c>
      <c r="G81" s="326">
        <v>0</v>
      </c>
      <c r="H81" s="326">
        <v>0</v>
      </c>
      <c r="I81" s="326">
        <v>0</v>
      </c>
      <c r="J81" s="326">
        <v>0</v>
      </c>
      <c r="K81" s="326">
        <v>0</v>
      </c>
      <c r="L81" s="326">
        <v>814.64</v>
      </c>
      <c r="M81" s="326">
        <v>0</v>
      </c>
      <c r="N81" s="326">
        <v>0</v>
      </c>
      <c r="O81" s="326">
        <v>282.82</v>
      </c>
      <c r="P81" s="326">
        <v>5738.78</v>
      </c>
      <c r="Q81" s="326">
        <v>0</v>
      </c>
      <c r="R81" s="326">
        <v>1148.8499999999999</v>
      </c>
      <c r="S81" s="326">
        <v>6443.69</v>
      </c>
      <c r="T81" s="326">
        <v>0</v>
      </c>
      <c r="U81" s="326">
        <v>38038.31</v>
      </c>
      <c r="V81" s="326">
        <v>0</v>
      </c>
      <c r="W81" s="326">
        <v>14.11</v>
      </c>
      <c r="X81" s="326">
        <v>3136.13</v>
      </c>
      <c r="Y81" s="326">
        <v>7492.4500000000007</v>
      </c>
      <c r="Z81" s="326">
        <v>0</v>
      </c>
      <c r="AA81" s="326">
        <v>0</v>
      </c>
      <c r="AB81" s="326">
        <v>10891.61</v>
      </c>
      <c r="AC81" s="326">
        <v>299.47000000000003</v>
      </c>
      <c r="AD81" s="326">
        <v>0</v>
      </c>
      <c r="AE81" s="326">
        <v>495.86</v>
      </c>
      <c r="AF81" s="326">
        <v>0</v>
      </c>
      <c r="AG81" s="326">
        <v>1182.1199999999999</v>
      </c>
      <c r="AH81" s="326">
        <v>2703.72</v>
      </c>
      <c r="AI81" s="326">
        <v>0</v>
      </c>
      <c r="AJ81" s="326">
        <v>11833.16</v>
      </c>
      <c r="AK81" s="326">
        <v>0</v>
      </c>
      <c r="AL81" s="326">
        <v>0</v>
      </c>
      <c r="AM81" s="326">
        <v>0</v>
      </c>
      <c r="AN81" s="326">
        <v>0</v>
      </c>
      <c r="AO81" s="326">
        <v>0</v>
      </c>
      <c r="AP81" s="326">
        <v>0</v>
      </c>
      <c r="AQ81" s="326">
        <v>0</v>
      </c>
      <c r="AR81" s="326">
        <v>0</v>
      </c>
      <c r="AS81" s="326">
        <v>0</v>
      </c>
      <c r="AT81" s="326">
        <v>0</v>
      </c>
      <c r="AU81" s="326">
        <v>3339.1800000000003</v>
      </c>
      <c r="AV81" s="326">
        <v>1415.12</v>
      </c>
      <c r="AW81" s="326">
        <v>0</v>
      </c>
      <c r="AX81" s="326">
        <v>0</v>
      </c>
      <c r="AY81" s="326">
        <v>1491.58</v>
      </c>
      <c r="AZ81" s="326">
        <v>183.1</v>
      </c>
      <c r="BA81" s="326">
        <v>112.62</v>
      </c>
      <c r="BB81" s="326">
        <v>233.56</v>
      </c>
      <c r="BC81" s="326">
        <v>0</v>
      </c>
      <c r="BD81" s="326">
        <v>146.32</v>
      </c>
      <c r="BE81" s="326">
        <v>12566.279999999999</v>
      </c>
      <c r="BF81" s="326">
        <v>1275.57</v>
      </c>
      <c r="BG81" s="326">
        <v>0</v>
      </c>
      <c r="BH81" s="326">
        <v>38849.86</v>
      </c>
      <c r="BI81" s="326">
        <v>0</v>
      </c>
      <c r="BJ81" s="326">
        <v>4968.84</v>
      </c>
      <c r="BK81" s="326">
        <v>2536.81</v>
      </c>
      <c r="BL81" s="326">
        <v>34.28</v>
      </c>
      <c r="BM81" s="326">
        <v>0</v>
      </c>
      <c r="BN81" s="326">
        <v>30494.12</v>
      </c>
      <c r="BO81" s="326">
        <v>0</v>
      </c>
      <c r="BP81" s="326">
        <v>0</v>
      </c>
      <c r="BQ81" s="326">
        <v>0</v>
      </c>
      <c r="BR81" s="326">
        <v>614.58000000000004</v>
      </c>
      <c r="BS81" s="326">
        <v>0</v>
      </c>
      <c r="BT81" s="326">
        <v>0</v>
      </c>
      <c r="BU81" s="326">
        <v>0</v>
      </c>
      <c r="BV81" s="326">
        <v>12.6</v>
      </c>
      <c r="BW81" s="326">
        <v>0</v>
      </c>
      <c r="BX81" s="326">
        <v>11100.94</v>
      </c>
      <c r="BY81" s="326">
        <v>0</v>
      </c>
      <c r="BZ81" s="326">
        <v>0</v>
      </c>
      <c r="CA81" s="326">
        <v>0</v>
      </c>
      <c r="CB81" s="326">
        <v>0</v>
      </c>
      <c r="CC81" s="326">
        <v>0</v>
      </c>
      <c r="CD81" s="326">
        <f>2304+296989</f>
        <v>299293</v>
      </c>
      <c r="CE81" s="28">
        <f t="shared" si="16"/>
        <v>501879.62</v>
      </c>
    </row>
    <row r="82" spans="1:84" x14ac:dyDescent="0.35">
      <c r="A82" s="29" t="s">
        <v>282</v>
      </c>
      <c r="B82" s="16"/>
      <c r="C82" s="326">
        <v>0</v>
      </c>
      <c r="D82" s="326">
        <v>0</v>
      </c>
      <c r="E82" s="326">
        <v>1399.68</v>
      </c>
      <c r="F82" s="326">
        <v>0</v>
      </c>
      <c r="G82" s="326">
        <v>0</v>
      </c>
      <c r="H82" s="326">
        <v>0</v>
      </c>
      <c r="I82" s="326">
        <v>0</v>
      </c>
      <c r="J82" s="326">
        <v>0</v>
      </c>
      <c r="K82" s="326">
        <v>180.71</v>
      </c>
      <c r="L82" s="326">
        <v>2524.39</v>
      </c>
      <c r="M82" s="326">
        <v>0</v>
      </c>
      <c r="N82" s="326">
        <v>0</v>
      </c>
      <c r="O82" s="326">
        <v>0</v>
      </c>
      <c r="P82" s="326">
        <v>860.75</v>
      </c>
      <c r="Q82" s="326">
        <v>0</v>
      </c>
      <c r="R82" s="326">
        <v>374.24</v>
      </c>
      <c r="S82" s="326">
        <v>0.66</v>
      </c>
      <c r="T82" s="326">
        <v>0</v>
      </c>
      <c r="U82" s="326">
        <v>872.53</v>
      </c>
      <c r="V82" s="326">
        <v>0</v>
      </c>
      <c r="W82" s="326">
        <v>105.87</v>
      </c>
      <c r="X82" s="326">
        <v>0</v>
      </c>
      <c r="Y82" s="326">
        <v>1920.9699999999998</v>
      </c>
      <c r="Z82" s="326">
        <v>0</v>
      </c>
      <c r="AA82" s="326">
        <v>0</v>
      </c>
      <c r="AB82" s="326">
        <v>2855.04</v>
      </c>
      <c r="AC82" s="326">
        <v>0</v>
      </c>
      <c r="AD82" s="326">
        <v>0</v>
      </c>
      <c r="AE82" s="326">
        <v>723.46</v>
      </c>
      <c r="AF82" s="326">
        <v>0</v>
      </c>
      <c r="AG82" s="326">
        <v>1387.66</v>
      </c>
      <c r="AH82" s="326">
        <v>18902.400000000001</v>
      </c>
      <c r="AI82" s="326">
        <v>0</v>
      </c>
      <c r="AJ82" s="326">
        <v>70326.600000000006</v>
      </c>
      <c r="AK82" s="326">
        <v>0</v>
      </c>
      <c r="AL82" s="326">
        <v>0</v>
      </c>
      <c r="AM82" s="326">
        <v>0</v>
      </c>
      <c r="AN82" s="326">
        <v>0</v>
      </c>
      <c r="AO82" s="326">
        <v>0</v>
      </c>
      <c r="AP82" s="326">
        <v>0</v>
      </c>
      <c r="AQ82" s="326">
        <v>0</v>
      </c>
      <c r="AR82" s="326">
        <v>0</v>
      </c>
      <c r="AS82" s="326">
        <v>0</v>
      </c>
      <c r="AT82" s="326">
        <v>0</v>
      </c>
      <c r="AU82" s="326">
        <v>18571.05</v>
      </c>
      <c r="AV82" s="326">
        <v>1143.5899999999999</v>
      </c>
      <c r="AW82" s="326">
        <v>0</v>
      </c>
      <c r="AX82" s="326">
        <v>0</v>
      </c>
      <c r="AY82" s="326">
        <v>654.26</v>
      </c>
      <c r="AZ82" s="326">
        <v>0</v>
      </c>
      <c r="BA82" s="326">
        <v>140.58000000000001</v>
      </c>
      <c r="BB82" s="326">
        <v>926.3</v>
      </c>
      <c r="BC82" s="326">
        <v>0</v>
      </c>
      <c r="BD82" s="326">
        <v>845.57</v>
      </c>
      <c r="BE82" s="326">
        <v>314035.32</v>
      </c>
      <c r="BF82" s="326">
        <v>43.2</v>
      </c>
      <c r="BG82" s="326">
        <v>0</v>
      </c>
      <c r="BH82" s="326">
        <v>10395.83</v>
      </c>
      <c r="BI82" s="326">
        <v>0</v>
      </c>
      <c r="BJ82" s="326">
        <v>483.61</v>
      </c>
      <c r="BK82" s="326">
        <v>2938.85</v>
      </c>
      <c r="BL82" s="326">
        <v>2024.04</v>
      </c>
      <c r="BM82" s="326">
        <v>0</v>
      </c>
      <c r="BN82" s="326">
        <v>26019.05</v>
      </c>
      <c r="BO82" s="326">
        <v>92.71</v>
      </c>
      <c r="BP82" s="326">
        <v>0</v>
      </c>
      <c r="BQ82" s="326">
        <v>0</v>
      </c>
      <c r="BR82" s="326">
        <v>627.4</v>
      </c>
      <c r="BS82" s="326">
        <v>0</v>
      </c>
      <c r="BT82" s="326">
        <v>0</v>
      </c>
      <c r="BU82" s="326">
        <v>0</v>
      </c>
      <c r="BV82" s="326">
        <v>683.37</v>
      </c>
      <c r="BW82" s="326">
        <v>0</v>
      </c>
      <c r="BX82" s="326">
        <v>233.51</v>
      </c>
      <c r="BY82" s="326">
        <v>411.56</v>
      </c>
      <c r="BZ82" s="326">
        <v>0</v>
      </c>
      <c r="CA82" s="326">
        <v>0</v>
      </c>
      <c r="CB82" s="326">
        <v>277.93</v>
      </c>
      <c r="CC82" s="326">
        <v>12574</v>
      </c>
      <c r="CD82" s="326">
        <f>621+193</f>
        <v>814</v>
      </c>
      <c r="CE82" s="28">
        <f t="shared" si="16"/>
        <v>496370.69</v>
      </c>
    </row>
    <row r="83" spans="1:84" x14ac:dyDescent="0.35">
      <c r="A83" s="29" t="s">
        <v>283</v>
      </c>
      <c r="B83" s="16"/>
      <c r="C83" s="316">
        <v>0</v>
      </c>
      <c r="D83" s="316">
        <v>0</v>
      </c>
      <c r="E83" s="318">
        <v>2455.31</v>
      </c>
      <c r="F83" s="318">
        <v>0</v>
      </c>
      <c r="G83" s="316">
        <v>0</v>
      </c>
      <c r="H83" s="316">
        <v>0</v>
      </c>
      <c r="I83" s="318">
        <v>0</v>
      </c>
      <c r="J83" s="318">
        <v>0</v>
      </c>
      <c r="K83" s="318">
        <v>150.24</v>
      </c>
      <c r="L83" s="318">
        <v>39272.15</v>
      </c>
      <c r="M83" s="316">
        <v>0</v>
      </c>
      <c r="N83" s="316">
        <v>0</v>
      </c>
      <c r="O83" s="316">
        <v>2735.4</v>
      </c>
      <c r="P83" s="318">
        <v>2987.8500000000004</v>
      </c>
      <c r="Q83" s="318">
        <v>0</v>
      </c>
      <c r="R83" s="319">
        <v>13712.160000000002</v>
      </c>
      <c r="S83" s="318">
        <v>4218.41</v>
      </c>
      <c r="T83" s="316">
        <v>0</v>
      </c>
      <c r="U83" s="318">
        <v>31687.040000000001</v>
      </c>
      <c r="V83" s="318">
        <v>0</v>
      </c>
      <c r="W83" s="316">
        <v>31.47</v>
      </c>
      <c r="X83" s="318">
        <v>250.79</v>
      </c>
      <c r="Y83" s="318">
        <v>7686.7599999999993</v>
      </c>
      <c r="Z83" s="318">
        <v>0</v>
      </c>
      <c r="AA83" s="318">
        <v>3444.86</v>
      </c>
      <c r="AB83" s="318">
        <v>11579.36</v>
      </c>
      <c r="AC83" s="318">
        <v>120.49</v>
      </c>
      <c r="AD83" s="318">
        <v>0</v>
      </c>
      <c r="AE83" s="318">
        <v>3198.44</v>
      </c>
      <c r="AF83" s="318">
        <v>0</v>
      </c>
      <c r="AG83" s="318">
        <v>4746.95</v>
      </c>
      <c r="AH83" s="318">
        <v>10552.93</v>
      </c>
      <c r="AI83" s="318">
        <v>0</v>
      </c>
      <c r="AJ83" s="318">
        <v>28488.129999999997</v>
      </c>
      <c r="AK83" s="318">
        <v>0</v>
      </c>
      <c r="AL83" s="318">
        <v>0</v>
      </c>
      <c r="AM83" s="318">
        <v>0</v>
      </c>
      <c r="AN83" s="318">
        <v>0</v>
      </c>
      <c r="AO83" s="316">
        <v>0</v>
      </c>
      <c r="AP83" s="318">
        <v>0</v>
      </c>
      <c r="AQ83" s="316">
        <v>0</v>
      </c>
      <c r="AR83" s="316">
        <v>0</v>
      </c>
      <c r="AS83" s="316">
        <v>0</v>
      </c>
      <c r="AT83" s="316">
        <v>0</v>
      </c>
      <c r="AU83" s="318">
        <v>9662.14</v>
      </c>
      <c r="AV83" s="318">
        <v>4372.04</v>
      </c>
      <c r="AW83" s="318">
        <v>0</v>
      </c>
      <c r="AX83" s="318">
        <v>0</v>
      </c>
      <c r="AY83" s="318">
        <v>1717.73</v>
      </c>
      <c r="AZ83" s="318">
        <v>116</v>
      </c>
      <c r="BA83" s="318">
        <v>0</v>
      </c>
      <c r="BB83" s="318">
        <v>751.1</v>
      </c>
      <c r="BC83" s="318">
        <v>0</v>
      </c>
      <c r="BD83" s="318">
        <v>610.58999999999992</v>
      </c>
      <c r="BE83" s="318">
        <v>621.17000000000007</v>
      </c>
      <c r="BF83" s="318">
        <v>500.4</v>
      </c>
      <c r="BG83" s="318">
        <v>0</v>
      </c>
      <c r="BH83" s="319">
        <v>-16141.05</v>
      </c>
      <c r="BI83" s="318">
        <v>0</v>
      </c>
      <c r="BJ83" s="318">
        <v>6104.32</v>
      </c>
      <c r="BK83" s="318">
        <v>1963.12</v>
      </c>
      <c r="BL83" s="318">
        <v>324.83</v>
      </c>
      <c r="BM83" s="318">
        <v>0</v>
      </c>
      <c r="BN83" s="318">
        <v>195376.72999999998</v>
      </c>
      <c r="BO83" s="318">
        <v>210.3</v>
      </c>
      <c r="BP83" s="318">
        <v>0</v>
      </c>
      <c r="BQ83" s="318">
        <v>0</v>
      </c>
      <c r="BR83" s="318">
        <v>11382.400000000001</v>
      </c>
      <c r="BS83" s="318">
        <v>0</v>
      </c>
      <c r="BT83" s="318">
        <v>0</v>
      </c>
      <c r="BU83" s="318">
        <v>0</v>
      </c>
      <c r="BV83" s="318">
        <v>8938.1400000000012</v>
      </c>
      <c r="BW83" s="318">
        <v>-83.43</v>
      </c>
      <c r="BX83" s="318">
        <v>1609.55</v>
      </c>
      <c r="BY83" s="318">
        <v>1603.21</v>
      </c>
      <c r="BZ83" s="318">
        <v>0</v>
      </c>
      <c r="CA83" s="318">
        <v>-364.97</v>
      </c>
      <c r="CB83" s="318">
        <v>0</v>
      </c>
      <c r="CC83" s="318">
        <v>22.78</v>
      </c>
      <c r="CD83" s="326">
        <f>-8254-658+467</f>
        <v>-8445</v>
      </c>
      <c r="CE83" s="28">
        <f t="shared" si="16"/>
        <v>388170.84000000008</v>
      </c>
    </row>
    <row r="84" spans="1:84" x14ac:dyDescent="0.35">
      <c r="A84" s="35" t="s">
        <v>284</v>
      </c>
      <c r="B84" s="16"/>
      <c r="C84" s="316">
        <v>0</v>
      </c>
      <c r="D84" s="316">
        <v>0</v>
      </c>
      <c r="E84" s="316">
        <v>0</v>
      </c>
      <c r="F84" s="316">
        <v>0</v>
      </c>
      <c r="G84" s="316">
        <v>0</v>
      </c>
      <c r="H84" s="316">
        <v>0</v>
      </c>
      <c r="I84" s="316">
        <v>0</v>
      </c>
      <c r="J84" s="316">
        <v>0</v>
      </c>
      <c r="K84" s="316">
        <v>0</v>
      </c>
      <c r="L84" s="316">
        <v>0</v>
      </c>
      <c r="M84" s="316">
        <v>0</v>
      </c>
      <c r="N84" s="316">
        <v>0</v>
      </c>
      <c r="O84" s="316">
        <v>0</v>
      </c>
      <c r="P84" s="316">
        <v>0</v>
      </c>
      <c r="Q84" s="316">
        <v>0</v>
      </c>
      <c r="R84" s="316">
        <v>0</v>
      </c>
      <c r="S84" s="316">
        <v>0</v>
      </c>
      <c r="T84" s="316">
        <v>0</v>
      </c>
      <c r="U84" s="316">
        <v>0</v>
      </c>
      <c r="V84" s="316">
        <v>0</v>
      </c>
      <c r="W84" s="316">
        <v>0</v>
      </c>
      <c r="X84" s="316">
        <v>0</v>
      </c>
      <c r="Y84" s="316">
        <v>0</v>
      </c>
      <c r="Z84" s="316">
        <v>0</v>
      </c>
      <c r="AA84" s="316">
        <v>0</v>
      </c>
      <c r="AB84" s="316">
        <v>0</v>
      </c>
      <c r="AC84" s="316">
        <v>0</v>
      </c>
      <c r="AD84" s="316">
        <v>0</v>
      </c>
      <c r="AE84" s="316">
        <v>0</v>
      </c>
      <c r="AF84" s="316">
        <v>0</v>
      </c>
      <c r="AG84" s="316">
        <v>0</v>
      </c>
      <c r="AH84" s="316">
        <v>0</v>
      </c>
      <c r="AI84" s="316">
        <v>0</v>
      </c>
      <c r="AJ84" s="316">
        <v>0</v>
      </c>
      <c r="AK84" s="316">
        <v>0</v>
      </c>
      <c r="AL84" s="316">
        <v>0</v>
      </c>
      <c r="AM84" s="316">
        <v>0</v>
      </c>
      <c r="AN84" s="316">
        <v>0</v>
      </c>
      <c r="AO84" s="316">
        <v>0</v>
      </c>
      <c r="AP84" s="316">
        <v>0</v>
      </c>
      <c r="AQ84" s="316">
        <v>0</v>
      </c>
      <c r="AR84" s="316">
        <v>0</v>
      </c>
      <c r="AS84" s="316">
        <v>0</v>
      </c>
      <c r="AT84" s="316">
        <v>0</v>
      </c>
      <c r="AU84" s="316">
        <v>0</v>
      </c>
      <c r="AV84" s="316">
        <v>0</v>
      </c>
      <c r="AW84" s="316">
        <v>0</v>
      </c>
      <c r="AX84" s="316">
        <v>0</v>
      </c>
      <c r="AY84" s="316">
        <v>0</v>
      </c>
      <c r="AZ84" s="316">
        <v>0</v>
      </c>
      <c r="BA84" s="316">
        <v>0</v>
      </c>
      <c r="BB84" s="316">
        <v>0</v>
      </c>
      <c r="BC84" s="316">
        <v>0</v>
      </c>
      <c r="BD84" s="316">
        <v>0</v>
      </c>
      <c r="BE84" s="316">
        <v>0</v>
      </c>
      <c r="BF84" s="316">
        <v>0</v>
      </c>
      <c r="BG84" s="316">
        <v>0</v>
      </c>
      <c r="BH84" s="316">
        <v>0</v>
      </c>
      <c r="BI84" s="316">
        <v>0</v>
      </c>
      <c r="BJ84" s="316">
        <v>0</v>
      </c>
      <c r="BK84" s="316">
        <v>0</v>
      </c>
      <c r="BL84" s="316">
        <v>0</v>
      </c>
      <c r="BM84" s="316">
        <v>0</v>
      </c>
      <c r="BN84" s="316">
        <v>0</v>
      </c>
      <c r="BO84" s="316">
        <v>0</v>
      </c>
      <c r="BP84" s="316">
        <v>0</v>
      </c>
      <c r="BQ84" s="316">
        <v>0</v>
      </c>
      <c r="BR84" s="316">
        <v>0</v>
      </c>
      <c r="BS84" s="316">
        <v>0</v>
      </c>
      <c r="BT84" s="316">
        <v>0</v>
      </c>
      <c r="BU84" s="316">
        <v>0</v>
      </c>
      <c r="BV84" s="316">
        <v>0</v>
      </c>
      <c r="BW84" s="316">
        <v>0</v>
      </c>
      <c r="BX84" s="316">
        <v>0</v>
      </c>
      <c r="BY84" s="316">
        <v>0</v>
      </c>
      <c r="BZ84" s="316">
        <v>0</v>
      </c>
      <c r="CA84" s="316">
        <v>0</v>
      </c>
      <c r="CB84" s="316">
        <v>0</v>
      </c>
      <c r="CC84" s="316">
        <v>0</v>
      </c>
      <c r="CD84" s="326">
        <v>0</v>
      </c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3361023.38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3859.5699999999997</v>
      </c>
      <c r="K85" s="28">
        <f t="shared" si="17"/>
        <v>333788.42</v>
      </c>
      <c r="L85" s="28">
        <f t="shared" si="17"/>
        <v>3088062.4</v>
      </c>
      <c r="M85" s="28">
        <f t="shared" si="17"/>
        <v>0</v>
      </c>
      <c r="N85" s="28">
        <f t="shared" si="17"/>
        <v>0</v>
      </c>
      <c r="O85" s="28">
        <f t="shared" si="17"/>
        <v>217894.68</v>
      </c>
      <c r="P85" s="28">
        <f t="shared" si="17"/>
        <v>1286073.26</v>
      </c>
      <c r="Q85" s="28">
        <f t="shared" si="17"/>
        <v>2047.78</v>
      </c>
      <c r="R85" s="28">
        <f t="shared" si="17"/>
        <v>772878.53</v>
      </c>
      <c r="S85" s="28">
        <f t="shared" si="17"/>
        <v>214225.72</v>
      </c>
      <c r="T85" s="28">
        <f t="shared" si="17"/>
        <v>0</v>
      </c>
      <c r="U85" s="28">
        <f t="shared" si="17"/>
        <v>1907535.0099999998</v>
      </c>
      <c r="V85" s="28">
        <f t="shared" si="17"/>
        <v>2410</v>
      </c>
      <c r="W85" s="28">
        <f t="shared" si="17"/>
        <v>142010.99000000002</v>
      </c>
      <c r="X85" s="28">
        <f t="shared" si="17"/>
        <v>90371.8</v>
      </c>
      <c r="Y85" s="28">
        <f t="shared" si="17"/>
        <v>2222486.9500000002</v>
      </c>
      <c r="Z85" s="28">
        <f t="shared" si="17"/>
        <v>0</v>
      </c>
      <c r="AA85" s="28">
        <f t="shared" si="17"/>
        <v>87938.94</v>
      </c>
      <c r="AB85" s="28">
        <f t="shared" si="17"/>
        <v>1440893.4300000002</v>
      </c>
      <c r="AC85" s="28">
        <f t="shared" si="17"/>
        <v>115404.76000000001</v>
      </c>
      <c r="AD85" s="28">
        <f t="shared" si="17"/>
        <v>0</v>
      </c>
      <c r="AE85" s="28">
        <f t="shared" si="17"/>
        <v>1074226.5799999998</v>
      </c>
      <c r="AF85" s="28">
        <f t="shared" si="17"/>
        <v>0</v>
      </c>
      <c r="AG85" s="28">
        <f t="shared" si="17"/>
        <v>2634179.5500000003</v>
      </c>
      <c r="AH85" s="28">
        <f t="shared" si="17"/>
        <v>960705.28000000014</v>
      </c>
      <c r="AI85" s="28">
        <f t="shared" ref="AI85:BN85" si="18">SUM(AI61:AI69)-AI84</f>
        <v>127096.96000000001</v>
      </c>
      <c r="AJ85" s="28">
        <f t="shared" si="18"/>
        <v>6445733.7299999995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1846593.8599999999</v>
      </c>
      <c r="AV85" s="28">
        <f t="shared" si="18"/>
        <v>427133.47</v>
      </c>
      <c r="AW85" s="28">
        <f t="shared" si="18"/>
        <v>0</v>
      </c>
      <c r="AX85" s="28">
        <f t="shared" si="18"/>
        <v>0</v>
      </c>
      <c r="AY85" s="28">
        <f t="shared" si="18"/>
        <v>1168704.1000000001</v>
      </c>
      <c r="AZ85" s="28">
        <f t="shared" si="18"/>
        <v>47154.75</v>
      </c>
      <c r="BA85" s="28">
        <f t="shared" si="18"/>
        <v>107181.01</v>
      </c>
      <c r="BB85" s="28">
        <f t="shared" si="18"/>
        <v>315969.84999999998</v>
      </c>
      <c r="BC85" s="28">
        <f t="shared" si="18"/>
        <v>0</v>
      </c>
      <c r="BD85" s="28">
        <f t="shared" si="18"/>
        <v>191415.08000000002</v>
      </c>
      <c r="BE85" s="28">
        <f t="shared" si="18"/>
        <v>1425537.92</v>
      </c>
      <c r="BF85" s="28">
        <f t="shared" si="18"/>
        <v>981965.64</v>
      </c>
      <c r="BG85" s="28">
        <f t="shared" si="18"/>
        <v>0</v>
      </c>
      <c r="BH85" s="28">
        <f t="shared" si="18"/>
        <v>1016157.7600000001</v>
      </c>
      <c r="BI85" s="28">
        <f t="shared" si="18"/>
        <v>0</v>
      </c>
      <c r="BJ85" s="28">
        <f t="shared" si="18"/>
        <v>784484.08000000007</v>
      </c>
      <c r="BK85" s="28">
        <f t="shared" si="18"/>
        <v>1534311.1300000004</v>
      </c>
      <c r="BL85" s="28">
        <f t="shared" si="18"/>
        <v>460571.35999999993</v>
      </c>
      <c r="BM85" s="28">
        <f t="shared" si="18"/>
        <v>0</v>
      </c>
      <c r="BN85" s="28">
        <f t="shared" si="18"/>
        <v>2388224.5</v>
      </c>
      <c r="BO85" s="28">
        <f t="shared" ref="BO85:CD85" si="19">SUM(BO61:BO69)-BO84</f>
        <v>713.01</v>
      </c>
      <c r="BP85" s="28">
        <f t="shared" si="19"/>
        <v>18670.04</v>
      </c>
      <c r="BQ85" s="28">
        <f t="shared" si="19"/>
        <v>0</v>
      </c>
      <c r="BR85" s="28">
        <f t="shared" si="19"/>
        <v>352288.45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393725.97</v>
      </c>
      <c r="BW85" s="28">
        <f t="shared" si="19"/>
        <v>54434.1</v>
      </c>
      <c r="BX85" s="28">
        <f t="shared" si="19"/>
        <v>577600.72</v>
      </c>
      <c r="BY85" s="28">
        <f t="shared" si="19"/>
        <v>308131.63</v>
      </c>
      <c r="BZ85" s="28">
        <f t="shared" si="19"/>
        <v>0</v>
      </c>
      <c r="CA85" s="28">
        <f t="shared" si="19"/>
        <v>37635.43</v>
      </c>
      <c r="CB85" s="28">
        <f t="shared" si="19"/>
        <v>45747.7</v>
      </c>
      <c r="CC85" s="28">
        <f t="shared" si="19"/>
        <v>-7267.2199999999993</v>
      </c>
      <c r="CD85" s="28">
        <f t="shared" si="19"/>
        <v>291903</v>
      </c>
      <c r="CE85" s="28">
        <f t="shared" si="16"/>
        <v>41299835.06000001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6">
        <f>641198+348006</f>
        <v>989204</v>
      </c>
    </row>
    <row r="87" spans="1:84" x14ac:dyDescent="0.35">
      <c r="A87" s="22" t="s">
        <v>287</v>
      </c>
      <c r="B87" s="16"/>
      <c r="C87" s="316">
        <v>0</v>
      </c>
      <c r="D87" s="316">
        <v>0</v>
      </c>
      <c r="E87" s="316">
        <v>2057230</v>
      </c>
      <c r="F87" s="316">
        <v>0</v>
      </c>
      <c r="G87" s="316">
        <v>0</v>
      </c>
      <c r="H87" s="316">
        <v>0</v>
      </c>
      <c r="I87" s="316">
        <v>0</v>
      </c>
      <c r="J87" s="316">
        <v>6894</v>
      </c>
      <c r="K87" s="316">
        <v>1436420</v>
      </c>
      <c r="L87" s="316">
        <v>2223920</v>
      </c>
      <c r="M87" s="316">
        <v>0</v>
      </c>
      <c r="N87" s="316">
        <v>0</v>
      </c>
      <c r="O87" s="316">
        <v>10840</v>
      </c>
      <c r="P87" s="316">
        <v>41886</v>
      </c>
      <c r="Q87" s="316">
        <v>2404</v>
      </c>
      <c r="R87" s="316">
        <v>2809</v>
      </c>
      <c r="S87" s="316">
        <v>49799</v>
      </c>
      <c r="T87" s="316">
        <v>0</v>
      </c>
      <c r="U87" s="316">
        <v>521816</v>
      </c>
      <c r="V87" s="316">
        <v>0</v>
      </c>
      <c r="W87" s="316">
        <v>25611</v>
      </c>
      <c r="X87" s="316">
        <v>225908.3</v>
      </c>
      <c r="Y87" s="316">
        <v>123531</v>
      </c>
      <c r="Z87" s="316">
        <v>0</v>
      </c>
      <c r="AA87" s="316">
        <v>0</v>
      </c>
      <c r="AB87" s="316">
        <v>505872.08</v>
      </c>
      <c r="AC87" s="316">
        <v>95540</v>
      </c>
      <c r="AD87" s="316">
        <v>0</v>
      </c>
      <c r="AE87" s="316">
        <v>298929</v>
      </c>
      <c r="AF87" s="316">
        <v>0</v>
      </c>
      <c r="AG87" s="316">
        <v>0</v>
      </c>
      <c r="AH87" s="316">
        <v>58143</v>
      </c>
      <c r="AI87" s="316">
        <v>119700</v>
      </c>
      <c r="AJ87" s="316">
        <v>0</v>
      </c>
      <c r="AK87" s="316">
        <v>0</v>
      </c>
      <c r="AL87" s="316">
        <v>0</v>
      </c>
      <c r="AM87" s="316">
        <v>0</v>
      </c>
      <c r="AN87" s="316">
        <v>0</v>
      </c>
      <c r="AO87" s="316">
        <v>0</v>
      </c>
      <c r="AP87" s="316">
        <v>0</v>
      </c>
      <c r="AQ87" s="316">
        <v>0</v>
      </c>
      <c r="AR87" s="316">
        <v>0</v>
      </c>
      <c r="AS87" s="316">
        <v>0</v>
      </c>
      <c r="AT87" s="316">
        <v>0</v>
      </c>
      <c r="AU87" s="316">
        <v>0</v>
      </c>
      <c r="AV87" s="316">
        <v>54530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7861782.3799999999</v>
      </c>
    </row>
    <row r="88" spans="1:84" x14ac:dyDescent="0.35">
      <c r="A88" s="22" t="s">
        <v>288</v>
      </c>
      <c r="B88" s="16"/>
      <c r="C88" s="316">
        <v>0</v>
      </c>
      <c r="D88" s="316">
        <v>0</v>
      </c>
      <c r="E88" s="316">
        <v>544601</v>
      </c>
      <c r="F88" s="316">
        <v>0</v>
      </c>
      <c r="G88" s="316">
        <v>0</v>
      </c>
      <c r="H88" s="316">
        <v>0</v>
      </c>
      <c r="I88" s="316">
        <v>0</v>
      </c>
      <c r="J88" s="316">
        <v>0</v>
      </c>
      <c r="K88" s="316">
        <v>159939</v>
      </c>
      <c r="L88" s="316">
        <v>0</v>
      </c>
      <c r="M88" s="316">
        <v>0</v>
      </c>
      <c r="N88" s="316">
        <v>0</v>
      </c>
      <c r="O88" s="316">
        <v>9340</v>
      </c>
      <c r="P88" s="316">
        <v>1549767</v>
      </c>
      <c r="Q88" s="316">
        <v>141707</v>
      </c>
      <c r="R88" s="316">
        <v>1098312</v>
      </c>
      <c r="S88" s="316">
        <v>525460</v>
      </c>
      <c r="T88" s="316">
        <v>0</v>
      </c>
      <c r="U88" s="316">
        <v>7703569</v>
      </c>
      <c r="V88" s="316">
        <v>0</v>
      </c>
      <c r="W88" s="316">
        <v>1435797</v>
      </c>
      <c r="X88" s="316">
        <v>6370964.7000000002</v>
      </c>
      <c r="Y88" s="316">
        <v>6036236.2399999993</v>
      </c>
      <c r="Z88" s="316">
        <v>0</v>
      </c>
      <c r="AA88" s="316">
        <v>252958</v>
      </c>
      <c r="AB88" s="316">
        <v>3068937.02</v>
      </c>
      <c r="AC88" s="316">
        <v>300991</v>
      </c>
      <c r="AD88" s="316">
        <v>0</v>
      </c>
      <c r="AE88" s="316">
        <v>3378068.65</v>
      </c>
      <c r="AF88" s="316">
        <v>0</v>
      </c>
      <c r="AG88" s="316">
        <v>15088122</v>
      </c>
      <c r="AH88" s="316">
        <v>1009024</v>
      </c>
      <c r="AI88" s="316">
        <v>1861826</v>
      </c>
      <c r="AJ88" s="316">
        <v>6187066.8200000003</v>
      </c>
      <c r="AK88" s="316">
        <v>0</v>
      </c>
      <c r="AL88" s="316">
        <v>0</v>
      </c>
      <c r="AM88" s="316">
        <v>0</v>
      </c>
      <c r="AN88" s="316">
        <v>0</v>
      </c>
      <c r="AO88" s="316">
        <v>0</v>
      </c>
      <c r="AP88" s="316">
        <v>0</v>
      </c>
      <c r="AQ88" s="316">
        <v>0</v>
      </c>
      <c r="AR88" s="316">
        <v>0</v>
      </c>
      <c r="AS88" s="316">
        <v>0</v>
      </c>
      <c r="AT88" s="316">
        <v>0</v>
      </c>
      <c r="AU88" s="316">
        <v>1641188.37</v>
      </c>
      <c r="AV88" s="316">
        <v>2306430.1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60670304.899999999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2601831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6894</v>
      </c>
      <c r="K89" s="28">
        <f t="shared" si="21"/>
        <v>1596359</v>
      </c>
      <c r="L89" s="28">
        <f t="shared" si="21"/>
        <v>2223920</v>
      </c>
      <c r="M89" s="28">
        <f t="shared" si="21"/>
        <v>0</v>
      </c>
      <c r="N89" s="28">
        <f t="shared" si="21"/>
        <v>0</v>
      </c>
      <c r="O89" s="28">
        <f t="shared" si="21"/>
        <v>20180</v>
      </c>
      <c r="P89" s="28">
        <f t="shared" si="21"/>
        <v>1591653</v>
      </c>
      <c r="Q89" s="28">
        <f t="shared" si="21"/>
        <v>144111</v>
      </c>
      <c r="R89" s="28">
        <f t="shared" si="21"/>
        <v>1101121</v>
      </c>
      <c r="S89" s="28">
        <f t="shared" si="21"/>
        <v>575259</v>
      </c>
      <c r="T89" s="28">
        <f t="shared" si="21"/>
        <v>0</v>
      </c>
      <c r="U89" s="28">
        <f t="shared" si="21"/>
        <v>8225385</v>
      </c>
      <c r="V89" s="28">
        <f t="shared" si="21"/>
        <v>0</v>
      </c>
      <c r="W89" s="28">
        <f t="shared" si="21"/>
        <v>1461408</v>
      </c>
      <c r="X89" s="28">
        <f t="shared" si="21"/>
        <v>6596873</v>
      </c>
      <c r="Y89" s="28">
        <f t="shared" si="21"/>
        <v>6159767.2399999993</v>
      </c>
      <c r="Z89" s="28">
        <f t="shared" si="21"/>
        <v>0</v>
      </c>
      <c r="AA89" s="28">
        <f t="shared" si="21"/>
        <v>252958</v>
      </c>
      <c r="AB89" s="28">
        <f t="shared" si="21"/>
        <v>3574809.1</v>
      </c>
      <c r="AC89" s="28">
        <f t="shared" si="21"/>
        <v>396531</v>
      </c>
      <c r="AD89" s="28">
        <f t="shared" si="21"/>
        <v>0</v>
      </c>
      <c r="AE89" s="28">
        <f t="shared" si="21"/>
        <v>3676997.65</v>
      </c>
      <c r="AF89" s="28">
        <f t="shared" si="21"/>
        <v>0</v>
      </c>
      <c r="AG89" s="28">
        <f t="shared" si="21"/>
        <v>15088122</v>
      </c>
      <c r="AH89" s="28">
        <f t="shared" si="21"/>
        <v>1067167</v>
      </c>
      <c r="AI89" s="28">
        <f t="shared" si="21"/>
        <v>1981526</v>
      </c>
      <c r="AJ89" s="28">
        <f t="shared" si="21"/>
        <v>6187066.8200000003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1641188.37</v>
      </c>
      <c r="AV89" s="28">
        <f t="shared" si="21"/>
        <v>2360960.1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68532087.279999986</v>
      </c>
    </row>
    <row r="90" spans="1:84" x14ac:dyDescent="0.35">
      <c r="A90" s="35" t="s">
        <v>290</v>
      </c>
      <c r="B90" s="28"/>
      <c r="C90" s="316">
        <v>0</v>
      </c>
      <c r="D90" s="316">
        <v>0</v>
      </c>
      <c r="E90" s="316">
        <v>2649</v>
      </c>
      <c r="F90" s="316">
        <v>0</v>
      </c>
      <c r="G90" s="316">
        <v>0</v>
      </c>
      <c r="H90" s="316">
        <v>0</v>
      </c>
      <c r="I90" s="316">
        <v>0</v>
      </c>
      <c r="J90" s="316">
        <v>167</v>
      </c>
      <c r="K90" s="316">
        <v>2417</v>
      </c>
      <c r="L90" s="316">
        <v>1736</v>
      </c>
      <c r="M90" s="316">
        <v>0</v>
      </c>
      <c r="N90" s="316">
        <v>0</v>
      </c>
      <c r="O90" s="316">
        <v>526</v>
      </c>
      <c r="P90" s="316">
        <v>6251</v>
      </c>
      <c r="Q90" s="316">
        <v>0</v>
      </c>
      <c r="R90" s="316">
        <v>0</v>
      </c>
      <c r="S90" s="316">
        <v>1510</v>
      </c>
      <c r="T90" s="316">
        <v>0</v>
      </c>
      <c r="U90" s="316">
        <v>1260</v>
      </c>
      <c r="V90" s="316">
        <v>236</v>
      </c>
      <c r="W90" s="316">
        <v>0</v>
      </c>
      <c r="X90" s="316">
        <v>0</v>
      </c>
      <c r="Y90" s="316">
        <v>2491</v>
      </c>
      <c r="Z90" s="316">
        <v>0</v>
      </c>
      <c r="AA90" s="316">
        <v>0</v>
      </c>
      <c r="AB90" s="316">
        <v>394</v>
      </c>
      <c r="AC90" s="316">
        <v>752</v>
      </c>
      <c r="AD90" s="316">
        <v>0</v>
      </c>
      <c r="AE90" s="316">
        <v>2996</v>
      </c>
      <c r="AF90" s="316">
        <v>0</v>
      </c>
      <c r="AG90" s="316">
        <v>1577</v>
      </c>
      <c r="AH90" s="316">
        <v>1650</v>
      </c>
      <c r="AI90" s="316">
        <v>0</v>
      </c>
      <c r="AJ90" s="316">
        <v>13927</v>
      </c>
      <c r="AK90" s="316">
        <v>0</v>
      </c>
      <c r="AL90" s="316">
        <v>0</v>
      </c>
      <c r="AM90" s="316">
        <v>0</v>
      </c>
      <c r="AN90" s="316">
        <v>0</v>
      </c>
      <c r="AO90" s="316">
        <v>0</v>
      </c>
      <c r="AP90" s="316">
        <v>0</v>
      </c>
      <c r="AQ90" s="316">
        <v>0</v>
      </c>
      <c r="AR90" s="316">
        <v>0</v>
      </c>
      <c r="AS90" s="316">
        <v>0</v>
      </c>
      <c r="AT90" s="316">
        <v>0</v>
      </c>
      <c r="AU90" s="316">
        <v>1910</v>
      </c>
      <c r="AV90" s="316">
        <v>0</v>
      </c>
      <c r="AW90" s="316">
        <v>0</v>
      </c>
      <c r="AX90" s="316">
        <v>0</v>
      </c>
      <c r="AY90" s="316">
        <v>1054</v>
      </c>
      <c r="AZ90" s="316">
        <v>736</v>
      </c>
      <c r="BA90" s="316">
        <v>747</v>
      </c>
      <c r="BB90" s="316">
        <v>360</v>
      </c>
      <c r="BC90" s="316">
        <v>0</v>
      </c>
      <c r="BD90" s="316">
        <v>100</v>
      </c>
      <c r="BE90" s="316">
        <v>1764</v>
      </c>
      <c r="BF90" s="316">
        <v>115</v>
      </c>
      <c r="BG90" s="316">
        <v>0</v>
      </c>
      <c r="BH90" s="316">
        <v>356</v>
      </c>
      <c r="BI90" s="316">
        <v>0</v>
      </c>
      <c r="BJ90" s="316">
        <v>0</v>
      </c>
      <c r="BK90" s="316">
        <v>2695</v>
      </c>
      <c r="BL90" s="316">
        <v>148</v>
      </c>
      <c r="BM90" s="316">
        <v>0</v>
      </c>
      <c r="BN90" s="316">
        <v>6685</v>
      </c>
      <c r="BO90" s="316">
        <v>0</v>
      </c>
      <c r="BP90" s="316">
        <v>0</v>
      </c>
      <c r="BQ90" s="316">
        <v>0</v>
      </c>
      <c r="BR90" s="316">
        <v>1081</v>
      </c>
      <c r="BS90" s="316">
        <v>0</v>
      </c>
      <c r="BT90" s="316">
        <v>0</v>
      </c>
      <c r="BU90" s="316">
        <v>0</v>
      </c>
      <c r="BV90" s="316">
        <v>905</v>
      </c>
      <c r="BW90" s="316">
        <v>0</v>
      </c>
      <c r="BX90" s="316">
        <v>0</v>
      </c>
      <c r="BY90" s="316">
        <v>902</v>
      </c>
      <c r="BZ90" s="316">
        <v>0</v>
      </c>
      <c r="CA90" s="316">
        <v>0</v>
      </c>
      <c r="CB90" s="316">
        <v>109</v>
      </c>
      <c r="CC90" s="316">
        <v>0</v>
      </c>
      <c r="CD90" s="234" t="s">
        <v>248</v>
      </c>
      <c r="CE90" s="28">
        <f t="shared" si="20"/>
        <v>60206</v>
      </c>
      <c r="CF90" s="28">
        <f>BE59-CE90</f>
        <v>0</v>
      </c>
    </row>
    <row r="91" spans="1:84" x14ac:dyDescent="0.35">
      <c r="A91" s="22" t="s">
        <v>291</v>
      </c>
      <c r="B91" s="16"/>
      <c r="C91" s="316">
        <v>0</v>
      </c>
      <c r="D91" s="316">
        <v>0</v>
      </c>
      <c r="E91" s="316">
        <v>4492</v>
      </c>
      <c r="F91" s="316">
        <v>0</v>
      </c>
      <c r="G91" s="316">
        <v>0</v>
      </c>
      <c r="H91" s="316">
        <v>0</v>
      </c>
      <c r="I91" s="316">
        <v>0</v>
      </c>
      <c r="J91" s="316">
        <v>0</v>
      </c>
      <c r="K91" s="316">
        <v>19862</v>
      </c>
      <c r="L91" s="316">
        <v>0</v>
      </c>
      <c r="M91" s="316">
        <v>0</v>
      </c>
      <c r="N91" s="316">
        <v>0</v>
      </c>
      <c r="O91" s="316">
        <v>0</v>
      </c>
      <c r="P91" s="316">
        <v>0</v>
      </c>
      <c r="Q91" s="316">
        <v>0</v>
      </c>
      <c r="R91" s="316">
        <v>0</v>
      </c>
      <c r="S91" s="316">
        <v>0</v>
      </c>
      <c r="T91" s="316">
        <v>0</v>
      </c>
      <c r="U91" s="316">
        <v>0</v>
      </c>
      <c r="V91" s="316">
        <v>0</v>
      </c>
      <c r="W91" s="316">
        <v>0</v>
      </c>
      <c r="X91" s="316">
        <v>0</v>
      </c>
      <c r="Y91" s="316">
        <v>0</v>
      </c>
      <c r="Z91" s="316">
        <v>0</v>
      </c>
      <c r="AA91" s="316">
        <v>0</v>
      </c>
      <c r="AB91" s="316">
        <v>0</v>
      </c>
      <c r="AC91" s="316">
        <v>0</v>
      </c>
      <c r="AD91" s="316">
        <v>0</v>
      </c>
      <c r="AE91" s="316">
        <v>0</v>
      </c>
      <c r="AF91" s="316">
        <v>0</v>
      </c>
      <c r="AG91" s="316">
        <v>0</v>
      </c>
      <c r="AH91" s="316">
        <v>0</v>
      </c>
      <c r="AI91" s="316">
        <v>0</v>
      </c>
      <c r="AJ91" s="316">
        <v>0</v>
      </c>
      <c r="AK91" s="316">
        <v>0</v>
      </c>
      <c r="AL91" s="316">
        <v>0</v>
      </c>
      <c r="AM91" s="316">
        <v>0</v>
      </c>
      <c r="AN91" s="316">
        <v>0</v>
      </c>
      <c r="AO91" s="316">
        <v>0</v>
      </c>
      <c r="AP91" s="316">
        <v>0</v>
      </c>
      <c r="AQ91" s="316">
        <v>0</v>
      </c>
      <c r="AR91" s="316">
        <v>0</v>
      </c>
      <c r="AS91" s="316">
        <v>0</v>
      </c>
      <c r="AT91" s="316">
        <v>0</v>
      </c>
      <c r="AU91" s="316">
        <v>0</v>
      </c>
      <c r="AV91" s="316">
        <v>0</v>
      </c>
      <c r="AW91" s="316">
        <v>0</v>
      </c>
      <c r="AX91" s="251" t="s">
        <v>248</v>
      </c>
      <c r="AY91" s="251" t="s">
        <v>248</v>
      </c>
      <c r="AZ91" s="316">
        <v>0</v>
      </c>
      <c r="BA91" s="316">
        <v>0</v>
      </c>
      <c r="BB91" s="316">
        <v>0</v>
      </c>
      <c r="BC91" s="316">
        <v>0</v>
      </c>
      <c r="BD91" s="25" t="s">
        <v>248</v>
      </c>
      <c r="BE91" s="25" t="s">
        <v>248</v>
      </c>
      <c r="BF91" s="316">
        <v>0</v>
      </c>
      <c r="BG91" s="25" t="s">
        <v>248</v>
      </c>
      <c r="BH91" s="316">
        <v>0</v>
      </c>
      <c r="BI91" s="316">
        <v>0</v>
      </c>
      <c r="BJ91" s="25" t="s">
        <v>248</v>
      </c>
      <c r="BK91" s="316">
        <v>0</v>
      </c>
      <c r="BL91" s="316">
        <v>0</v>
      </c>
      <c r="BM91" s="316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6">
        <v>0</v>
      </c>
      <c r="BS91" s="316">
        <v>0</v>
      </c>
      <c r="BT91" s="316">
        <v>0</v>
      </c>
      <c r="BU91" s="316">
        <v>0</v>
      </c>
      <c r="BV91" s="316">
        <v>0</v>
      </c>
      <c r="BW91" s="316">
        <v>0</v>
      </c>
      <c r="BX91" s="316">
        <v>0</v>
      </c>
      <c r="BY91" s="316">
        <v>0</v>
      </c>
      <c r="BZ91" s="316">
        <v>0</v>
      </c>
      <c r="CA91" s="316">
        <v>0</v>
      </c>
      <c r="CB91" s="316">
        <v>0</v>
      </c>
      <c r="CC91" s="25" t="s">
        <v>248</v>
      </c>
      <c r="CD91" s="25" t="s">
        <v>248</v>
      </c>
      <c r="CE91" s="28">
        <f t="shared" si="20"/>
        <v>24354</v>
      </c>
      <c r="CF91" s="28">
        <f>AY59-CE91</f>
        <v>83667</v>
      </c>
    </row>
    <row r="92" spans="1:84" x14ac:dyDescent="0.35">
      <c r="A92" s="22" t="s">
        <v>292</v>
      </c>
      <c r="B92" s="16"/>
      <c r="C92" s="316">
        <v>0</v>
      </c>
      <c r="D92" s="316">
        <v>0</v>
      </c>
      <c r="E92" s="316">
        <v>2213</v>
      </c>
      <c r="F92" s="316">
        <v>0</v>
      </c>
      <c r="G92" s="316">
        <v>0</v>
      </c>
      <c r="H92" s="316">
        <v>0</v>
      </c>
      <c r="I92" s="316">
        <v>0</v>
      </c>
      <c r="J92" s="316">
        <v>0</v>
      </c>
      <c r="K92" s="316">
        <v>0</v>
      </c>
      <c r="L92" s="316">
        <v>3378</v>
      </c>
      <c r="M92" s="316">
        <v>0</v>
      </c>
      <c r="N92" s="316">
        <v>0</v>
      </c>
      <c r="O92" s="316">
        <v>233</v>
      </c>
      <c r="P92" s="316">
        <v>0</v>
      </c>
      <c r="Q92" s="316">
        <v>0</v>
      </c>
      <c r="R92" s="316">
        <v>0</v>
      </c>
      <c r="S92" s="316">
        <v>125</v>
      </c>
      <c r="T92" s="316">
        <v>0</v>
      </c>
      <c r="U92" s="316">
        <v>273</v>
      </c>
      <c r="V92" s="316">
        <v>0</v>
      </c>
      <c r="W92" s="316">
        <v>0</v>
      </c>
      <c r="X92" s="316">
        <v>151</v>
      </c>
      <c r="Y92" s="316">
        <v>884</v>
      </c>
      <c r="Z92" s="316">
        <v>0</v>
      </c>
      <c r="AA92" s="316">
        <v>0</v>
      </c>
      <c r="AB92" s="316">
        <v>122</v>
      </c>
      <c r="AC92" s="316">
        <v>130</v>
      </c>
      <c r="AD92" s="316">
        <v>0</v>
      </c>
      <c r="AE92" s="316">
        <v>221</v>
      </c>
      <c r="AF92" s="316">
        <v>0</v>
      </c>
      <c r="AG92" s="316">
        <v>1170</v>
      </c>
      <c r="AH92" s="316">
        <v>76</v>
      </c>
      <c r="AI92" s="316">
        <v>0</v>
      </c>
      <c r="AJ92" s="316">
        <v>3705</v>
      </c>
      <c r="AK92" s="316">
        <v>0</v>
      </c>
      <c r="AL92" s="316">
        <v>0</v>
      </c>
      <c r="AM92" s="316">
        <v>0</v>
      </c>
      <c r="AN92" s="316">
        <v>0</v>
      </c>
      <c r="AO92" s="316">
        <v>0</v>
      </c>
      <c r="AP92" s="316">
        <v>0</v>
      </c>
      <c r="AQ92" s="316">
        <v>0</v>
      </c>
      <c r="AR92" s="316">
        <v>0</v>
      </c>
      <c r="AS92" s="316">
        <v>0</v>
      </c>
      <c r="AT92" s="316">
        <v>0</v>
      </c>
      <c r="AU92" s="316">
        <v>0</v>
      </c>
      <c r="AV92" s="316">
        <v>0</v>
      </c>
      <c r="AW92" s="316">
        <v>0</v>
      </c>
      <c r="AX92" s="251" t="s">
        <v>248</v>
      </c>
      <c r="AY92" s="251" t="s">
        <v>248</v>
      </c>
      <c r="AZ92" s="25" t="s">
        <v>248</v>
      </c>
      <c r="BA92" s="316">
        <v>728</v>
      </c>
      <c r="BB92" s="316">
        <v>104</v>
      </c>
      <c r="BC92" s="316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6">
        <v>0</v>
      </c>
      <c r="BI92" s="316">
        <v>0</v>
      </c>
      <c r="BJ92" s="25" t="s">
        <v>248</v>
      </c>
      <c r="BK92" s="316">
        <v>234</v>
      </c>
      <c r="BL92" s="316">
        <v>156</v>
      </c>
      <c r="BM92" s="316">
        <v>76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6">
        <v>26</v>
      </c>
      <c r="BT92" s="316">
        <v>0</v>
      </c>
      <c r="BU92" s="316">
        <v>0</v>
      </c>
      <c r="BV92" s="316">
        <v>86</v>
      </c>
      <c r="BW92" s="316">
        <v>0</v>
      </c>
      <c r="BX92" s="316">
        <v>0</v>
      </c>
      <c r="BY92" s="316">
        <v>52</v>
      </c>
      <c r="BZ92" s="316">
        <v>0</v>
      </c>
      <c r="CA92" s="316">
        <v>0</v>
      </c>
      <c r="CB92" s="316">
        <v>0</v>
      </c>
      <c r="CC92" s="25" t="s">
        <v>248</v>
      </c>
      <c r="CD92" s="25" t="s">
        <v>248</v>
      </c>
      <c r="CE92" s="28">
        <f t="shared" si="20"/>
        <v>14143</v>
      </c>
      <c r="CF92" s="16"/>
    </row>
    <row r="93" spans="1:84" x14ac:dyDescent="0.35">
      <c r="A93" s="22" t="s">
        <v>293</v>
      </c>
      <c r="B93" s="16"/>
      <c r="C93" s="316">
        <v>0</v>
      </c>
      <c r="D93" s="316">
        <v>0</v>
      </c>
      <c r="E93" s="316">
        <v>19409</v>
      </c>
      <c r="F93" s="316">
        <v>0</v>
      </c>
      <c r="G93" s="316">
        <v>0</v>
      </c>
      <c r="H93" s="316">
        <v>0</v>
      </c>
      <c r="I93" s="316">
        <v>0</v>
      </c>
      <c r="J93" s="316">
        <v>0</v>
      </c>
      <c r="K93" s="316">
        <v>0</v>
      </c>
      <c r="L93" s="316">
        <v>0</v>
      </c>
      <c r="M93" s="316">
        <v>0</v>
      </c>
      <c r="N93" s="316">
        <v>0</v>
      </c>
      <c r="O93" s="316">
        <v>2200</v>
      </c>
      <c r="P93" s="316">
        <v>3997</v>
      </c>
      <c r="Q93" s="316">
        <v>662</v>
      </c>
      <c r="R93" s="316">
        <v>0</v>
      </c>
      <c r="S93" s="316">
        <v>0</v>
      </c>
      <c r="T93" s="316">
        <v>0</v>
      </c>
      <c r="U93" s="316">
        <v>7</v>
      </c>
      <c r="V93" s="316">
        <v>0</v>
      </c>
      <c r="W93" s="316">
        <v>0</v>
      </c>
      <c r="X93" s="316">
        <v>997</v>
      </c>
      <c r="Y93" s="316">
        <v>583</v>
      </c>
      <c r="Z93" s="316">
        <v>0</v>
      </c>
      <c r="AA93" s="316">
        <v>0</v>
      </c>
      <c r="AB93" s="316">
        <v>0</v>
      </c>
      <c r="AC93" s="316">
        <v>129</v>
      </c>
      <c r="AD93" s="316">
        <v>0</v>
      </c>
      <c r="AE93" s="316">
        <v>4872</v>
      </c>
      <c r="AF93" s="316">
        <v>0</v>
      </c>
      <c r="AG93" s="316">
        <v>27935</v>
      </c>
      <c r="AH93" s="316">
        <v>0</v>
      </c>
      <c r="AI93" s="316">
        <v>0</v>
      </c>
      <c r="AJ93" s="316">
        <v>365</v>
      </c>
      <c r="AK93" s="316">
        <v>0</v>
      </c>
      <c r="AL93" s="316">
        <v>0</v>
      </c>
      <c r="AM93" s="316">
        <v>0</v>
      </c>
      <c r="AN93" s="316">
        <v>0</v>
      </c>
      <c r="AO93" s="316">
        <v>0</v>
      </c>
      <c r="AP93" s="316">
        <v>0</v>
      </c>
      <c r="AQ93" s="316">
        <v>0</v>
      </c>
      <c r="AR93" s="316">
        <v>0</v>
      </c>
      <c r="AS93" s="316">
        <v>0</v>
      </c>
      <c r="AT93" s="316">
        <v>0</v>
      </c>
      <c r="AU93" s="316">
        <v>0</v>
      </c>
      <c r="AV93" s="316">
        <v>0</v>
      </c>
      <c r="AW93" s="316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6">
        <v>0</v>
      </c>
      <c r="BC93" s="316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6">
        <v>0</v>
      </c>
      <c r="BI93" s="316">
        <v>0</v>
      </c>
      <c r="BJ93" s="25" t="s">
        <v>248</v>
      </c>
      <c r="BK93" s="316">
        <v>0</v>
      </c>
      <c r="BL93" s="316">
        <v>0</v>
      </c>
      <c r="BM93" s="316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6">
        <v>0</v>
      </c>
      <c r="BT93" s="316">
        <v>0</v>
      </c>
      <c r="BU93" s="316">
        <v>0</v>
      </c>
      <c r="BV93" s="316">
        <v>0</v>
      </c>
      <c r="BW93" s="316">
        <v>0</v>
      </c>
      <c r="BX93" s="316">
        <v>0</v>
      </c>
      <c r="BY93" s="316">
        <v>0</v>
      </c>
      <c r="BZ93" s="316">
        <v>0</v>
      </c>
      <c r="CA93" s="316">
        <v>0</v>
      </c>
      <c r="CB93" s="316">
        <v>0</v>
      </c>
      <c r="CC93" s="25" t="s">
        <v>248</v>
      </c>
      <c r="CD93" s="25" t="s">
        <v>248</v>
      </c>
      <c r="CE93" s="28">
        <f t="shared" si="20"/>
        <v>61156</v>
      </c>
      <c r="CF93" s="28">
        <f>BA59</f>
        <v>0</v>
      </c>
    </row>
    <row r="94" spans="1:84" x14ac:dyDescent="0.35">
      <c r="A94" s="22" t="s">
        <v>294</v>
      </c>
      <c r="B94" s="16"/>
      <c r="C94" s="320">
        <v>0</v>
      </c>
      <c r="D94" s="320">
        <v>0</v>
      </c>
      <c r="E94" s="320">
        <v>7.79</v>
      </c>
      <c r="F94" s="320">
        <v>0</v>
      </c>
      <c r="G94" s="320">
        <v>0</v>
      </c>
      <c r="H94" s="320">
        <v>0</v>
      </c>
      <c r="I94" s="320">
        <v>0</v>
      </c>
      <c r="J94" s="320">
        <v>0</v>
      </c>
      <c r="K94" s="320">
        <v>1.1200000000000001</v>
      </c>
      <c r="L94" s="320">
        <v>6.72</v>
      </c>
      <c r="M94" s="320">
        <v>0</v>
      </c>
      <c r="N94" s="320">
        <v>0</v>
      </c>
      <c r="O94" s="320">
        <v>0.03</v>
      </c>
      <c r="P94" s="321">
        <v>0.89</v>
      </c>
      <c r="Q94" s="321">
        <v>0.01</v>
      </c>
      <c r="R94" s="321">
        <v>1.1499999999999999</v>
      </c>
      <c r="S94" s="322">
        <v>0</v>
      </c>
      <c r="T94" s="322">
        <v>0</v>
      </c>
      <c r="U94" s="323">
        <v>0</v>
      </c>
      <c r="V94" s="321">
        <v>0</v>
      </c>
      <c r="W94" s="321">
        <v>0</v>
      </c>
      <c r="X94" s="321">
        <v>0</v>
      </c>
      <c r="Y94" s="321">
        <v>0</v>
      </c>
      <c r="Z94" s="321">
        <v>0</v>
      </c>
      <c r="AA94" s="321">
        <v>0</v>
      </c>
      <c r="AB94" s="322">
        <v>0</v>
      </c>
      <c r="AC94" s="321">
        <v>0</v>
      </c>
      <c r="AD94" s="321">
        <v>0</v>
      </c>
      <c r="AE94" s="321">
        <v>0</v>
      </c>
      <c r="AF94" s="321">
        <v>0</v>
      </c>
      <c r="AG94" s="321">
        <v>1.93</v>
      </c>
      <c r="AH94" s="321">
        <v>0</v>
      </c>
      <c r="AI94" s="321">
        <v>0.65</v>
      </c>
      <c r="AJ94" s="321">
        <v>6.96</v>
      </c>
      <c r="AK94" s="321">
        <v>0</v>
      </c>
      <c r="AL94" s="321">
        <v>0</v>
      </c>
      <c r="AM94" s="321">
        <v>0</v>
      </c>
      <c r="AN94" s="321">
        <v>0</v>
      </c>
      <c r="AO94" s="321">
        <v>0</v>
      </c>
      <c r="AP94" s="321">
        <v>0</v>
      </c>
      <c r="AQ94" s="321">
        <v>0</v>
      </c>
      <c r="AR94" s="321">
        <v>0</v>
      </c>
      <c r="AS94" s="321">
        <v>0</v>
      </c>
      <c r="AT94" s="321">
        <v>0</v>
      </c>
      <c r="AU94" s="321">
        <v>0</v>
      </c>
      <c r="AV94" s="322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27.249999999999996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7" t="s">
        <v>1364</v>
      </c>
      <c r="D96" s="328" t="s">
        <v>5</v>
      </c>
      <c r="E96" s="329" t="s">
        <v>5</v>
      </c>
      <c r="F96" s="12"/>
    </row>
    <row r="97" spans="1:6" x14ac:dyDescent="0.35">
      <c r="A97" s="28" t="s">
        <v>298</v>
      </c>
      <c r="B97" s="36" t="s">
        <v>299</v>
      </c>
      <c r="C97" s="330" t="s">
        <v>300</v>
      </c>
      <c r="D97" s="328" t="s">
        <v>5</v>
      </c>
      <c r="E97" s="329" t="s">
        <v>5</v>
      </c>
      <c r="F97" s="12"/>
    </row>
    <row r="98" spans="1:6" x14ac:dyDescent="0.35">
      <c r="A98" s="28" t="s">
        <v>301</v>
      </c>
      <c r="B98" s="36" t="s">
        <v>299</v>
      </c>
      <c r="C98" s="331" t="s">
        <v>302</v>
      </c>
      <c r="D98" s="328"/>
      <c r="E98" s="329" t="s">
        <v>5</v>
      </c>
      <c r="F98" s="12"/>
    </row>
    <row r="99" spans="1:6" x14ac:dyDescent="0.35">
      <c r="A99" s="28" t="s">
        <v>303</v>
      </c>
      <c r="B99" s="36" t="s">
        <v>299</v>
      </c>
      <c r="C99" s="331" t="s">
        <v>304</v>
      </c>
      <c r="D99" s="328"/>
      <c r="E99" s="329" t="s">
        <v>5</v>
      </c>
      <c r="F99" s="12"/>
    </row>
    <row r="100" spans="1:6" x14ac:dyDescent="0.35">
      <c r="A100" s="28" t="s">
        <v>305</v>
      </c>
      <c r="B100" s="36" t="s">
        <v>299</v>
      </c>
      <c r="C100" s="331" t="s">
        <v>306</v>
      </c>
      <c r="D100" s="328" t="s">
        <v>5</v>
      </c>
      <c r="E100" s="329" t="s">
        <v>5</v>
      </c>
      <c r="F100" s="12"/>
    </row>
    <row r="101" spans="1:6" x14ac:dyDescent="0.35">
      <c r="A101" s="28" t="s">
        <v>307</v>
      </c>
      <c r="B101" s="36" t="s">
        <v>299</v>
      </c>
      <c r="C101" s="332" t="s">
        <v>308</v>
      </c>
      <c r="D101" s="328" t="s">
        <v>5</v>
      </c>
      <c r="E101" s="329" t="s">
        <v>5</v>
      </c>
      <c r="F101" s="12"/>
    </row>
    <row r="102" spans="1:6" x14ac:dyDescent="0.35">
      <c r="A102" s="28" t="s">
        <v>309</v>
      </c>
      <c r="B102" s="36" t="s">
        <v>299</v>
      </c>
      <c r="C102" s="333">
        <v>98331</v>
      </c>
      <c r="D102" s="328" t="s">
        <v>5</v>
      </c>
      <c r="E102" s="329" t="s">
        <v>5</v>
      </c>
      <c r="F102" s="12"/>
    </row>
    <row r="103" spans="1:6" x14ac:dyDescent="0.35">
      <c r="A103" s="28" t="s">
        <v>310</v>
      </c>
      <c r="B103" s="36" t="s">
        <v>299</v>
      </c>
      <c r="C103" s="331" t="s">
        <v>311</v>
      </c>
      <c r="D103" s="328" t="s">
        <v>5</v>
      </c>
      <c r="E103" s="329" t="s">
        <v>5</v>
      </c>
      <c r="F103" s="12"/>
    </row>
    <row r="104" spans="1:6" x14ac:dyDescent="0.35">
      <c r="A104" s="28" t="s">
        <v>312</v>
      </c>
      <c r="B104" s="36" t="s">
        <v>299</v>
      </c>
      <c r="C104" s="334" t="s">
        <v>313</v>
      </c>
      <c r="D104" s="328" t="s">
        <v>5</v>
      </c>
      <c r="E104" s="329" t="s">
        <v>5</v>
      </c>
      <c r="F104" s="12"/>
    </row>
    <row r="105" spans="1:6" x14ac:dyDescent="0.35">
      <c r="A105" s="28" t="s">
        <v>314</v>
      </c>
      <c r="B105" s="36" t="s">
        <v>299</v>
      </c>
      <c r="C105" s="334" t="s">
        <v>315</v>
      </c>
      <c r="D105" s="328" t="s">
        <v>5</v>
      </c>
      <c r="E105" s="329" t="s">
        <v>5</v>
      </c>
      <c r="F105" s="12"/>
    </row>
    <row r="106" spans="1:6" x14ac:dyDescent="0.35">
      <c r="A106" s="28" t="s">
        <v>316</v>
      </c>
      <c r="B106" s="36" t="s">
        <v>299</v>
      </c>
      <c r="C106" s="331" t="s">
        <v>1365</v>
      </c>
      <c r="D106" s="328" t="s">
        <v>5</v>
      </c>
      <c r="E106" s="329" t="s">
        <v>5</v>
      </c>
      <c r="F106" s="12"/>
    </row>
    <row r="107" spans="1:6" x14ac:dyDescent="0.35">
      <c r="A107" s="28" t="s">
        <v>318</v>
      </c>
      <c r="B107" s="36" t="s">
        <v>299</v>
      </c>
      <c r="C107" s="330" t="s">
        <v>319</v>
      </c>
      <c r="D107" s="328" t="s">
        <v>5</v>
      </c>
      <c r="E107" s="329" t="s">
        <v>5</v>
      </c>
      <c r="F107" s="12"/>
    </row>
    <row r="108" spans="1:6" x14ac:dyDescent="0.35">
      <c r="A108" s="28" t="s">
        <v>320</v>
      </c>
      <c r="B108" s="36" t="s">
        <v>299</v>
      </c>
      <c r="C108" s="330" t="s">
        <v>321</v>
      </c>
      <c r="D108" s="328" t="s">
        <v>5</v>
      </c>
      <c r="E108" s="329" t="s">
        <v>5</v>
      </c>
      <c r="F108" s="12"/>
    </row>
    <row r="109" spans="1:6" x14ac:dyDescent="0.35">
      <c r="A109" s="40" t="s">
        <v>322</v>
      </c>
      <c r="B109" s="36" t="s">
        <v>299</v>
      </c>
      <c r="C109" s="331" t="s">
        <v>315</v>
      </c>
      <c r="D109" s="328" t="s">
        <v>5</v>
      </c>
      <c r="E109" s="329" t="s">
        <v>5</v>
      </c>
      <c r="F109" s="12"/>
    </row>
    <row r="110" spans="1:6" x14ac:dyDescent="0.35">
      <c r="A110" s="40" t="s">
        <v>323</v>
      </c>
      <c r="B110" s="36" t="s">
        <v>299</v>
      </c>
      <c r="C110" s="335" t="s">
        <v>324</v>
      </c>
      <c r="D110" s="328"/>
      <c r="E110" s="329" t="s">
        <v>5</v>
      </c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6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6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336">
        <v>1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336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7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336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336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336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336">
        <v>257</v>
      </c>
      <c r="D127" s="338">
        <v>484</v>
      </c>
      <c r="E127" s="16"/>
    </row>
    <row r="128" spans="1:5" x14ac:dyDescent="0.35">
      <c r="A128" s="16" t="s">
        <v>338</v>
      </c>
      <c r="B128" s="42" t="s">
        <v>299</v>
      </c>
      <c r="C128" s="336">
        <f>41</f>
        <v>41</v>
      </c>
      <c r="D128" s="338">
        <f>583+6514</f>
        <v>7097</v>
      </c>
      <c r="E128" s="16"/>
    </row>
    <row r="129" spans="1:5" x14ac:dyDescent="0.35">
      <c r="A129" s="16" t="s">
        <v>339</v>
      </c>
      <c r="B129" s="42" t="s">
        <v>299</v>
      </c>
      <c r="C129" s="336">
        <v>0</v>
      </c>
      <c r="D129" s="338">
        <v>0</v>
      </c>
      <c r="E129" s="16"/>
    </row>
    <row r="130" spans="1:5" x14ac:dyDescent="0.35">
      <c r="A130" s="16" t="s">
        <v>340</v>
      </c>
      <c r="B130" s="42" t="s">
        <v>299</v>
      </c>
      <c r="C130" s="336">
        <v>5</v>
      </c>
      <c r="D130" s="338">
        <v>7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336">
        <v>0</v>
      </c>
      <c r="D132" s="16"/>
      <c r="E132" s="16"/>
    </row>
    <row r="133" spans="1:5" x14ac:dyDescent="0.35">
      <c r="A133" s="16" t="s">
        <v>343</v>
      </c>
      <c r="B133" s="42" t="s">
        <v>299</v>
      </c>
      <c r="C133" s="336">
        <v>17</v>
      </c>
      <c r="D133" s="16"/>
      <c r="E133" s="16"/>
    </row>
    <row r="134" spans="1:5" x14ac:dyDescent="0.35">
      <c r="A134" s="16" t="s">
        <v>344</v>
      </c>
      <c r="B134" s="42" t="s">
        <v>299</v>
      </c>
      <c r="C134" s="336">
        <v>0</v>
      </c>
      <c r="D134" s="16"/>
      <c r="E134" s="16"/>
    </row>
    <row r="135" spans="1:5" x14ac:dyDescent="0.35">
      <c r="A135" s="16" t="s">
        <v>345</v>
      </c>
      <c r="B135" s="42" t="s">
        <v>299</v>
      </c>
      <c r="C135" s="336">
        <v>0</v>
      </c>
      <c r="D135" s="16"/>
      <c r="E135" s="16"/>
    </row>
    <row r="136" spans="1:5" x14ac:dyDescent="0.35">
      <c r="A136" s="16" t="s">
        <v>346</v>
      </c>
      <c r="B136" s="42" t="s">
        <v>299</v>
      </c>
      <c r="C136" s="336">
        <v>0</v>
      </c>
      <c r="D136" s="16"/>
      <c r="E136" s="16"/>
    </row>
    <row r="137" spans="1:5" x14ac:dyDescent="0.35">
      <c r="A137" s="16" t="s">
        <v>347</v>
      </c>
      <c r="B137" s="42" t="s">
        <v>299</v>
      </c>
      <c r="C137" s="336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6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336">
        <v>0</v>
      </c>
      <c r="D139" s="16"/>
      <c r="E139" s="16"/>
    </row>
    <row r="140" spans="1:5" x14ac:dyDescent="0.35">
      <c r="A140" s="16" t="s">
        <v>349</v>
      </c>
      <c r="B140" s="42"/>
      <c r="C140" s="336">
        <v>20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336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336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f>SUM(C132:C142)</f>
        <v>37</v>
      </c>
    </row>
    <row r="144" spans="1:5" x14ac:dyDescent="0.35">
      <c r="A144" s="16" t="s">
        <v>352</v>
      </c>
      <c r="B144" s="42" t="s">
        <v>299</v>
      </c>
      <c r="C144" s="336">
        <v>0</v>
      </c>
      <c r="D144" s="16"/>
      <c r="E144" s="16"/>
    </row>
    <row r="145" spans="1:6" x14ac:dyDescent="0.35">
      <c r="A145" s="16" t="s">
        <v>353</v>
      </c>
      <c r="B145" s="42" t="s">
        <v>299</v>
      </c>
      <c r="C145" s="336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336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38">
        <v>175</v>
      </c>
      <c r="C154" s="338">
        <v>23</v>
      </c>
      <c r="D154" s="338">
        <v>59</v>
      </c>
      <c r="E154" s="28">
        <f>SUM(B154:D154)</f>
        <v>257</v>
      </c>
    </row>
    <row r="155" spans="1:6" x14ac:dyDescent="0.35">
      <c r="A155" s="16" t="s">
        <v>242</v>
      </c>
      <c r="B155" s="338">
        <v>375</v>
      </c>
      <c r="C155" s="338">
        <v>32</v>
      </c>
      <c r="D155" s="338">
        <v>77</v>
      </c>
      <c r="E155" s="28">
        <f>SUM(B155:D155)</f>
        <v>484</v>
      </c>
    </row>
    <row r="156" spans="1:6" x14ac:dyDescent="0.35">
      <c r="A156" s="16" t="s">
        <v>359</v>
      </c>
      <c r="B156" s="338">
        <v>13238</v>
      </c>
      <c r="C156" s="338">
        <v>16936</v>
      </c>
      <c r="D156" s="338">
        <v>16656</v>
      </c>
      <c r="E156" s="28">
        <f>SUM(B156:D156)</f>
        <v>46830</v>
      </c>
    </row>
    <row r="157" spans="1:6" x14ac:dyDescent="0.35">
      <c r="A157" s="16" t="s">
        <v>287</v>
      </c>
      <c r="B157" s="338">
        <v>2553005</v>
      </c>
      <c r="C157" s="338">
        <v>515771</v>
      </c>
      <c r="D157" s="338">
        <v>529377</v>
      </c>
      <c r="E157" s="28">
        <f>SUM(B157:D157)</f>
        <v>3598153</v>
      </c>
      <c r="F157" s="14"/>
    </row>
    <row r="158" spans="1:6" x14ac:dyDescent="0.35">
      <c r="A158" s="16" t="s">
        <v>288</v>
      </c>
      <c r="B158" s="338">
        <v>24675996</v>
      </c>
      <c r="C158" s="338">
        <v>14796765</v>
      </c>
      <c r="D158" s="338">
        <f>19945810+1251734</f>
        <v>21197544</v>
      </c>
      <c r="E158" s="28">
        <f>SUM(B158:D158)</f>
        <v>60670305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38">
        <v>35</v>
      </c>
      <c r="C160" s="338">
        <v>1</v>
      </c>
      <c r="D160" s="338">
        <v>5</v>
      </c>
      <c r="E160" s="28">
        <f>SUM(B160:D160)</f>
        <v>41</v>
      </c>
    </row>
    <row r="161" spans="1:5" x14ac:dyDescent="0.35">
      <c r="A161" s="16" t="s">
        <v>242</v>
      </c>
      <c r="B161" s="338">
        <v>465</v>
      </c>
      <c r="C161" s="338">
        <f>4720+53</f>
        <v>4773</v>
      </c>
      <c r="D161" s="338">
        <f>1794+65</f>
        <v>1859</v>
      </c>
      <c r="E161" s="28">
        <f>SUM(B161:D161)</f>
        <v>7097</v>
      </c>
    </row>
    <row r="162" spans="1:5" x14ac:dyDescent="0.35">
      <c r="A162" s="16" t="s">
        <v>359</v>
      </c>
      <c r="B162" s="338">
        <v>0</v>
      </c>
      <c r="C162" s="338">
        <v>0</v>
      </c>
      <c r="D162" s="338">
        <v>0</v>
      </c>
      <c r="E162" s="28">
        <f>SUM(B162:D162)</f>
        <v>0</v>
      </c>
    </row>
    <row r="163" spans="1:5" x14ac:dyDescent="0.35">
      <c r="A163" s="16" t="s">
        <v>287</v>
      </c>
      <c r="B163" s="338">
        <f>1814132</f>
        <v>1814132</v>
      </c>
      <c r="C163" s="338">
        <v>1747714</v>
      </c>
      <c r="D163" s="338">
        <f>747926-46143</f>
        <v>701783</v>
      </c>
      <c r="E163" s="28">
        <f>SUM(B163:D163)</f>
        <v>4263629</v>
      </c>
    </row>
    <row r="164" spans="1:5" x14ac:dyDescent="0.35">
      <c r="A164" s="16" t="s">
        <v>288</v>
      </c>
      <c r="B164" s="338">
        <v>0</v>
      </c>
      <c r="C164" s="338">
        <v>0</v>
      </c>
      <c r="D164" s="338">
        <v>0</v>
      </c>
      <c r="E164" s="28">
        <f>SUM(B164:D164)</f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38">
        <v>0</v>
      </c>
      <c r="C166" s="338">
        <v>0</v>
      </c>
      <c r="D166" s="338">
        <v>0</v>
      </c>
      <c r="E166" s="28">
        <f>SUM(B166:D166)</f>
        <v>0</v>
      </c>
    </row>
    <row r="167" spans="1:5" x14ac:dyDescent="0.35">
      <c r="A167" s="16" t="s">
        <v>242</v>
      </c>
      <c r="B167" s="338">
        <v>0</v>
      </c>
      <c r="C167" s="338">
        <v>0</v>
      </c>
      <c r="D167" s="338">
        <v>0</v>
      </c>
      <c r="E167" s="28">
        <f>SUM(B167:D167)</f>
        <v>0</v>
      </c>
    </row>
    <row r="168" spans="1:5" x14ac:dyDescent="0.35">
      <c r="A168" s="16" t="s">
        <v>359</v>
      </c>
      <c r="B168" s="338">
        <v>0</v>
      </c>
      <c r="C168" s="338">
        <v>0</v>
      </c>
      <c r="D168" s="338">
        <v>0</v>
      </c>
      <c r="E168" s="28">
        <f>SUM(B168:D168)</f>
        <v>0</v>
      </c>
    </row>
    <row r="169" spans="1:5" x14ac:dyDescent="0.35">
      <c r="A169" s="16" t="s">
        <v>287</v>
      </c>
      <c r="B169" s="338">
        <v>0</v>
      </c>
      <c r="C169" s="338">
        <v>0</v>
      </c>
      <c r="D169" s="338">
        <v>0</v>
      </c>
      <c r="E169" s="28">
        <f>SUM(B169:D169)</f>
        <v>0</v>
      </c>
    </row>
    <row r="170" spans="1:5" x14ac:dyDescent="0.35">
      <c r="A170" s="16" t="s">
        <v>288</v>
      </c>
      <c r="B170" s="338">
        <v>0</v>
      </c>
      <c r="C170" s="338">
        <v>0</v>
      </c>
      <c r="D170" s="338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338">
        <v>0</v>
      </c>
      <c r="C173" s="338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336">
        <v>296533</v>
      </c>
      <c r="D181" s="16"/>
      <c r="E181" s="16"/>
    </row>
    <row r="182" spans="1:5" x14ac:dyDescent="0.35">
      <c r="A182" s="16" t="s">
        <v>369</v>
      </c>
      <c r="B182" s="42" t="s">
        <v>299</v>
      </c>
      <c r="C182" s="336">
        <v>47414</v>
      </c>
      <c r="D182" s="16"/>
      <c r="E182" s="16"/>
    </row>
    <row r="183" spans="1:5" x14ac:dyDescent="0.35">
      <c r="A183" s="21" t="s">
        <v>370</v>
      </c>
      <c r="B183" s="42" t="s">
        <v>299</v>
      </c>
      <c r="C183" s="336">
        <v>195901</v>
      </c>
      <c r="D183" s="16"/>
      <c r="E183" s="16"/>
    </row>
    <row r="184" spans="1:5" x14ac:dyDescent="0.35">
      <c r="A184" s="16" t="s">
        <v>371</v>
      </c>
      <c r="B184" s="42" t="s">
        <v>299</v>
      </c>
      <c r="C184" s="336">
        <v>3612760</v>
      </c>
      <c r="D184" s="16"/>
      <c r="E184" s="16"/>
    </row>
    <row r="185" spans="1:5" x14ac:dyDescent="0.35">
      <c r="A185" s="16" t="s">
        <v>372</v>
      </c>
      <c r="B185" s="42" t="s">
        <v>299</v>
      </c>
      <c r="C185" s="336">
        <v>0</v>
      </c>
      <c r="D185" s="16"/>
      <c r="E185" s="16"/>
    </row>
    <row r="186" spans="1:5" x14ac:dyDescent="0.35">
      <c r="A186" s="16" t="s">
        <v>373</v>
      </c>
      <c r="B186" s="42" t="s">
        <v>299</v>
      </c>
      <c r="C186" s="336">
        <f>845321+912872</f>
        <v>1758193</v>
      </c>
      <c r="D186" s="16"/>
      <c r="E186" s="16"/>
    </row>
    <row r="187" spans="1:5" x14ac:dyDescent="0.35">
      <c r="A187" s="16" t="s">
        <v>374</v>
      </c>
      <c r="B187" s="42" t="s">
        <v>299</v>
      </c>
      <c r="C187" s="336">
        <f>11137+55542+36171</f>
        <v>102850</v>
      </c>
      <c r="D187" s="16"/>
      <c r="E187" s="16"/>
    </row>
    <row r="188" spans="1:5" x14ac:dyDescent="0.35">
      <c r="A188" s="16" t="s">
        <v>374</v>
      </c>
      <c r="B188" s="42" t="s">
        <v>299</v>
      </c>
      <c r="C188" s="336">
        <v>100468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6114119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336">
        <v>37590</v>
      </c>
      <c r="D191" s="16"/>
      <c r="E191" s="16"/>
    </row>
    <row r="192" spans="1:5" x14ac:dyDescent="0.35">
      <c r="A192" s="16" t="s">
        <v>377</v>
      </c>
      <c r="B192" s="42" t="s">
        <v>299</v>
      </c>
      <c r="C192" s="336">
        <f>48508+25534-23508</f>
        <v>50534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88124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336">
        <v>221932</v>
      </c>
      <c r="D195" s="16"/>
      <c r="E195" s="16"/>
    </row>
    <row r="196" spans="1:5" x14ac:dyDescent="0.35">
      <c r="A196" s="16" t="s">
        <v>380</v>
      </c>
      <c r="B196" s="42" t="s">
        <v>299</v>
      </c>
      <c r="C196" s="336">
        <f>16945+60281+244771</f>
        <v>321997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543929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336">
        <v>98355</v>
      </c>
      <c r="D199" s="16"/>
      <c r="E199" s="16"/>
    </row>
    <row r="200" spans="1:5" x14ac:dyDescent="0.35">
      <c r="A200" s="16" t="s">
        <v>383</v>
      </c>
      <c r="B200" s="42" t="s">
        <v>299</v>
      </c>
      <c r="C200" s="336">
        <f>403402+123</f>
        <v>403525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6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501880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336">
        <v>38008</v>
      </c>
      <c r="D204" s="16"/>
      <c r="E204" s="16"/>
    </row>
    <row r="205" spans="1:5" x14ac:dyDescent="0.35">
      <c r="A205" s="16" t="s">
        <v>386</v>
      </c>
      <c r="B205" s="42" t="s">
        <v>299</v>
      </c>
      <c r="C205" s="336">
        <v>476650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514658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338">
        <v>510757.18</v>
      </c>
      <c r="C211" s="336">
        <v>0</v>
      </c>
      <c r="D211" s="338">
        <v>0</v>
      </c>
      <c r="E211" s="28">
        <f t="shared" ref="E211:E219" si="22">SUM(B211:C211)-D211</f>
        <v>510757.18</v>
      </c>
    </row>
    <row r="212" spans="1:5" x14ac:dyDescent="0.35">
      <c r="A212" s="16" t="s">
        <v>394</v>
      </c>
      <c r="B212" s="338">
        <v>951772.97</v>
      </c>
      <c r="C212" s="336">
        <v>74946</v>
      </c>
      <c r="D212" s="338">
        <v>0</v>
      </c>
      <c r="E212" s="28">
        <f t="shared" si="22"/>
        <v>1026718.97</v>
      </c>
    </row>
    <row r="213" spans="1:5" x14ac:dyDescent="0.35">
      <c r="A213" s="16" t="s">
        <v>395</v>
      </c>
      <c r="B213" s="338">
        <v>24966812</v>
      </c>
      <c r="C213" s="336">
        <v>2773754.7</v>
      </c>
      <c r="D213" s="338">
        <v>0</v>
      </c>
      <c r="E213" s="28">
        <f t="shared" si="22"/>
        <v>27740566.699999999</v>
      </c>
    </row>
    <row r="214" spans="1:5" x14ac:dyDescent="0.35">
      <c r="A214" s="16" t="s">
        <v>396</v>
      </c>
      <c r="B214" s="338">
        <v>0</v>
      </c>
      <c r="C214" s="336">
        <v>0</v>
      </c>
      <c r="D214" s="338">
        <v>0</v>
      </c>
      <c r="E214" s="28">
        <f t="shared" si="22"/>
        <v>0</v>
      </c>
    </row>
    <row r="215" spans="1:5" x14ac:dyDescent="0.35">
      <c r="A215" s="16" t="s">
        <v>397</v>
      </c>
      <c r="B215" s="338">
        <v>0</v>
      </c>
      <c r="C215" s="336">
        <v>0</v>
      </c>
      <c r="D215" s="338">
        <v>0</v>
      </c>
      <c r="E215" s="28">
        <f t="shared" si="22"/>
        <v>0</v>
      </c>
    </row>
    <row r="216" spans="1:5" x14ac:dyDescent="0.35">
      <c r="A216" s="16" t="s">
        <v>398</v>
      </c>
      <c r="B216" s="338">
        <v>18121949.260000002</v>
      </c>
      <c r="C216" s="336">
        <v>960315.02</v>
      </c>
      <c r="D216" s="338">
        <v>29186</v>
      </c>
      <c r="E216" s="28">
        <f t="shared" si="22"/>
        <v>19053078.280000001</v>
      </c>
    </row>
    <row r="217" spans="1:5" x14ac:dyDescent="0.35">
      <c r="A217" s="16" t="s">
        <v>399</v>
      </c>
      <c r="B217" s="338">
        <v>0</v>
      </c>
      <c r="C217" s="336">
        <v>0</v>
      </c>
      <c r="D217" s="338">
        <v>0</v>
      </c>
      <c r="E217" s="28">
        <f t="shared" si="22"/>
        <v>0</v>
      </c>
    </row>
    <row r="218" spans="1:5" x14ac:dyDescent="0.35">
      <c r="A218" s="16" t="s">
        <v>400</v>
      </c>
      <c r="B218" s="338">
        <v>0</v>
      </c>
      <c r="C218" s="336">
        <v>0</v>
      </c>
      <c r="D218" s="338">
        <v>0</v>
      </c>
      <c r="E218" s="28">
        <f t="shared" si="22"/>
        <v>0</v>
      </c>
    </row>
    <row r="219" spans="1:5" x14ac:dyDescent="0.35">
      <c r="A219" s="16" t="s">
        <v>401</v>
      </c>
      <c r="B219" s="338">
        <v>1390057</v>
      </c>
      <c r="C219" s="336">
        <f>1903091-3004886</f>
        <v>-1101795</v>
      </c>
      <c r="D219" s="338">
        <v>0</v>
      </c>
      <c r="E219" s="28">
        <f t="shared" si="22"/>
        <v>288262</v>
      </c>
    </row>
    <row r="220" spans="1:5" x14ac:dyDescent="0.35">
      <c r="A220" s="16" t="s">
        <v>230</v>
      </c>
      <c r="B220" s="28">
        <f>SUM(B211:B219)</f>
        <v>45941348.409999996</v>
      </c>
      <c r="C220" s="235">
        <f>SUM(C211:C219)</f>
        <v>2707220.72</v>
      </c>
      <c r="D220" s="28">
        <f>SUM(D211:D219)</f>
        <v>29186</v>
      </c>
      <c r="E220" s="28">
        <f>SUM(E211:E219)</f>
        <v>48619383.129999995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338">
        <v>895176.85</v>
      </c>
      <c r="C225" s="336">
        <v>71542.95</v>
      </c>
      <c r="D225" s="338">
        <v>0</v>
      </c>
      <c r="E225" s="28">
        <f t="shared" ref="E225:E232" si="23">SUM(B225:C225)-D225</f>
        <v>966719.79999999993</v>
      </c>
    </row>
    <row r="226" spans="1:6" x14ac:dyDescent="0.35">
      <c r="A226" s="16" t="s">
        <v>395</v>
      </c>
      <c r="B226" s="338">
        <v>13097679.23</v>
      </c>
      <c r="C226" s="336">
        <v>435852.27</v>
      </c>
      <c r="D226" s="338">
        <v>0</v>
      </c>
      <c r="E226" s="28">
        <f t="shared" si="23"/>
        <v>13533531.5</v>
      </c>
    </row>
    <row r="227" spans="1:6" x14ac:dyDescent="0.35">
      <c r="A227" s="16" t="s">
        <v>396</v>
      </c>
      <c r="B227" s="338">
        <v>0</v>
      </c>
      <c r="C227" s="336">
        <v>0</v>
      </c>
      <c r="D227" s="338">
        <v>0</v>
      </c>
      <c r="E227" s="28">
        <f t="shared" si="23"/>
        <v>0</v>
      </c>
    </row>
    <row r="228" spans="1:6" x14ac:dyDescent="0.35">
      <c r="A228" s="16" t="s">
        <v>397</v>
      </c>
      <c r="B228" s="338">
        <v>0</v>
      </c>
      <c r="C228" s="336">
        <v>0</v>
      </c>
      <c r="D228" s="338">
        <v>0</v>
      </c>
      <c r="E228" s="28">
        <f t="shared" si="23"/>
        <v>0</v>
      </c>
    </row>
    <row r="229" spans="1:6" x14ac:dyDescent="0.35">
      <c r="A229" s="16" t="s">
        <v>398</v>
      </c>
      <c r="B229" s="338">
        <f>15169662.2+676025</f>
        <v>15845687.199999999</v>
      </c>
      <c r="C229" s="336">
        <f>1129418+328879</f>
        <v>1458297</v>
      </c>
      <c r="D229" s="338">
        <v>29186</v>
      </c>
      <c r="E229" s="28">
        <f t="shared" si="23"/>
        <v>17274798.199999999</v>
      </c>
    </row>
    <row r="230" spans="1:6" x14ac:dyDescent="0.35">
      <c r="A230" s="16" t="s">
        <v>399</v>
      </c>
      <c r="B230" s="338">
        <v>0</v>
      </c>
      <c r="C230" s="336">
        <v>0</v>
      </c>
      <c r="D230" s="338">
        <v>0</v>
      </c>
      <c r="E230" s="28">
        <f t="shared" si="23"/>
        <v>0</v>
      </c>
    </row>
    <row r="231" spans="1:6" x14ac:dyDescent="0.35">
      <c r="A231" s="16" t="s">
        <v>400</v>
      </c>
      <c r="B231" s="338">
        <v>0</v>
      </c>
      <c r="C231" s="336">
        <v>0</v>
      </c>
      <c r="D231" s="338">
        <v>0</v>
      </c>
      <c r="E231" s="28">
        <f t="shared" si="23"/>
        <v>0</v>
      </c>
    </row>
    <row r="232" spans="1:6" x14ac:dyDescent="0.35">
      <c r="A232" s="16" t="s">
        <v>401</v>
      </c>
      <c r="B232" s="338">
        <v>0</v>
      </c>
      <c r="C232" s="336">
        <v>0</v>
      </c>
      <c r="D232" s="338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29838543.280000001</v>
      </c>
      <c r="C233" s="235">
        <f>SUM(C224:C232)</f>
        <v>1965692.22</v>
      </c>
      <c r="D233" s="28">
        <f>SUM(D224:D232)</f>
        <v>29186</v>
      </c>
      <c r="E233" s="28">
        <f>SUM(E224:E232)</f>
        <v>31775049.5</v>
      </c>
    </row>
    <row r="234" spans="1:6" x14ac:dyDescent="0.35">
      <c r="A234" s="16"/>
      <c r="B234" s="16"/>
      <c r="C234" s="23"/>
      <c r="D234" s="16"/>
      <c r="E234" s="16"/>
      <c r="F234" s="11">
        <f>E220-E233</f>
        <v>16844333.629999995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50" t="s">
        <v>404</v>
      </c>
      <c r="C236" s="350"/>
      <c r="D236" s="34"/>
      <c r="E236" s="34"/>
    </row>
    <row r="237" spans="1:6" x14ac:dyDescent="0.35">
      <c r="A237" s="52" t="s">
        <v>404</v>
      </c>
      <c r="B237" s="34"/>
      <c r="C237" s="336">
        <v>961744</v>
      </c>
      <c r="D237" s="36">
        <f>C237</f>
        <v>961744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336">
        <f>2170443+10126088-251030+1922</f>
        <v>12047423</v>
      </c>
      <c r="D239" s="16"/>
      <c r="E239" s="16"/>
    </row>
    <row r="240" spans="1:6" x14ac:dyDescent="0.35">
      <c r="A240" s="16" t="s">
        <v>407</v>
      </c>
      <c r="B240" s="42" t="s">
        <v>299</v>
      </c>
      <c r="C240" s="336">
        <f>116629+8616804+214537+316956</f>
        <v>9264926</v>
      </c>
      <c r="D240" s="16"/>
      <c r="E240" s="16"/>
    </row>
    <row r="241" spans="1:5" x14ac:dyDescent="0.35">
      <c r="A241" s="16" t="s">
        <v>408</v>
      </c>
      <c r="B241" s="42" t="s">
        <v>299</v>
      </c>
      <c r="C241" s="336">
        <f>543499-204455</f>
        <v>339044</v>
      </c>
      <c r="D241" s="16"/>
      <c r="E241" s="16"/>
    </row>
    <row r="242" spans="1:5" x14ac:dyDescent="0.35">
      <c r="A242" s="16" t="s">
        <v>409</v>
      </c>
      <c r="B242" s="42" t="s">
        <v>299</v>
      </c>
      <c r="C242" s="336">
        <f>2136+10987</f>
        <v>13123</v>
      </c>
      <c r="D242" s="16"/>
      <c r="E242" s="16"/>
    </row>
    <row r="243" spans="1:5" x14ac:dyDescent="0.35">
      <c r="A243" s="16" t="s">
        <v>410</v>
      </c>
      <c r="B243" s="42" t="s">
        <v>299</v>
      </c>
      <c r="C243" s="336">
        <f>29432+11610+98319+6595085</f>
        <v>6734446</v>
      </c>
      <c r="D243" s="16"/>
      <c r="E243" s="16"/>
    </row>
    <row r="244" spans="1:5" x14ac:dyDescent="0.35">
      <c r="A244" s="16" t="s">
        <v>411</v>
      </c>
      <c r="B244" s="42" t="s">
        <v>299</v>
      </c>
      <c r="C244" s="336">
        <f>-42539+400+360</f>
        <v>-41779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f>SUM(C239:C244)</f>
        <v>28357183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336">
        <v>353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336">
        <v>7042.9</v>
      </c>
      <c r="D249" s="16"/>
      <c r="E249" s="16"/>
    </row>
    <row r="250" spans="1:5" x14ac:dyDescent="0.35">
      <c r="A250" s="22" t="s">
        <v>416</v>
      </c>
      <c r="B250" s="42" t="s">
        <v>299</v>
      </c>
      <c r="C250" s="336">
        <f>902747-7042.9</f>
        <v>895704.1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f>SUM(C249:C251)</f>
        <v>902747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336">
        <v>945800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336">
        <f>73+267503+97742+219141+1772-10702+1</f>
        <v>575530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f>SUM(C254:C255)</f>
        <v>1521330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f>D237+D245+D252+D256</f>
        <v>31743004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336">
        <f>3639976.23+6638.81</f>
        <v>3646615.04</v>
      </c>
      <c r="D266" s="16"/>
      <c r="E266" s="16"/>
    </row>
    <row r="267" spans="1:5" x14ac:dyDescent="0.35">
      <c r="A267" s="16" t="s">
        <v>425</v>
      </c>
      <c r="B267" s="42" t="s">
        <v>299</v>
      </c>
      <c r="C267" s="336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336">
        <v>23537001.629999999</v>
      </c>
      <c r="D268" s="16"/>
      <c r="E268" s="16"/>
    </row>
    <row r="269" spans="1:5" x14ac:dyDescent="0.35">
      <c r="A269" s="16" t="s">
        <v>427</v>
      </c>
      <c r="B269" s="42" t="s">
        <v>299</v>
      </c>
      <c r="C269" s="336">
        <v>14335604.140000001</v>
      </c>
      <c r="D269" s="16"/>
      <c r="E269" s="16"/>
    </row>
    <row r="270" spans="1:5" x14ac:dyDescent="0.35">
      <c r="A270" s="16" t="s">
        <v>428</v>
      </c>
      <c r="B270" s="42" t="s">
        <v>299</v>
      </c>
      <c r="C270" s="336">
        <v>1534310.77</v>
      </c>
      <c r="D270" s="16"/>
      <c r="E270" s="16"/>
    </row>
    <row r="271" spans="1:5" x14ac:dyDescent="0.35">
      <c r="A271" s="16" t="s">
        <v>429</v>
      </c>
      <c r="B271" s="42" t="s">
        <v>299</v>
      </c>
      <c r="C271" s="336">
        <f>67949.33+25947.03</f>
        <v>93896.36</v>
      </c>
      <c r="D271" s="16"/>
      <c r="E271" s="16"/>
    </row>
    <row r="272" spans="1:5" x14ac:dyDescent="0.35">
      <c r="A272" s="16" t="s">
        <v>430</v>
      </c>
      <c r="B272" s="42" t="s">
        <v>299</v>
      </c>
      <c r="C272" s="336">
        <v>0</v>
      </c>
      <c r="D272" s="16"/>
      <c r="E272" s="16"/>
    </row>
    <row r="273" spans="1:5" x14ac:dyDescent="0.35">
      <c r="A273" s="16" t="s">
        <v>431</v>
      </c>
      <c r="B273" s="42" t="s">
        <v>299</v>
      </c>
      <c r="C273" s="336">
        <v>847555.1</v>
      </c>
      <c r="D273" s="16"/>
      <c r="E273" s="16"/>
    </row>
    <row r="274" spans="1:5" x14ac:dyDescent="0.35">
      <c r="A274" s="16" t="s">
        <v>432</v>
      </c>
      <c r="B274" s="42" t="s">
        <v>299</v>
      </c>
      <c r="C274" s="336">
        <v>702555</v>
      </c>
      <c r="D274" s="16"/>
      <c r="E274" s="16"/>
    </row>
    <row r="275" spans="1:5" x14ac:dyDescent="0.35">
      <c r="A275" s="16" t="s">
        <v>433</v>
      </c>
      <c r="B275" s="42" t="s">
        <v>299</v>
      </c>
      <c r="C275" s="336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f>SUM(C266:C268)-C269+SUM(C270:C275)</f>
        <v>16026329.759999998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336">
        <f>7332.16+577883.02</f>
        <v>585215.18000000005</v>
      </c>
      <c r="D278" s="16"/>
      <c r="E278" s="16"/>
    </row>
    <row r="279" spans="1:5" x14ac:dyDescent="0.35">
      <c r="A279" s="16" t="s">
        <v>425</v>
      </c>
      <c r="B279" s="42" t="s">
        <v>299</v>
      </c>
      <c r="C279" s="336">
        <v>50667.76</v>
      </c>
      <c r="D279" s="16"/>
      <c r="E279" s="16"/>
    </row>
    <row r="280" spans="1:5" x14ac:dyDescent="0.35">
      <c r="A280" s="16" t="s">
        <v>436</v>
      </c>
      <c r="B280" s="42" t="s">
        <v>299</v>
      </c>
      <c r="C280" s="336">
        <v>0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f>SUM(C278:C280)</f>
        <v>635882.94000000006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336">
        <v>510757.18</v>
      </c>
      <c r="D283" s="16"/>
      <c r="E283" s="16"/>
    </row>
    <row r="284" spans="1:5" x14ac:dyDescent="0.35">
      <c r="A284" s="16" t="s">
        <v>394</v>
      </c>
      <c r="B284" s="42" t="s">
        <v>299</v>
      </c>
      <c r="C284" s="336">
        <v>1026719.54</v>
      </c>
      <c r="D284" s="16"/>
      <c r="E284" s="16"/>
    </row>
    <row r="285" spans="1:5" x14ac:dyDescent="0.35">
      <c r="A285" s="16" t="s">
        <v>395</v>
      </c>
      <c r="B285" s="42" t="s">
        <v>299</v>
      </c>
      <c r="C285" s="336">
        <v>27740566.41</v>
      </c>
      <c r="D285" s="16"/>
      <c r="E285" s="16"/>
    </row>
    <row r="286" spans="1:5" x14ac:dyDescent="0.35">
      <c r="A286" s="16" t="s">
        <v>439</v>
      </c>
      <c r="B286" s="42" t="s">
        <v>299</v>
      </c>
      <c r="C286" s="336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336">
        <v>0</v>
      </c>
      <c r="D287" s="16"/>
      <c r="E287" s="16"/>
    </row>
    <row r="288" spans="1:5" x14ac:dyDescent="0.35">
      <c r="A288" s="16" t="s">
        <v>441</v>
      </c>
      <c r="B288" s="42" t="s">
        <v>299</v>
      </c>
      <c r="C288" s="336">
        <v>19053078.260000002</v>
      </c>
      <c r="D288" s="16"/>
      <c r="E288" s="16"/>
    </row>
    <row r="289" spans="1:5" x14ac:dyDescent="0.35">
      <c r="A289" s="16" t="s">
        <v>400</v>
      </c>
      <c r="B289" s="42" t="s">
        <v>299</v>
      </c>
      <c r="C289" s="336">
        <v>0</v>
      </c>
      <c r="D289" s="16"/>
      <c r="E289" s="16"/>
    </row>
    <row r="290" spans="1:5" x14ac:dyDescent="0.35">
      <c r="A290" s="16" t="s">
        <v>401</v>
      </c>
      <c r="B290" s="42" t="s">
        <v>299</v>
      </c>
      <c r="C290" s="336">
        <v>288261.5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f>SUM(C283:C290)</f>
        <v>48619382.890000001</v>
      </c>
      <c r="E291" s="16"/>
    </row>
    <row r="292" spans="1:5" x14ac:dyDescent="0.35">
      <c r="A292" s="16" t="s">
        <v>443</v>
      </c>
      <c r="B292" s="42" t="s">
        <v>299</v>
      </c>
      <c r="C292" s="336">
        <v>31775049.440000001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f>D291-C292</f>
        <v>16844333.449999999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336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336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336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336">
        <v>895418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f>C295-C296+C297+C298</f>
        <v>895418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336">
        <v>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336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336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336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f>D276+D281+D293+D299+D306</f>
        <v>34401964.149999999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34401964.149999999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336">
        <f>100341.44+912939.01</f>
        <v>1013280.45</v>
      </c>
      <c r="D314" s="16"/>
      <c r="E314" s="16"/>
    </row>
    <row r="315" spans="1:6" x14ac:dyDescent="0.35">
      <c r="A315" s="16" t="s">
        <v>460</v>
      </c>
      <c r="B315" s="42" t="s">
        <v>299</v>
      </c>
      <c r="C315" s="336">
        <v>787281.67</v>
      </c>
      <c r="D315" s="16"/>
      <c r="E315" s="16"/>
    </row>
    <row r="316" spans="1:6" x14ac:dyDescent="0.35">
      <c r="A316" s="16" t="s">
        <v>461</v>
      </c>
      <c r="B316" s="42" t="s">
        <v>299</v>
      </c>
      <c r="C316" s="336">
        <f>930877.71+140965.69+2131487.84+80685.25</f>
        <v>3284016.4899999998</v>
      </c>
      <c r="D316" s="16"/>
      <c r="E316" s="16"/>
    </row>
    <row r="317" spans="1:6" x14ac:dyDescent="0.35">
      <c r="A317" s="16" t="s">
        <v>462</v>
      </c>
      <c r="B317" s="42" t="s">
        <v>299</v>
      </c>
      <c r="C317" s="336">
        <f>42822.28+12274.87</f>
        <v>55097.15</v>
      </c>
      <c r="D317" s="16"/>
      <c r="E317" s="16"/>
    </row>
    <row r="318" spans="1:6" x14ac:dyDescent="0.35">
      <c r="A318" s="16" t="s">
        <v>463</v>
      </c>
      <c r="B318" s="42" t="s">
        <v>299</v>
      </c>
      <c r="C318" s="336">
        <v>0</v>
      </c>
      <c r="D318" s="16"/>
      <c r="E318" s="16"/>
    </row>
    <row r="319" spans="1:6" x14ac:dyDescent="0.35">
      <c r="A319" s="16" t="s">
        <v>464</v>
      </c>
      <c r="B319" s="42" t="s">
        <v>299</v>
      </c>
      <c r="C319" s="336">
        <v>540800.73</v>
      </c>
      <c r="D319" s="16"/>
      <c r="E319" s="16"/>
    </row>
    <row r="320" spans="1:6" x14ac:dyDescent="0.35">
      <c r="A320" s="16" t="s">
        <v>465</v>
      </c>
      <c r="B320" s="42" t="s">
        <v>299</v>
      </c>
      <c r="C320" s="336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336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336">
        <v>0</v>
      </c>
      <c r="D322" s="16"/>
      <c r="E322" s="16"/>
    </row>
    <row r="323" spans="1:5" x14ac:dyDescent="0.35">
      <c r="A323" s="16" t="s">
        <v>468</v>
      </c>
      <c r="B323" s="42" t="s">
        <v>299</v>
      </c>
      <c r="C323" s="336">
        <v>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f>SUM(C314:C323)</f>
        <v>5680476.4900000002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336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336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336">
        <v>3770318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f>SUM(C326:C328)</f>
        <v>3770318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336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336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336">
        <v>0</v>
      </c>
      <c r="D333" s="16"/>
      <c r="E333" s="16"/>
    </row>
    <row r="334" spans="1:5" x14ac:dyDescent="0.35">
      <c r="A334" s="22" t="s">
        <v>479</v>
      </c>
      <c r="B334" s="42" t="s">
        <v>299</v>
      </c>
      <c r="C334" s="336">
        <v>169899.9</v>
      </c>
      <c r="D334" s="16"/>
      <c r="E334" s="16"/>
    </row>
    <row r="335" spans="1:5" x14ac:dyDescent="0.35">
      <c r="A335" s="16" t="s">
        <v>480</v>
      </c>
      <c r="B335" s="42" t="s">
        <v>299</v>
      </c>
      <c r="C335" s="336">
        <v>14815000</v>
      </c>
      <c r="D335" s="16"/>
      <c r="E335" s="16"/>
    </row>
    <row r="336" spans="1:5" x14ac:dyDescent="0.35">
      <c r="A336" s="22" t="s">
        <v>481</v>
      </c>
      <c r="B336" s="42" t="s">
        <v>299</v>
      </c>
      <c r="C336" s="336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339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336">
        <v>3280746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18265645.899999999</v>
      </c>
      <c r="E339" s="16"/>
    </row>
    <row r="340" spans="1:5" x14ac:dyDescent="0.3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485</v>
      </c>
      <c r="B341" s="16"/>
      <c r="C341" s="23"/>
      <c r="D341" s="28">
        <f>D339-D340</f>
        <v>18265645.899999999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340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337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337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337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337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337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f>D324+D329+D341+C343+C347+C348</f>
        <v>27716440.390000001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f>D308</f>
        <v>34401964.149999999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337">
        <v>7861782</v>
      </c>
      <c r="D358" s="16"/>
      <c r="E358" s="16"/>
    </row>
    <row r="359" spans="1:5" x14ac:dyDescent="0.35">
      <c r="A359" s="16" t="s">
        <v>497</v>
      </c>
      <c r="B359" s="42" t="s">
        <v>299</v>
      </c>
      <c r="C359" s="337">
        <v>60670305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f>SUM(C358:C359)</f>
        <v>68532087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336">
        <v>961744</v>
      </c>
      <c r="D362" s="16"/>
      <c r="E362" s="41"/>
    </row>
    <row r="363" spans="1:5" x14ac:dyDescent="0.35">
      <c r="A363" s="16" t="s">
        <v>500</v>
      </c>
      <c r="B363" s="42" t="s">
        <v>299</v>
      </c>
      <c r="C363" s="336">
        <v>28357183</v>
      </c>
      <c r="D363" s="16"/>
      <c r="E363" s="16"/>
    </row>
    <row r="364" spans="1:5" x14ac:dyDescent="0.35">
      <c r="A364" s="16" t="s">
        <v>501</v>
      </c>
      <c r="B364" s="42" t="s">
        <v>299</v>
      </c>
      <c r="C364" s="336">
        <v>902747</v>
      </c>
      <c r="D364" s="16"/>
      <c r="E364" s="16"/>
    </row>
    <row r="365" spans="1:5" x14ac:dyDescent="0.35">
      <c r="A365" s="16" t="s">
        <v>502</v>
      </c>
      <c r="B365" s="42" t="s">
        <v>299</v>
      </c>
      <c r="C365" s="336">
        <v>1521330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f>SUM(C362:C365)</f>
        <v>31743004</v>
      </c>
      <c r="E366" s="16"/>
    </row>
    <row r="367" spans="1:5" x14ac:dyDescent="0.35">
      <c r="A367" s="16" t="s">
        <v>503</v>
      </c>
      <c r="B367" s="16"/>
      <c r="C367" s="23"/>
      <c r="D367" s="28">
        <f>D360-D366</f>
        <v>36789083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336">
        <v>72807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336">
        <v>69246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336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336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336">
        <v>0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336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336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336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336">
        <v>0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336">
        <v>433340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341">
        <f>3867+14154+123109+15827-2888</f>
        <v>154069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517</v>
      </c>
      <c r="B381" s="42"/>
      <c r="C381" s="42"/>
      <c r="D381" s="28">
        <f>SUM(C370:C380)</f>
        <v>729462</v>
      </c>
      <c r="E381" s="28"/>
      <c r="F381" s="56"/>
    </row>
    <row r="382" spans="1:6" x14ac:dyDescent="0.35">
      <c r="A382" s="52" t="s">
        <v>518</v>
      </c>
      <c r="B382" s="42" t="s">
        <v>299</v>
      </c>
      <c r="C382" s="336">
        <v>989204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f>D381+C382</f>
        <v>1718666</v>
      </c>
      <c r="E383" s="16"/>
    </row>
    <row r="384" spans="1:6" x14ac:dyDescent="0.35">
      <c r="A384" s="16" t="s">
        <v>520</v>
      </c>
      <c r="B384" s="16"/>
      <c r="C384" s="23"/>
      <c r="D384" s="28">
        <f>D367+D383</f>
        <v>38507749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336">
        <f>4271634+16153676</f>
        <v>20425310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6">
        <v>6114118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6">
        <v>0</v>
      </c>
      <c r="D391" s="16"/>
      <c r="E391" s="16"/>
    </row>
    <row r="392" spans="1:5" x14ac:dyDescent="0.35">
      <c r="A392" s="16" t="s">
        <v>523</v>
      </c>
      <c r="B392" s="42" t="s">
        <v>299</v>
      </c>
      <c r="C392" s="336">
        <f>2210158+840194</f>
        <v>3050352</v>
      </c>
      <c r="D392" s="16"/>
      <c r="E392" s="16"/>
    </row>
    <row r="393" spans="1:5" x14ac:dyDescent="0.35">
      <c r="A393" s="16" t="s">
        <v>524</v>
      </c>
      <c r="B393" s="42" t="s">
        <v>299</v>
      </c>
      <c r="C393" s="336">
        <v>0</v>
      </c>
      <c r="D393" s="16"/>
      <c r="E393" s="16"/>
    </row>
    <row r="394" spans="1:5" x14ac:dyDescent="0.35">
      <c r="A394" s="16" t="s">
        <v>525</v>
      </c>
      <c r="B394" s="42" t="s">
        <v>299</v>
      </c>
      <c r="C394" s="336">
        <v>1815721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6">
        <v>1965691</v>
      </c>
      <c r="D395" s="16"/>
      <c r="E395" s="16"/>
    </row>
    <row r="396" spans="1:5" x14ac:dyDescent="0.35">
      <c r="A396" s="16" t="s">
        <v>526</v>
      </c>
      <c r="B396" s="42" t="s">
        <v>299</v>
      </c>
      <c r="C396" s="336">
        <v>88123</v>
      </c>
      <c r="D396" s="16"/>
      <c r="E396" s="16"/>
    </row>
    <row r="397" spans="1:5" x14ac:dyDescent="0.35">
      <c r="A397" s="16" t="s">
        <v>527</v>
      </c>
      <c r="B397" s="42" t="s">
        <v>299</v>
      </c>
      <c r="C397" s="336">
        <v>0</v>
      </c>
      <c r="D397" s="16"/>
      <c r="E397" s="16"/>
    </row>
    <row r="398" spans="1:5" x14ac:dyDescent="0.35">
      <c r="A398" s="16" t="s">
        <v>528</v>
      </c>
      <c r="B398" s="42" t="s">
        <v>299</v>
      </c>
      <c r="C398" s="336">
        <v>0</v>
      </c>
      <c r="D398" s="16"/>
      <c r="E398" s="16"/>
    </row>
    <row r="399" spans="1:5" x14ac:dyDescent="0.35">
      <c r="A399" s="16" t="s">
        <v>529</v>
      </c>
      <c r="B399" s="42" t="s">
        <v>299</v>
      </c>
      <c r="C399" s="336">
        <v>514658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6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6">
        <v>3682266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336">
        <v>981826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6">
        <v>543930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6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6">
        <v>707076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6">
        <v>66067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6">
        <v>420143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6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6">
        <v>9316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6">
        <v>43471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6">
        <v>501879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6">
        <v>496367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1">
        <v>388170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f>SUM(C401:C414)</f>
        <v>7840511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f>SUM(C389:C399,D415)</f>
        <v>41814484</v>
      </c>
      <c r="E416" s="28"/>
    </row>
    <row r="417" spans="1:13" x14ac:dyDescent="0.35">
      <c r="A417" s="28" t="s">
        <v>534</v>
      </c>
      <c r="B417" s="16"/>
      <c r="C417" s="23"/>
      <c r="D417" s="28">
        <f>D384-D416</f>
        <v>-3306735</v>
      </c>
      <c r="E417" s="28"/>
    </row>
    <row r="418" spans="1:13" x14ac:dyDescent="0.35">
      <c r="A418" s="28" t="s">
        <v>535</v>
      </c>
      <c r="B418" s="16"/>
      <c r="C418" s="341">
        <v>38558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336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f>SUM(C418:C419)</f>
        <v>38558</v>
      </c>
      <c r="E420" s="28"/>
      <c r="F420" s="11">
        <f>D420-C399</f>
        <v>-476100</v>
      </c>
    </row>
    <row r="421" spans="1:13" x14ac:dyDescent="0.35">
      <c r="A421" s="28" t="s">
        <v>538</v>
      </c>
      <c r="B421" s="16"/>
      <c r="C421" s="23"/>
      <c r="D421" s="28">
        <f>D417+D420</f>
        <v>-3268177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336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336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f>D421+C422-C423</f>
        <v>-3268177</v>
      </c>
      <c r="E424" s="16"/>
    </row>
    <row r="426" spans="1:13" ht="29" customHeight="1" x14ac:dyDescent="0.35">
      <c r="A426" s="351" t="s">
        <v>1376</v>
      </c>
      <c r="B426" s="351"/>
      <c r="C426" s="351"/>
      <c r="D426" s="351"/>
      <c r="E426" s="351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542</v>
      </c>
      <c r="D612" s="227">
        <f>CE90-(BE90+CD90)</f>
        <v>58442</v>
      </c>
      <c r="E612" s="229">
        <f>SUM(C624:D647)+SUM(C668:D713)</f>
        <v>37870320.000065699</v>
      </c>
      <c r="F612" s="229">
        <f>CE64-(AX64+BD64+BE64+BG64+BJ64+BN64+BP64+BQ64+CB64+CC64+CD64)</f>
        <v>2934236.3600000003</v>
      </c>
      <c r="G612" s="227">
        <f>CE91-(AX91+AY91+BD91+BE91+BG91+BJ91+BN91+BP91+BQ91+CB91+CC91+CD91)</f>
        <v>24354</v>
      </c>
      <c r="H612" s="232">
        <f>CE60-(AX60+AY60+AZ60+BD60+BE60+BG60+BJ60+BN60+BO60+BP60+BQ60+BR60+CB60+CC60+CD60)</f>
        <v>209.26000000000005</v>
      </c>
      <c r="I612" s="227">
        <f>CE92-(AX92+AY92+AZ92+BD92+BE92+BF92+BG92+BJ92+BN92+BO92+BP92+BQ92+BR92+CB92+CC92+CD92)</f>
        <v>14143</v>
      </c>
      <c r="J612" s="227">
        <f>CE93-(AX93+AY93+AZ93+BA93+BD93+BE93+BF93+BG93+BJ93+BN93+BO93+BP93+BQ93+BR93+CB93+CC93+CD93)</f>
        <v>61156</v>
      </c>
      <c r="K612" s="227">
        <f>CE89-(AW89+AX89+AY89+AZ89+BA89+BB89+BC89+BD89+BE89+BF89+BG89+BH89+BI89+BJ89+BK89+BL89+BM89+BN89+BO89+BP89+BQ89+BR89+BS89+BT89+BU89+BV89+BW89+BX89+CB89+CC89+CD89)</f>
        <v>68532087.279999986</v>
      </c>
      <c r="L612" s="233">
        <f>CE94-(AW94+AX94+AY94+AZ94+BA94+BB94+BC94+BD94+BE94+BF94+BG94+BH94+BI94+BJ94+BK94+BL94+BM94+BN94+BO94+BP94+BQ94+BR94+BS94+BT94+BU94+BV94+BW94+BX94+BY94+BZ94+CA94+CB94+CC94+CD94)</f>
        <v>27.249999999999996</v>
      </c>
    </row>
    <row r="613" spans="1:14" s="211" customFormat="1" ht="12.65" customHeight="1" x14ac:dyDescent="0.3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1425537.92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5" customHeight="1" x14ac:dyDescent="0.3">
      <c r="A615" s="222"/>
      <c r="B615" s="221" t="s">
        <v>554</v>
      </c>
      <c r="C615" s="227">
        <f>CD69-CD84</f>
        <v>291903</v>
      </c>
      <c r="D615" s="227">
        <f>SUM(C614:C615)</f>
        <v>1717440.92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5" customHeight="1" x14ac:dyDescent="0.3">
      <c r="A616" s="222">
        <v>8310</v>
      </c>
      <c r="B616" s="226" t="s">
        <v>556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784484.08000000007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8470</v>
      </c>
      <c r="B618" s="226" t="s">
        <v>559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5" customHeight="1" x14ac:dyDescent="0.3">
      <c r="A619" s="222">
        <v>8610</v>
      </c>
      <c r="B619" s="226" t="s">
        <v>561</v>
      </c>
      <c r="C619" s="227">
        <f>BN85</f>
        <v>2388224.5</v>
      </c>
      <c r="D619" s="227">
        <f>(D615/D612)*BN90</f>
        <v>196452.7659936347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5" customHeight="1" x14ac:dyDescent="0.3">
      <c r="A620" s="222">
        <v>8790</v>
      </c>
      <c r="B620" s="226" t="s">
        <v>563</v>
      </c>
      <c r="C620" s="227">
        <f>CC85</f>
        <v>-7267.2199999999993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5" customHeight="1" x14ac:dyDescent="0.3">
      <c r="A621" s="222">
        <v>8630</v>
      </c>
      <c r="B621" s="226" t="s">
        <v>565</v>
      </c>
      <c r="C621" s="227">
        <f>BP85</f>
        <v>18670.04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5" customHeight="1" x14ac:dyDescent="0.3">
      <c r="A622" s="222">
        <v>8770</v>
      </c>
      <c r="B622" s="221" t="s">
        <v>567</v>
      </c>
      <c r="C622" s="227">
        <f>CB85</f>
        <v>45747.7</v>
      </c>
      <c r="D622" s="227">
        <f>(D615/D612)*CB90</f>
        <v>3203.193940659115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5" customHeight="1" x14ac:dyDescent="0.3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3429515.0599342939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191415.08000000002</v>
      </c>
      <c r="D624" s="227">
        <f>(D615/D612)*BD90</f>
        <v>2938.7100373019402</v>
      </c>
      <c r="E624" s="229">
        <f>(E623/E612)*SUM(C624:D624)</f>
        <v>17600.570839831256</v>
      </c>
      <c r="F624" s="229">
        <f>SUM(C624:E624)</f>
        <v>211954.36087713321</v>
      </c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1168704.1000000001</v>
      </c>
      <c r="D625" s="227">
        <f>(D615/D612)*AY90</f>
        <v>30974.00379316245</v>
      </c>
      <c r="E625" s="229">
        <f>(E623/E612)*SUM(C625:D625)</f>
        <v>108642.1800508929</v>
      </c>
      <c r="F625" s="229">
        <f>(F624/F612)*AY64</f>
        <v>26878.557131886304</v>
      </c>
      <c r="G625" s="227">
        <f>SUM(C625:F625)</f>
        <v>1335198.8409759419</v>
      </c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352288.45</v>
      </c>
      <c r="D626" s="227">
        <f>(D615/D612)*BR90</f>
        <v>31767.455503233974</v>
      </c>
      <c r="E626" s="229">
        <f>(E623/E612)*SUM(C626:D626)</f>
        <v>34779.88862459462</v>
      </c>
      <c r="F626" s="229">
        <f>(F624/F612)*BR64</f>
        <v>437.45618657630433</v>
      </c>
      <c r="G626" s="227">
        <f>(G625/G612)*BR91</f>
        <v>0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8620</v>
      </c>
      <c r="B627" s="221" t="s">
        <v>574</v>
      </c>
      <c r="C627" s="227">
        <f>BO85</f>
        <v>713.01</v>
      </c>
      <c r="D627" s="227">
        <f>(D615/D612)*BO90</f>
        <v>0</v>
      </c>
      <c r="E627" s="229">
        <f>(E623/E612)*SUM(C627:D627)</f>
        <v>64.56978797326002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575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47154.75</v>
      </c>
      <c r="D628" s="227">
        <f>(D615/D612)*AZ90</f>
        <v>21628.905874542281</v>
      </c>
      <c r="E628" s="229">
        <f>(E623/E612)*SUM(C628:D628)</f>
        <v>6229.0095171805115</v>
      </c>
      <c r="F628" s="229">
        <f>(F624/F612)*AZ64</f>
        <v>161.05861380904571</v>
      </c>
      <c r="G628" s="227">
        <f>(G625/G612)*AZ91</f>
        <v>0</v>
      </c>
      <c r="H628" s="229">
        <f>SUM(C626:G628)</f>
        <v>495224.55410791002</v>
      </c>
      <c r="I628" s="227"/>
      <c r="J628" s="227"/>
      <c r="N628" s="223" t="s">
        <v>576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981965.64</v>
      </c>
      <c r="D629" s="227">
        <f>(D615/D612)*BF90</f>
        <v>3379.5165428972314</v>
      </c>
      <c r="E629" s="229">
        <f>(E623/E612)*SUM(C629:D629)</f>
        <v>89232.307875701023</v>
      </c>
      <c r="F629" s="229">
        <f>(F624/F612)*BF64</f>
        <v>6298.5609222912317</v>
      </c>
      <c r="G629" s="227">
        <f>(G625/G612)*BF91</f>
        <v>0</v>
      </c>
      <c r="H629" s="229">
        <f>(H628/H612)*BF60</f>
        <v>35024.961295981397</v>
      </c>
      <c r="I629" s="227">
        <f>SUM(C629:H629)</f>
        <v>1115900.9866368708</v>
      </c>
      <c r="J629" s="227"/>
      <c r="N629" s="223" t="s">
        <v>577</v>
      </c>
    </row>
    <row r="630" spans="1:14" s="211" customFormat="1" ht="12.65" customHeight="1" x14ac:dyDescent="0.3">
      <c r="A630" s="222">
        <v>8350</v>
      </c>
      <c r="B630" s="226" t="s">
        <v>578</v>
      </c>
      <c r="C630" s="227">
        <f>BA85</f>
        <v>107181.01</v>
      </c>
      <c r="D630" s="227">
        <f>(D615/D612)*BA90</f>
        <v>21952.163978645494</v>
      </c>
      <c r="E630" s="229">
        <f>(E623/E612)*SUM(C630:D630)</f>
        <v>11694.22822136469</v>
      </c>
      <c r="F630" s="229">
        <f>(F624/F612)*BA64</f>
        <v>1147.4576570519121</v>
      </c>
      <c r="G630" s="227">
        <f>(G625/G612)*BA91</f>
        <v>0</v>
      </c>
      <c r="H630" s="229">
        <f>(H628/H612)*BA60</f>
        <v>70.99654316752985</v>
      </c>
      <c r="I630" s="227">
        <f>(I629/I612)*BA92</f>
        <v>57440.141290507105</v>
      </c>
      <c r="J630" s="227">
        <f>SUM(C630:I630)</f>
        <v>199485.99769073672</v>
      </c>
      <c r="N630" s="223" t="s">
        <v>579</v>
      </c>
    </row>
    <row r="631" spans="1:14" s="211" customFormat="1" ht="12.65" customHeight="1" x14ac:dyDescent="0.3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581</v>
      </c>
    </row>
    <row r="632" spans="1:14" s="211" customFormat="1" ht="12.65" customHeight="1" x14ac:dyDescent="0.3">
      <c r="A632" s="222">
        <v>8360</v>
      </c>
      <c r="B632" s="226" t="s">
        <v>582</v>
      </c>
      <c r="C632" s="227">
        <f>BB85</f>
        <v>315969.84999999998</v>
      </c>
      <c r="D632" s="227">
        <f>(D615/D612)*BB90</f>
        <v>10579.356134286985</v>
      </c>
      <c r="E632" s="229">
        <f>(E623/E612)*SUM(C632:D632)</f>
        <v>29572.113999701673</v>
      </c>
      <c r="F632" s="229">
        <f>(F624/F612)*BB64</f>
        <v>369.0706550896756</v>
      </c>
      <c r="G632" s="227">
        <f>(G625/G612)*BB91</f>
        <v>0</v>
      </c>
      <c r="H632" s="229">
        <f>(H628/H612)*BB60</f>
        <v>6862.9991728612194</v>
      </c>
      <c r="I632" s="227">
        <f>(I629/I612)*BB92</f>
        <v>8205.7344700724425</v>
      </c>
      <c r="J632" s="227">
        <f>(J630/J612)*BB93</f>
        <v>0</v>
      </c>
      <c r="N632" s="223" t="s">
        <v>583</v>
      </c>
    </row>
    <row r="633" spans="1:14" s="211" customFormat="1" ht="12.65" customHeight="1" x14ac:dyDescent="0.3">
      <c r="A633" s="222">
        <v>8370</v>
      </c>
      <c r="B633" s="226" t="s">
        <v>584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585</v>
      </c>
    </row>
    <row r="634" spans="1:14" s="211" customFormat="1" ht="12.65" customHeight="1" x14ac:dyDescent="0.3">
      <c r="A634" s="222">
        <v>8490</v>
      </c>
      <c r="B634" s="226" t="s">
        <v>586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587</v>
      </c>
    </row>
    <row r="635" spans="1:14" s="211" customFormat="1" ht="12.65" customHeight="1" x14ac:dyDescent="0.3">
      <c r="A635" s="222">
        <v>8530</v>
      </c>
      <c r="B635" s="226" t="s">
        <v>588</v>
      </c>
      <c r="C635" s="227">
        <f>BK85</f>
        <v>1534311.1300000004</v>
      </c>
      <c r="D635" s="227">
        <f>(D615/D612)*BK90</f>
        <v>79198.235505287288</v>
      </c>
      <c r="E635" s="229">
        <f>(E623/E612)*SUM(C635:D635)</f>
        <v>146118.50832883935</v>
      </c>
      <c r="F635" s="229">
        <f>(F624/F612)*BK64</f>
        <v>956.57396259988798</v>
      </c>
      <c r="G635" s="227">
        <f>(G625/G612)*BK91</f>
        <v>0</v>
      </c>
      <c r="H635" s="229">
        <f>(H628/H612)*BK60</f>
        <v>32516.416770728676</v>
      </c>
      <c r="I635" s="227">
        <f>(I629/I612)*BK92</f>
        <v>18462.902557662997</v>
      </c>
      <c r="J635" s="227">
        <f>(J630/J612)*BK93</f>
        <v>0</v>
      </c>
      <c r="N635" s="223" t="s">
        <v>589</v>
      </c>
    </row>
    <row r="636" spans="1:14" s="211" customFormat="1" ht="12.65" customHeight="1" x14ac:dyDescent="0.3">
      <c r="A636" s="222">
        <v>8480</v>
      </c>
      <c r="B636" s="226" t="s">
        <v>590</v>
      </c>
      <c r="C636" s="227">
        <f>BH85</f>
        <v>1016157.7600000001</v>
      </c>
      <c r="D636" s="227">
        <f>(D615/D612)*BH90</f>
        <v>10461.807732794909</v>
      </c>
      <c r="E636" s="229">
        <f>(E623/E612)*SUM(C636:D636)</f>
        <v>92970.095535415254</v>
      </c>
      <c r="F636" s="229">
        <f>(F624/F612)*BH64</f>
        <v>628.06900003723842</v>
      </c>
      <c r="G636" s="227">
        <f>(G625/G612)*BH91</f>
        <v>0</v>
      </c>
      <c r="H636" s="229">
        <f>(H628/H612)*BH60</f>
        <v>7904.2818059849906</v>
      </c>
      <c r="I636" s="227">
        <f>(I629/I612)*BH92</f>
        <v>0</v>
      </c>
      <c r="J636" s="227">
        <f>(J630/J612)*BH93</f>
        <v>0</v>
      </c>
      <c r="N636" s="223" t="s">
        <v>591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460571.35999999993</v>
      </c>
      <c r="D637" s="227">
        <f>(D615/D612)*BL90</f>
        <v>4349.290855206872</v>
      </c>
      <c r="E637" s="229">
        <f>(E623/E612)*SUM(C637:D637)</f>
        <v>42102.954867548498</v>
      </c>
      <c r="F637" s="229">
        <f>(F624/F612)*BL64</f>
        <v>277.91378396805328</v>
      </c>
      <c r="G637" s="227">
        <f>(G625/G612)*BL91</f>
        <v>0</v>
      </c>
      <c r="H637" s="229">
        <f>(H628/H612)*BL60</f>
        <v>15832.22912635916</v>
      </c>
      <c r="I637" s="227">
        <f>(I629/I612)*BL92</f>
        <v>12308.601705108666</v>
      </c>
      <c r="J637" s="227">
        <f>(J630/J612)*BL93</f>
        <v>0</v>
      </c>
      <c r="N637" s="223" t="s">
        <v>592</v>
      </c>
    </row>
    <row r="638" spans="1:14" s="211" customFormat="1" ht="12.65" customHeight="1" x14ac:dyDescent="0.3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5996.4982665914013</v>
      </c>
      <c r="J638" s="227">
        <f>(J630/J612)*BM93</f>
        <v>0</v>
      </c>
      <c r="N638" s="223" t="s">
        <v>594</v>
      </c>
    </row>
    <row r="639" spans="1:14" s="211" customFormat="1" ht="12.65" customHeight="1" x14ac:dyDescent="0.3">
      <c r="A639" s="222">
        <v>8660</v>
      </c>
      <c r="B639" s="226" t="s">
        <v>595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2051.4336175181106</v>
      </c>
      <c r="J639" s="227">
        <f>(J630/J612)*BS93</f>
        <v>0</v>
      </c>
      <c r="N639" s="223" t="s">
        <v>596</v>
      </c>
    </row>
    <row r="640" spans="1:14" s="211" customFormat="1" ht="12.65" customHeight="1" x14ac:dyDescent="0.3">
      <c r="A640" s="222">
        <v>8670</v>
      </c>
      <c r="B640" s="226" t="s">
        <v>597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598</v>
      </c>
    </row>
    <row r="641" spans="1:14" s="211" customFormat="1" ht="12.65" customHeight="1" x14ac:dyDescent="0.3">
      <c r="A641" s="222">
        <v>8680</v>
      </c>
      <c r="B641" s="226" t="s">
        <v>599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600</v>
      </c>
    </row>
    <row r="642" spans="1:14" s="211" customFormat="1" ht="12.65" customHeight="1" x14ac:dyDescent="0.3">
      <c r="A642" s="222">
        <v>8690</v>
      </c>
      <c r="B642" s="226" t="s">
        <v>601</v>
      </c>
      <c r="C642" s="227">
        <f>BV85</f>
        <v>393725.97</v>
      </c>
      <c r="D642" s="227">
        <f>(D615/D612)*BV90</f>
        <v>26595.325837582561</v>
      </c>
      <c r="E642" s="229">
        <f>(E623/E612)*SUM(C642:D642)</f>
        <v>38064.062149028214</v>
      </c>
      <c r="F642" s="229">
        <f>(F624/F612)*BV64</f>
        <v>245.32716191457556</v>
      </c>
      <c r="G642" s="227">
        <f>(G625/G612)*BV91</f>
        <v>0</v>
      </c>
      <c r="H642" s="229">
        <f>(H628/H612)*BV60</f>
        <v>11028.129705356305</v>
      </c>
      <c r="I642" s="227">
        <f>(I629/I612)*BV92</f>
        <v>6785.5111964060588</v>
      </c>
      <c r="J642" s="227">
        <f>(J630/J612)*BV93</f>
        <v>0</v>
      </c>
      <c r="N642" s="223" t="s">
        <v>602</v>
      </c>
    </row>
    <row r="643" spans="1:14" s="211" customFormat="1" ht="12.65" customHeight="1" x14ac:dyDescent="0.3">
      <c r="A643" s="222">
        <v>8700</v>
      </c>
      <c r="B643" s="226" t="s">
        <v>603</v>
      </c>
      <c r="C643" s="227">
        <f>BW85</f>
        <v>54434.1</v>
      </c>
      <c r="D643" s="227">
        <f>(D615/D612)*BW90</f>
        <v>0</v>
      </c>
      <c r="E643" s="229">
        <f>(E623/E612)*SUM(C643:D643)</f>
        <v>4929.5217395481595</v>
      </c>
      <c r="F643" s="229">
        <f>(F624/F612)*BW64</f>
        <v>0</v>
      </c>
      <c r="G643" s="227">
        <f>(G625/G612)*BW91</f>
        <v>0</v>
      </c>
      <c r="H643" s="229">
        <f>(H628/H612)*BW60</f>
        <v>0</v>
      </c>
      <c r="I643" s="227">
        <f>(I629/I612)*BW92</f>
        <v>0</v>
      </c>
      <c r="J643" s="227">
        <f>(J630/J612)*BW93</f>
        <v>0</v>
      </c>
      <c r="N643" s="223" t="s">
        <v>604</v>
      </c>
    </row>
    <row r="644" spans="1:14" s="211" customFormat="1" ht="12.65" customHeight="1" x14ac:dyDescent="0.3">
      <c r="A644" s="222">
        <v>8710</v>
      </c>
      <c r="B644" s="226" t="s">
        <v>605</v>
      </c>
      <c r="C644" s="227">
        <f>BX85</f>
        <v>577600.72</v>
      </c>
      <c r="D644" s="227">
        <f>(D615/D612)*BX90</f>
        <v>0</v>
      </c>
      <c r="E644" s="229">
        <f>(E623/E612)*SUM(C644:D644)</f>
        <v>52307.199090619106</v>
      </c>
      <c r="F644" s="229">
        <f>(F624/F612)*BX64</f>
        <v>95.459183609441837</v>
      </c>
      <c r="G644" s="227">
        <f>(G625/G612)*BX91</f>
        <v>0</v>
      </c>
      <c r="H644" s="229">
        <f>(H628/H612)*BX60</f>
        <v>7809.6197484282839</v>
      </c>
      <c r="I644" s="227">
        <f>(I629/I612)*BX92</f>
        <v>0</v>
      </c>
      <c r="J644" s="227">
        <f>(J630/J612)*BX93</f>
        <v>0</v>
      </c>
      <c r="K644" s="229">
        <f>SUM(C631:J644)</f>
        <v>5028356.1336661559</v>
      </c>
      <c r="L644" s="229"/>
      <c r="N644" s="223" t="s">
        <v>606</v>
      </c>
    </row>
    <row r="645" spans="1:14" s="211" customFormat="1" ht="12.65" customHeight="1" x14ac:dyDescent="0.3">
      <c r="A645" s="222">
        <v>8720</v>
      </c>
      <c r="B645" s="226" t="s">
        <v>607</v>
      </c>
      <c r="C645" s="227">
        <f>BY85</f>
        <v>308131.63</v>
      </c>
      <c r="D645" s="227">
        <f>(D615/D612)*BY90</f>
        <v>26507.164536463504</v>
      </c>
      <c r="E645" s="229">
        <f>(E623/E612)*SUM(C645:D645)</f>
        <v>30304.702614054186</v>
      </c>
      <c r="F645" s="229">
        <f>(F624/F612)*BY64</f>
        <v>115.17137391839188</v>
      </c>
      <c r="G645" s="227">
        <f>(G625/G612)*BY91</f>
        <v>0</v>
      </c>
      <c r="H645" s="229">
        <f>(H628/H612)*BY60</f>
        <v>4898.7614785595597</v>
      </c>
      <c r="I645" s="227">
        <f>(I629/I612)*BY92</f>
        <v>4102.8672350362212</v>
      </c>
      <c r="J645" s="227">
        <f>(J630/J612)*BY93</f>
        <v>0</v>
      </c>
      <c r="K645" s="229">
        <v>0</v>
      </c>
      <c r="L645" s="229"/>
      <c r="N645" s="223" t="s">
        <v>608</v>
      </c>
    </row>
    <row r="646" spans="1:14" s="211" customFormat="1" ht="12.65" customHeight="1" x14ac:dyDescent="0.3">
      <c r="A646" s="222">
        <v>8730</v>
      </c>
      <c r="B646" s="226" t="s">
        <v>609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610</v>
      </c>
    </row>
    <row r="647" spans="1:14" s="211" customFormat="1" ht="12.65" customHeight="1" x14ac:dyDescent="0.3">
      <c r="A647" s="222">
        <v>8740</v>
      </c>
      <c r="B647" s="226" t="s">
        <v>611</v>
      </c>
      <c r="C647" s="227">
        <f>CA85</f>
        <v>37635.43</v>
      </c>
      <c r="D647" s="227">
        <f>(D615/D612)*CA90</f>
        <v>0</v>
      </c>
      <c r="E647" s="229">
        <f>(E623/E612)*SUM(C647:D647)</f>
        <v>3408.2435525202586</v>
      </c>
      <c r="F647" s="229">
        <f>(F624/F612)*CA64</f>
        <v>110.36341691387096</v>
      </c>
      <c r="G647" s="227">
        <f>(G625/G612)*CA91</f>
        <v>0</v>
      </c>
      <c r="H647" s="229">
        <f>(H628/H612)*CA60</f>
        <v>757.29646045365178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415971.6306679197</v>
      </c>
      <c r="N647" s="223" t="s">
        <v>612</v>
      </c>
    </row>
    <row r="648" spans="1:14" s="211" customFormat="1" ht="12.65" customHeight="1" x14ac:dyDescent="0.3">
      <c r="A648" s="222"/>
      <c r="B648" s="222"/>
      <c r="C648" s="211">
        <f>SUM(C614:C647)</f>
        <v>12495260.010000002</v>
      </c>
      <c r="L648" s="225"/>
    </row>
    <row r="666" spans="1:14" s="211" customFormat="1" ht="12.65" customHeight="1" x14ac:dyDescent="0.3">
      <c r="C666" s="220" t="s">
        <v>613</v>
      </c>
      <c r="M666" s="220" t="s">
        <v>614</v>
      </c>
    </row>
    <row r="667" spans="1:14" s="211" customFormat="1" ht="12.65" customHeight="1" x14ac:dyDescent="0.3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5" customHeight="1" x14ac:dyDescent="0.3">
      <c r="A668" s="222">
        <v>6010</v>
      </c>
      <c r="B668" s="221" t="s">
        <v>342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>
        <f>(G625/G612)*C91</f>
        <v>0</v>
      </c>
      <c r="H668" s="229">
        <f>(H628/H612)*C60</f>
        <v>0</v>
      </c>
      <c r="I668" s="227">
        <f>(I629/I612)*C92</f>
        <v>0</v>
      </c>
      <c r="J668" s="227">
        <f>(J630/J612)*C93</f>
        <v>0</v>
      </c>
      <c r="K668" s="227">
        <f>(K644/K612)*C89</f>
        <v>0</v>
      </c>
      <c r="L668" s="227">
        <f>(L647/L612)*C94</f>
        <v>0</v>
      </c>
      <c r="M668" s="211">
        <f t="shared" ref="M668:M713" si="24">ROUND(SUM(D668:L668),0)</f>
        <v>0</v>
      </c>
      <c r="N668" s="221" t="s">
        <v>616</v>
      </c>
    </row>
    <row r="669" spans="1:14" s="211" customFormat="1" ht="12.65" customHeight="1" x14ac:dyDescent="0.3">
      <c r="A669" s="222">
        <v>6030</v>
      </c>
      <c r="B669" s="221" t="s">
        <v>343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617</v>
      </c>
    </row>
    <row r="670" spans="1:14" s="211" customFormat="1" ht="12.65" customHeight="1" x14ac:dyDescent="0.3">
      <c r="A670" s="222">
        <v>6070</v>
      </c>
      <c r="B670" s="221" t="s">
        <v>618</v>
      </c>
      <c r="C670" s="227">
        <f>E85</f>
        <v>3361023.38</v>
      </c>
      <c r="D670" s="227">
        <f>(D615/D612)*E90</f>
        <v>77846.428888128401</v>
      </c>
      <c r="E670" s="229">
        <f>(E623/E612)*SUM(C670:D670)</f>
        <v>311422.13212655036</v>
      </c>
      <c r="F670" s="229">
        <f>(F624/F612)*E64</f>
        <v>4598.1687062880546</v>
      </c>
      <c r="G670" s="227">
        <f>(G625/G612)*E91</f>
        <v>246272.20143154843</v>
      </c>
      <c r="H670" s="229">
        <f>(H628/H612)*E60</f>
        <v>45579.780713554173</v>
      </c>
      <c r="I670" s="227">
        <f>(I629/I612)*E92</f>
        <v>174608.56136798381</v>
      </c>
      <c r="J670" s="227">
        <f>(J630/J612)*E93</f>
        <v>63310.611046823025</v>
      </c>
      <c r="K670" s="227">
        <f>(K644/K612)*E89</f>
        <v>190902.29681988389</v>
      </c>
      <c r="L670" s="227">
        <f>(L647/L612)*E94</f>
        <v>118914.45882213191</v>
      </c>
      <c r="M670" s="211">
        <f t="shared" si="24"/>
        <v>1233455</v>
      </c>
      <c r="N670" s="221" t="s">
        <v>619</v>
      </c>
    </row>
    <row r="671" spans="1:14" s="211" customFormat="1" ht="12.65" customHeight="1" x14ac:dyDescent="0.3">
      <c r="A671" s="222">
        <v>6100</v>
      </c>
      <c r="B671" s="221" t="s">
        <v>620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621</v>
      </c>
    </row>
    <row r="672" spans="1:14" s="211" customFormat="1" ht="12.65" customHeight="1" x14ac:dyDescent="0.3">
      <c r="A672" s="222">
        <v>6120</v>
      </c>
      <c r="B672" s="221" t="s">
        <v>622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623</v>
      </c>
    </row>
    <row r="673" spans="1:14" s="211" customFormat="1" ht="12.65" customHeight="1" x14ac:dyDescent="0.3">
      <c r="A673" s="222">
        <v>6140</v>
      </c>
      <c r="B673" s="221" t="s">
        <v>624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625</v>
      </c>
    </row>
    <row r="674" spans="1:14" s="211" customFormat="1" ht="12.65" customHeight="1" x14ac:dyDescent="0.3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627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3859.5699999999997</v>
      </c>
      <c r="D675" s="227">
        <f>(D615/D612)*J90</f>
        <v>4907.6457622942407</v>
      </c>
      <c r="E675" s="229">
        <f>(E623/E612)*SUM(C675:D675)</f>
        <v>793.9541701899866</v>
      </c>
      <c r="F675" s="229">
        <f>(F624/F612)*J64</f>
        <v>42.154138658778187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505.82856237637247</v>
      </c>
      <c r="L675" s="227">
        <f>(L647/L612)*J94</f>
        <v>0</v>
      </c>
      <c r="M675" s="211">
        <f t="shared" si="24"/>
        <v>6250</v>
      </c>
      <c r="N675" s="221" t="s">
        <v>628</v>
      </c>
    </row>
    <row r="676" spans="1:14" s="211" customFormat="1" ht="12.65" customHeight="1" x14ac:dyDescent="0.3">
      <c r="A676" s="222">
        <v>6200</v>
      </c>
      <c r="B676" s="221" t="s">
        <v>348</v>
      </c>
      <c r="C676" s="227">
        <f>K85</f>
        <v>333788.42</v>
      </c>
      <c r="D676" s="227">
        <f>(D615/D612)*K90</f>
        <v>71028.621601587904</v>
      </c>
      <c r="E676" s="229">
        <f>(E623/E612)*SUM(C676:D676)</f>
        <v>36660.005531727344</v>
      </c>
      <c r="F676" s="229">
        <f>(F624/F612)*K64</f>
        <v>261.1039931849694</v>
      </c>
      <c r="G676" s="227">
        <f>(G625/G612)*K91</f>
        <v>1088926.6395443934</v>
      </c>
      <c r="H676" s="229">
        <f>(H628/H612)*K60</f>
        <v>3171.1789281496672</v>
      </c>
      <c r="I676" s="227">
        <f>(I629/I612)*K92</f>
        <v>0</v>
      </c>
      <c r="J676" s="227">
        <f>(J630/J612)*K93</f>
        <v>0</v>
      </c>
      <c r="K676" s="227">
        <f>(K644/K612)*K89</f>
        <v>117128.51436126829</v>
      </c>
      <c r="L676" s="227">
        <f>(L647/L612)*K94</f>
        <v>17096.81564580074</v>
      </c>
      <c r="M676" s="211">
        <f t="shared" si="24"/>
        <v>1334273</v>
      </c>
      <c r="N676" s="221" t="s">
        <v>629</v>
      </c>
    </row>
    <row r="677" spans="1:14" s="211" customFormat="1" ht="12.65" customHeight="1" x14ac:dyDescent="0.3">
      <c r="A677" s="222">
        <v>6210</v>
      </c>
      <c r="B677" s="221" t="s">
        <v>349</v>
      </c>
      <c r="C677" s="227">
        <f>L85</f>
        <v>3088062.4</v>
      </c>
      <c r="D677" s="227">
        <f>(D615/D612)*L90</f>
        <v>51016.006247561687</v>
      </c>
      <c r="E677" s="229">
        <f>(E623/E612)*SUM(C677:D677)</f>
        <v>284273.18988912366</v>
      </c>
      <c r="F677" s="229">
        <f>(F624/F612)*L64</f>
        <v>5840.0706461694581</v>
      </c>
      <c r="G677" s="227">
        <f>(G625/G612)*L91</f>
        <v>0</v>
      </c>
      <c r="H677" s="229">
        <f>(H628/H612)*L60</f>
        <v>67588.709095488419</v>
      </c>
      <c r="I677" s="227">
        <f>(I629/I612)*L92</f>
        <v>266528.56769139145</v>
      </c>
      <c r="J677" s="227">
        <f>(J630/J612)*L93</f>
        <v>0</v>
      </c>
      <c r="K677" s="227">
        <f>(K644/K612)*L89</f>
        <v>163174.10160140155</v>
      </c>
      <c r="L677" s="227">
        <f>(L647/L612)*L94</f>
        <v>102580.89387480442</v>
      </c>
      <c r="M677" s="211">
        <f t="shared" si="24"/>
        <v>941002</v>
      </c>
      <c r="N677" s="221" t="s">
        <v>630</v>
      </c>
    </row>
    <row r="678" spans="1:14" s="211" customFormat="1" ht="12.65" customHeight="1" x14ac:dyDescent="0.3">
      <c r="A678" s="222">
        <v>6330</v>
      </c>
      <c r="B678" s="221" t="s">
        <v>631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632</v>
      </c>
    </row>
    <row r="679" spans="1:14" s="211" customFormat="1" ht="12.65" customHeight="1" x14ac:dyDescent="0.3">
      <c r="A679" s="222">
        <v>6400</v>
      </c>
      <c r="B679" s="221" t="s">
        <v>633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0</v>
      </c>
      <c r="N679" s="221" t="s">
        <v>634</v>
      </c>
    </row>
    <row r="680" spans="1:14" s="211" customFormat="1" ht="12.65" customHeight="1" x14ac:dyDescent="0.3">
      <c r="A680" s="222">
        <v>7010</v>
      </c>
      <c r="B680" s="221" t="s">
        <v>635</v>
      </c>
      <c r="C680" s="227">
        <f>O85</f>
        <v>217894.68</v>
      </c>
      <c r="D680" s="227">
        <f>(D615/D612)*O90</f>
        <v>15457.614796208207</v>
      </c>
      <c r="E680" s="229">
        <f>(E623/E612)*SUM(C680:D680)</f>
        <v>21132.253682367475</v>
      </c>
      <c r="F680" s="229">
        <f>(F624/F612)*O64</f>
        <v>232.75250513352083</v>
      </c>
      <c r="G680" s="227">
        <f>(G625/G612)*O91</f>
        <v>0</v>
      </c>
      <c r="H680" s="229">
        <f>(H628/H612)*O60</f>
        <v>70.99654316752985</v>
      </c>
      <c r="I680" s="227">
        <f>(I629/I612)*O92</f>
        <v>18384.00126468153</v>
      </c>
      <c r="J680" s="227">
        <f>(J630/J612)*O93</f>
        <v>7176.2246536663743</v>
      </c>
      <c r="K680" s="227">
        <f>(K644/K612)*O89</f>
        <v>1480.6527979047282</v>
      </c>
      <c r="L680" s="227">
        <f>(L647/L612)*O94</f>
        <v>457.9504190839483</v>
      </c>
      <c r="M680" s="211">
        <f t="shared" si="24"/>
        <v>64392</v>
      </c>
      <c r="N680" s="221" t="s">
        <v>636</v>
      </c>
    </row>
    <row r="681" spans="1:14" s="211" customFormat="1" ht="12.65" customHeight="1" x14ac:dyDescent="0.3">
      <c r="A681" s="222">
        <v>7020</v>
      </c>
      <c r="B681" s="221" t="s">
        <v>637</v>
      </c>
      <c r="C681" s="227">
        <f>P85</f>
        <v>1286073.26</v>
      </c>
      <c r="D681" s="227">
        <f>(D615/D612)*P90</f>
        <v>183698.76443174429</v>
      </c>
      <c r="E681" s="229">
        <f>(E623/E612)*SUM(C681:D681)</f>
        <v>133101.73487971682</v>
      </c>
      <c r="F681" s="229">
        <f>(F624/F612)*P64</f>
        <v>11169.286470067544</v>
      </c>
      <c r="G681" s="227">
        <f>(G625/G612)*P91</f>
        <v>0</v>
      </c>
      <c r="H681" s="229">
        <f>(H628/H612)*P60</f>
        <v>12519.057111874432</v>
      </c>
      <c r="I681" s="227">
        <f>(I629/I612)*P92</f>
        <v>0</v>
      </c>
      <c r="J681" s="227">
        <f>(J630/J612)*P93</f>
        <v>13037.895427592954</v>
      </c>
      <c r="K681" s="227">
        <f>(K644/K612)*P89</f>
        <v>116783.22436786197</v>
      </c>
      <c r="L681" s="227">
        <f>(L647/L612)*P94</f>
        <v>13585.8624328238</v>
      </c>
      <c r="M681" s="211">
        <f t="shared" si="24"/>
        <v>483896</v>
      </c>
      <c r="N681" s="221" t="s">
        <v>638</v>
      </c>
    </row>
    <row r="682" spans="1:14" s="211" customFormat="1" ht="12.65" customHeight="1" x14ac:dyDescent="0.3">
      <c r="A682" s="222">
        <v>7030</v>
      </c>
      <c r="B682" s="221" t="s">
        <v>639</v>
      </c>
      <c r="C682" s="227">
        <f>Q85</f>
        <v>2047.78</v>
      </c>
      <c r="D682" s="227">
        <f>(D615/D612)*Q90</f>
        <v>0</v>
      </c>
      <c r="E682" s="229">
        <f>(E623/E612)*SUM(C682:D682)</f>
        <v>185.44581480748153</v>
      </c>
      <c r="F682" s="229">
        <f>(F624/F612)*Q64</f>
        <v>0</v>
      </c>
      <c r="G682" s="227">
        <f>(G625/G612)*Q91</f>
        <v>0</v>
      </c>
      <c r="H682" s="229">
        <f>(H628/H612)*Q60</f>
        <v>23.665514389176618</v>
      </c>
      <c r="I682" s="227">
        <f>(I629/I612)*Q92</f>
        <v>0</v>
      </c>
      <c r="J682" s="227">
        <f>(J630/J612)*Q93</f>
        <v>2159.3912366941545</v>
      </c>
      <c r="K682" s="227">
        <f>(K644/K612)*Q89</f>
        <v>10573.753982103484</v>
      </c>
      <c r="L682" s="227">
        <f>(L647/L612)*Q94</f>
        <v>152.65013969464945</v>
      </c>
      <c r="M682" s="211">
        <f t="shared" si="24"/>
        <v>13095</v>
      </c>
      <c r="N682" s="221" t="s">
        <v>640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772878.53</v>
      </c>
      <c r="D683" s="227">
        <f>(D615/D612)*R90</f>
        <v>0</v>
      </c>
      <c r="E683" s="229">
        <f>(E623/E612)*SUM(C683:D683)</f>
        <v>69991.448662970914</v>
      </c>
      <c r="F683" s="229">
        <f>(F624/F612)*R64</f>
        <v>1242.3526858505768</v>
      </c>
      <c r="G683" s="227">
        <f>(G625/G612)*R91</f>
        <v>0</v>
      </c>
      <c r="H683" s="229">
        <f>(H628/H612)*R60</f>
        <v>3171.1789281496672</v>
      </c>
      <c r="I683" s="227">
        <f>(I629/I612)*R92</f>
        <v>0</v>
      </c>
      <c r="J683" s="227">
        <f>(J630/J612)*R93</f>
        <v>0</v>
      </c>
      <c r="K683" s="227">
        <f>(K644/K612)*R89</f>
        <v>80791.768557068994</v>
      </c>
      <c r="L683" s="227">
        <f>(L647/L612)*R94</f>
        <v>17554.766064884683</v>
      </c>
      <c r="M683" s="211">
        <f t="shared" si="24"/>
        <v>172752</v>
      </c>
      <c r="N683" s="221" t="s">
        <v>641</v>
      </c>
    </row>
    <row r="684" spans="1:14" s="211" customFormat="1" ht="12.65" customHeight="1" x14ac:dyDescent="0.3">
      <c r="A684" s="222">
        <v>7050</v>
      </c>
      <c r="B684" s="221" t="s">
        <v>642</v>
      </c>
      <c r="C684" s="227">
        <f>S85</f>
        <v>214225.72</v>
      </c>
      <c r="D684" s="227">
        <f>(D615/D612)*S90</f>
        <v>44374.521563259303</v>
      </c>
      <c r="E684" s="229">
        <f>(E623/E612)*SUM(C684:D684)</f>
        <v>23418.693661482277</v>
      </c>
      <c r="F684" s="229">
        <f>(F624/F612)*S64</f>
        <v>5632.7672295615193</v>
      </c>
      <c r="G684" s="227">
        <f>(G625/G612)*S91</f>
        <v>0</v>
      </c>
      <c r="H684" s="229">
        <f>(H628/H612)*S60</f>
        <v>4780.4339066136772</v>
      </c>
      <c r="I684" s="227">
        <f>(I629/I612)*S92</f>
        <v>9862.6616226832248</v>
      </c>
      <c r="J684" s="227">
        <f>(J630/J612)*S93</f>
        <v>0</v>
      </c>
      <c r="K684" s="227">
        <f>(K644/K612)*S89</f>
        <v>42208.069765603374</v>
      </c>
      <c r="L684" s="227">
        <f>(L647/L612)*S94</f>
        <v>0</v>
      </c>
      <c r="M684" s="211">
        <f t="shared" si="24"/>
        <v>130277</v>
      </c>
      <c r="N684" s="221" t="s">
        <v>643</v>
      </c>
    </row>
    <row r="685" spans="1:14" s="211" customFormat="1" ht="12.65" customHeight="1" x14ac:dyDescent="0.3">
      <c r="A685" s="222">
        <v>7060</v>
      </c>
      <c r="B685" s="221" t="s">
        <v>644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24"/>
        <v>0</v>
      </c>
      <c r="N685" s="221" t="s">
        <v>645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1907535.0099999998</v>
      </c>
      <c r="D686" s="227">
        <f>(D615/D612)*U90</f>
        <v>37027.746470004451</v>
      </c>
      <c r="E686" s="229">
        <f>(E623/E612)*SUM(C686:D686)</f>
        <v>176098.51879492047</v>
      </c>
      <c r="F686" s="229">
        <f>(F624/F612)*U64</f>
        <v>44365.358970128291</v>
      </c>
      <c r="G686" s="227">
        <f>(G625/G612)*U91</f>
        <v>0</v>
      </c>
      <c r="H686" s="229">
        <f>(H628/H612)*U60</f>
        <v>20588.997518583656</v>
      </c>
      <c r="I686" s="227">
        <f>(I629/I612)*U92</f>
        <v>21540.052983940164</v>
      </c>
      <c r="J686" s="227">
        <f>(J630/J612)*U93</f>
        <v>22.833442079847554</v>
      </c>
      <c r="K686" s="227">
        <f>(K644/K612)*U89</f>
        <v>603515.32775488519</v>
      </c>
      <c r="L686" s="227">
        <f>(L647/L612)*U94</f>
        <v>0</v>
      </c>
      <c r="M686" s="211">
        <f t="shared" si="24"/>
        <v>903159</v>
      </c>
      <c r="N686" s="221" t="s">
        <v>646</v>
      </c>
    </row>
    <row r="687" spans="1:14" s="211" customFormat="1" ht="12.65" customHeight="1" x14ac:dyDescent="0.3">
      <c r="A687" s="222">
        <v>7110</v>
      </c>
      <c r="B687" s="221" t="s">
        <v>647</v>
      </c>
      <c r="C687" s="227">
        <f>V85</f>
        <v>2410</v>
      </c>
      <c r="D687" s="227">
        <f>(D615/D612)*V90</f>
        <v>6935.3556880325796</v>
      </c>
      <c r="E687" s="229">
        <f>(E623/E612)*SUM(C687:D687)</f>
        <v>846.31019945156902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1">
        <f t="shared" si="24"/>
        <v>7782</v>
      </c>
      <c r="N687" s="221" t="s">
        <v>648</v>
      </c>
    </row>
    <row r="688" spans="1:14" s="211" customFormat="1" ht="12.65" customHeight="1" x14ac:dyDescent="0.3">
      <c r="A688" s="222">
        <v>7120</v>
      </c>
      <c r="B688" s="221" t="s">
        <v>649</v>
      </c>
      <c r="C688" s="227">
        <f>W85</f>
        <v>142010.99000000002</v>
      </c>
      <c r="D688" s="227">
        <f>(D615/D612)*W90</f>
        <v>0</v>
      </c>
      <c r="E688" s="229">
        <f>(E623/E612)*SUM(C688:D688)</f>
        <v>12860.436058642586</v>
      </c>
      <c r="F688" s="229">
        <f>(F624/F612)*W64</f>
        <v>213.54234759472433</v>
      </c>
      <c r="G688" s="227">
        <f>(G625/G612)*W91</f>
        <v>0</v>
      </c>
      <c r="H688" s="229">
        <f>(H628/H612)*W60</f>
        <v>0</v>
      </c>
      <c r="I688" s="227">
        <f>(I629/I612)*W92</f>
        <v>0</v>
      </c>
      <c r="J688" s="227">
        <f>(J630/J612)*W93</f>
        <v>0</v>
      </c>
      <c r="K688" s="227">
        <f>(K644/K612)*W89</f>
        <v>107226.85054907597</v>
      </c>
      <c r="L688" s="227">
        <f>(L647/L612)*W94</f>
        <v>0</v>
      </c>
      <c r="M688" s="211">
        <f t="shared" si="24"/>
        <v>120301</v>
      </c>
      <c r="N688" s="221" t="s">
        <v>650</v>
      </c>
    </row>
    <row r="689" spans="1:14" s="211" customFormat="1" ht="12.65" customHeight="1" x14ac:dyDescent="0.3">
      <c r="A689" s="222">
        <v>7130</v>
      </c>
      <c r="B689" s="221" t="s">
        <v>651</v>
      </c>
      <c r="C689" s="227">
        <f>X85</f>
        <v>90371.8</v>
      </c>
      <c r="D689" s="227">
        <f>(D615/D612)*X90</f>
        <v>0</v>
      </c>
      <c r="E689" s="229">
        <f>(E623/E612)*SUM(C689:D689)</f>
        <v>8184.019810047349</v>
      </c>
      <c r="F689" s="229">
        <f>(F624/F612)*X64</f>
        <v>1269.8539687646576</v>
      </c>
      <c r="G689" s="227">
        <f>(G625/G612)*X91</f>
        <v>0</v>
      </c>
      <c r="H689" s="229">
        <f>(H628/H612)*X60</f>
        <v>0</v>
      </c>
      <c r="I689" s="227">
        <f>(I629/I612)*X92</f>
        <v>11914.095240201335</v>
      </c>
      <c r="J689" s="227">
        <f>(J630/J612)*X93</f>
        <v>3252.1345362297161</v>
      </c>
      <c r="K689" s="227">
        <f>(K644/K612)*X89</f>
        <v>484027.67417602375</v>
      </c>
      <c r="L689" s="227">
        <f>(L647/L612)*X94</f>
        <v>0</v>
      </c>
      <c r="M689" s="211">
        <f t="shared" si="24"/>
        <v>508648</v>
      </c>
      <c r="N689" s="221" t="s">
        <v>652</v>
      </c>
    </row>
    <row r="690" spans="1:14" s="211" customFormat="1" ht="12.65" customHeight="1" x14ac:dyDescent="0.3">
      <c r="A690" s="222">
        <v>7140</v>
      </c>
      <c r="B690" s="221" t="s">
        <v>653</v>
      </c>
      <c r="C690" s="227">
        <f>Y85</f>
        <v>2222486.9500000002</v>
      </c>
      <c r="D690" s="227">
        <f>(D615/D612)*Y90</f>
        <v>73203.267029191338</v>
      </c>
      <c r="E690" s="229">
        <f>(E623/E612)*SUM(C690:D690)</f>
        <v>207896.4258087014</v>
      </c>
      <c r="F690" s="229">
        <f>(F624/F612)*Y64</f>
        <v>1498.2413170204263</v>
      </c>
      <c r="G690" s="227">
        <f>(G625/G612)*Y91</f>
        <v>0</v>
      </c>
      <c r="H690" s="229">
        <f>(H628/H612)*Y60</f>
        <v>26481.710601488634</v>
      </c>
      <c r="I690" s="227">
        <f>(I629/I612)*Y92</f>
        <v>69748.742995615772</v>
      </c>
      <c r="J690" s="227">
        <f>(J630/J612)*Y93</f>
        <v>1901.6995332215893</v>
      </c>
      <c r="K690" s="227">
        <f>(K644/K612)*Y89</f>
        <v>451956.22390227381</v>
      </c>
      <c r="L690" s="227">
        <f>(L647/L612)*Y94</f>
        <v>0</v>
      </c>
      <c r="M690" s="211">
        <f t="shared" si="24"/>
        <v>832686</v>
      </c>
      <c r="N690" s="221" t="s">
        <v>654</v>
      </c>
    </row>
    <row r="691" spans="1:14" s="211" customFormat="1" ht="12.65" customHeight="1" x14ac:dyDescent="0.3">
      <c r="A691" s="222">
        <v>7150</v>
      </c>
      <c r="B691" s="221" t="s">
        <v>655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1">
        <f t="shared" si="24"/>
        <v>0</v>
      </c>
      <c r="N691" s="221" t="s">
        <v>656</v>
      </c>
    </row>
    <row r="692" spans="1:14" s="211" customFormat="1" ht="12.65" customHeight="1" x14ac:dyDescent="0.3">
      <c r="A692" s="222">
        <v>7160</v>
      </c>
      <c r="B692" s="221" t="s">
        <v>657</v>
      </c>
      <c r="C692" s="227">
        <f>AA85</f>
        <v>87938.94</v>
      </c>
      <c r="D692" s="227">
        <f>(D615/D612)*AA90</f>
        <v>0</v>
      </c>
      <c r="E692" s="229">
        <f>(E623/E612)*SUM(C692:D692)</f>
        <v>7963.7013651887564</v>
      </c>
      <c r="F692" s="229">
        <f>(F624/F612)*AA64</f>
        <v>781.73292396418049</v>
      </c>
      <c r="G692" s="227">
        <f>(G625/G612)*AA91</f>
        <v>0</v>
      </c>
      <c r="H692" s="229">
        <f>(H628/H612)*AA60</f>
        <v>0</v>
      </c>
      <c r="I692" s="227">
        <f>(I629/I612)*AA92</f>
        <v>0</v>
      </c>
      <c r="J692" s="227">
        <f>(J630/J612)*AA93</f>
        <v>0</v>
      </c>
      <c r="K692" s="227">
        <f>(K644/K612)*AA89</f>
        <v>18560.107554627564</v>
      </c>
      <c r="L692" s="227">
        <f>(L647/L612)*AA94</f>
        <v>0</v>
      </c>
      <c r="M692" s="211">
        <f t="shared" si="24"/>
        <v>27306</v>
      </c>
      <c r="N692" s="221" t="s">
        <v>658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1440893.4300000002</v>
      </c>
      <c r="D693" s="227">
        <f>(D615/D612)*AB90</f>
        <v>11578.517546969646</v>
      </c>
      <c r="E693" s="229">
        <f>(E623/E612)*SUM(C693:D693)</f>
        <v>131535.04956482505</v>
      </c>
      <c r="F693" s="229">
        <f>(F624/F612)*AB64</f>
        <v>64407.677360539594</v>
      </c>
      <c r="G693" s="227">
        <f>(G625/G612)*AB91</f>
        <v>0</v>
      </c>
      <c r="H693" s="229">
        <f>(H628/H612)*AB60</f>
        <v>7454.6370325906346</v>
      </c>
      <c r="I693" s="227">
        <f>(I629/I612)*AB92</f>
        <v>9625.957743738827</v>
      </c>
      <c r="J693" s="227">
        <f>(J630/J612)*AB93</f>
        <v>0</v>
      </c>
      <c r="K693" s="227">
        <f>(K644/K612)*AB89</f>
        <v>262291.92744748679</v>
      </c>
      <c r="L693" s="227">
        <f>(L647/L612)*AB94</f>
        <v>0</v>
      </c>
      <c r="M693" s="211">
        <f t="shared" si="24"/>
        <v>486894</v>
      </c>
      <c r="N693" s="221" t="s">
        <v>659</v>
      </c>
    </row>
    <row r="694" spans="1:14" s="211" customFormat="1" ht="12.65" customHeight="1" x14ac:dyDescent="0.3">
      <c r="A694" s="222">
        <v>7180</v>
      </c>
      <c r="B694" s="221" t="s">
        <v>660</v>
      </c>
      <c r="C694" s="227">
        <f>AC85</f>
        <v>115404.76000000001</v>
      </c>
      <c r="D694" s="227">
        <f>(D615/D612)*AC90</f>
        <v>22099.099480510591</v>
      </c>
      <c r="E694" s="229">
        <f>(E623/E612)*SUM(C694:D694)</f>
        <v>12452.27283230461</v>
      </c>
      <c r="F694" s="229">
        <f>(F624/F612)*AC64</f>
        <v>192.88099029299474</v>
      </c>
      <c r="G694" s="227">
        <f>(G625/G612)*AC91</f>
        <v>0</v>
      </c>
      <c r="H694" s="229">
        <f>(H628/H612)*AC60</f>
        <v>2200.8928381934256</v>
      </c>
      <c r="I694" s="227">
        <f>(I629/I612)*AC92</f>
        <v>10257.168087590555</v>
      </c>
      <c r="J694" s="227">
        <f>(J630/J612)*AC93</f>
        <v>420.78771832861923</v>
      </c>
      <c r="K694" s="227">
        <f>(K644/K612)*AC89</f>
        <v>29094.387245092163</v>
      </c>
      <c r="L694" s="227">
        <f>(L647/L612)*AC94</f>
        <v>0</v>
      </c>
      <c r="M694" s="211">
        <f t="shared" si="24"/>
        <v>76717</v>
      </c>
      <c r="N694" s="221" t="s">
        <v>661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1">
        <f t="shared" si="24"/>
        <v>0</v>
      </c>
      <c r="N695" s="221" t="s">
        <v>662</v>
      </c>
    </row>
    <row r="696" spans="1:14" s="211" customFormat="1" ht="12.65" customHeight="1" x14ac:dyDescent="0.3">
      <c r="A696" s="222">
        <v>7200</v>
      </c>
      <c r="B696" s="221" t="s">
        <v>663</v>
      </c>
      <c r="C696" s="227">
        <f>AE85</f>
        <v>1074226.5799999998</v>
      </c>
      <c r="D696" s="227">
        <f>(D615/D612)*AE90</f>
        <v>88043.752717566138</v>
      </c>
      <c r="E696" s="229">
        <f>(E623/E612)*SUM(C696:D696)</f>
        <v>105254.55316360727</v>
      </c>
      <c r="F696" s="229">
        <f>(F624/F612)*AE64</f>
        <v>1713.3735554455216</v>
      </c>
      <c r="G696" s="227">
        <f>(G625/G612)*AE91</f>
        <v>0</v>
      </c>
      <c r="H696" s="229">
        <f>(H628/H612)*AE60</f>
        <v>23121.207558225557</v>
      </c>
      <c r="I696" s="227">
        <f>(I629/I612)*AE92</f>
        <v>17437.185748903943</v>
      </c>
      <c r="J696" s="227">
        <f>(J630/J612)*AE93</f>
        <v>15892.075687573897</v>
      </c>
      <c r="K696" s="227">
        <f>(K644/K612)*AE89</f>
        <v>269789.73530037713</v>
      </c>
      <c r="L696" s="227">
        <f>(L647/L612)*AE94</f>
        <v>0</v>
      </c>
      <c r="M696" s="211">
        <f t="shared" si="24"/>
        <v>521252</v>
      </c>
      <c r="N696" s="221" t="s">
        <v>664</v>
      </c>
    </row>
    <row r="697" spans="1:14" s="211" customFormat="1" ht="12.65" customHeight="1" x14ac:dyDescent="0.3">
      <c r="A697" s="222">
        <v>7220</v>
      </c>
      <c r="B697" s="221" t="s">
        <v>665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24"/>
        <v>0</v>
      </c>
      <c r="N697" s="221" t="s">
        <v>666</v>
      </c>
    </row>
    <row r="698" spans="1:14" s="211" customFormat="1" ht="12.65" customHeight="1" x14ac:dyDescent="0.3">
      <c r="A698" s="222">
        <v>7230</v>
      </c>
      <c r="B698" s="221" t="s">
        <v>667</v>
      </c>
      <c r="C698" s="227">
        <f>AG85</f>
        <v>2634179.5500000003</v>
      </c>
      <c r="D698" s="227">
        <f>(D615/D612)*AG90</f>
        <v>46343.4572882516</v>
      </c>
      <c r="E698" s="229">
        <f>(E623/E612)*SUM(C698:D698)</f>
        <v>242746.66868353568</v>
      </c>
      <c r="F698" s="229">
        <f>(F624/F612)*AG64</f>
        <v>5394.1037400277582</v>
      </c>
      <c r="G698" s="227">
        <f>(G625/G612)*AG91</f>
        <v>0</v>
      </c>
      <c r="H698" s="229">
        <f>(H628/H612)*AG60</f>
        <v>16565.860072423635</v>
      </c>
      <c r="I698" s="227">
        <f>(I629/I612)*AG92</f>
        <v>92314.512788314983</v>
      </c>
      <c r="J698" s="227">
        <f>(J630/J612)*AG93</f>
        <v>91121.743500077355</v>
      </c>
      <c r="K698" s="227">
        <f>(K644/K612)*AG89</f>
        <v>1107050.0522511341</v>
      </c>
      <c r="L698" s="227">
        <f>(L647/L612)*AG94</f>
        <v>29461.476961067343</v>
      </c>
      <c r="M698" s="211">
        <f t="shared" si="24"/>
        <v>1630998</v>
      </c>
      <c r="N698" s="221" t="s">
        <v>668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960705.28000000014</v>
      </c>
      <c r="D699" s="227">
        <f>(D615/D612)*AH90</f>
        <v>48488.715615482019</v>
      </c>
      <c r="E699" s="229">
        <f>(E623/E612)*SUM(C699:D699)</f>
        <v>91392.045442250164</v>
      </c>
      <c r="F699" s="229">
        <f>(F624/F612)*AH64</f>
        <v>3606.5622468724732</v>
      </c>
      <c r="G699" s="227">
        <f>(G625/G612)*AH91</f>
        <v>0</v>
      </c>
      <c r="H699" s="229">
        <f>(H628/H612)*AH60</f>
        <v>13962.653489614206</v>
      </c>
      <c r="I699" s="227">
        <f>(I629/I612)*AH92</f>
        <v>5996.4982665914013</v>
      </c>
      <c r="J699" s="227">
        <f>(J630/J612)*AH93</f>
        <v>0</v>
      </c>
      <c r="K699" s="227">
        <f>(K644/K612)*AH89</f>
        <v>78300.485846461612</v>
      </c>
      <c r="L699" s="227">
        <f>(L647/L612)*AH94</f>
        <v>0</v>
      </c>
      <c r="M699" s="211">
        <f t="shared" si="24"/>
        <v>241747</v>
      </c>
      <c r="N699" s="221" t="s">
        <v>669</v>
      </c>
    </row>
    <row r="700" spans="1:14" s="211" customFormat="1" ht="12.65" customHeight="1" x14ac:dyDescent="0.3">
      <c r="A700" s="222">
        <v>7250</v>
      </c>
      <c r="B700" s="221" t="s">
        <v>670</v>
      </c>
      <c r="C700" s="227">
        <f>AI85</f>
        <v>127096.96000000001</v>
      </c>
      <c r="D700" s="227">
        <f>(D615/D612)*AI90</f>
        <v>0</v>
      </c>
      <c r="E700" s="229">
        <f>(E623/E612)*SUM(C700:D700)</f>
        <v>11509.829819001012</v>
      </c>
      <c r="F700" s="229">
        <f>(F624/F612)*AI64</f>
        <v>0</v>
      </c>
      <c r="G700" s="227">
        <f>(G625/G612)*AI91</f>
        <v>0</v>
      </c>
      <c r="H700" s="229">
        <f>(H628/H612)*AI60</f>
        <v>1845.9101223557764</v>
      </c>
      <c r="I700" s="227">
        <f>(I629/I612)*AI92</f>
        <v>0</v>
      </c>
      <c r="J700" s="227">
        <f>(J630/J612)*AI93</f>
        <v>0</v>
      </c>
      <c r="K700" s="227">
        <f>(K644/K612)*AI89</f>
        <v>145389.09891085059</v>
      </c>
      <c r="L700" s="227">
        <f>(L647/L612)*AI94</f>
        <v>9922.2590801522147</v>
      </c>
      <c r="M700" s="211">
        <f t="shared" si="24"/>
        <v>168667</v>
      </c>
      <c r="N700" s="221" t="s">
        <v>671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6445733.7299999995</v>
      </c>
      <c r="D701" s="227">
        <f>(D615/D612)*AJ90</f>
        <v>409274.14689504122</v>
      </c>
      <c r="E701" s="229">
        <f>(E623/E612)*SUM(C701:D701)</f>
        <v>620785.69047578587</v>
      </c>
      <c r="F701" s="229">
        <f>(F624/F612)*AJ64</f>
        <v>10892.646910281577</v>
      </c>
      <c r="G701" s="227">
        <f>(G625/G612)*AJ91</f>
        <v>0</v>
      </c>
      <c r="H701" s="229">
        <f>(H628/H612)*AJ60</f>
        <v>80841.39715342733</v>
      </c>
      <c r="I701" s="227">
        <f>(I629/I612)*AJ92</f>
        <v>292329.29049633077</v>
      </c>
      <c r="J701" s="227">
        <f>(J630/J612)*AJ93</f>
        <v>1190.6009084491939</v>
      </c>
      <c r="K701" s="227">
        <f>(K644/K612)*AJ89</f>
        <v>453959.25658357335</v>
      </c>
      <c r="L701" s="227">
        <f>(L647/L612)*AJ94</f>
        <v>106244.49722747601</v>
      </c>
      <c r="M701" s="211">
        <f t="shared" si="24"/>
        <v>1975518</v>
      </c>
      <c r="N701" s="221" t="s">
        <v>672</v>
      </c>
    </row>
    <row r="702" spans="1:14" s="211" customFormat="1" ht="12.65" customHeight="1" x14ac:dyDescent="0.3">
      <c r="A702" s="222">
        <v>7310</v>
      </c>
      <c r="B702" s="221" t="s">
        <v>673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674</v>
      </c>
    </row>
    <row r="703" spans="1:14" s="211" customFormat="1" ht="12.65" customHeight="1" x14ac:dyDescent="0.3">
      <c r="A703" s="222">
        <v>7320</v>
      </c>
      <c r="B703" s="221" t="s">
        <v>675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676</v>
      </c>
    </row>
    <row r="704" spans="1:14" s="211" customFormat="1" ht="12.65" customHeight="1" x14ac:dyDescent="0.3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678</v>
      </c>
    </row>
    <row r="705" spans="1:14" s="211" customFormat="1" ht="12.65" customHeight="1" x14ac:dyDescent="0.3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680</v>
      </c>
    </row>
    <row r="706" spans="1:14" s="211" customFormat="1" ht="12.65" customHeight="1" x14ac:dyDescent="0.3">
      <c r="A706" s="222">
        <v>7350</v>
      </c>
      <c r="B706" s="221" t="s">
        <v>681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682</v>
      </c>
    </row>
    <row r="707" spans="1:14" s="211" customFormat="1" ht="12.65" customHeight="1" x14ac:dyDescent="0.3">
      <c r="A707" s="222">
        <v>7380</v>
      </c>
      <c r="B707" s="221" t="s">
        <v>683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1">
        <f t="shared" si="24"/>
        <v>0</v>
      </c>
      <c r="N707" s="221" t="s">
        <v>684</v>
      </c>
    </row>
    <row r="708" spans="1:14" s="211" customFormat="1" ht="12.65" customHeight="1" x14ac:dyDescent="0.3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686</v>
      </c>
    </row>
    <row r="709" spans="1:14" s="211" customFormat="1" ht="12.65" customHeight="1" x14ac:dyDescent="0.3">
      <c r="A709" s="222">
        <v>7400</v>
      </c>
      <c r="B709" s="221" t="s">
        <v>687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688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689</v>
      </c>
    </row>
    <row r="711" spans="1:14" s="211" customFormat="1" ht="12.65" customHeight="1" x14ac:dyDescent="0.3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691</v>
      </c>
    </row>
    <row r="712" spans="1:14" s="211" customFormat="1" ht="12.65" customHeight="1" x14ac:dyDescent="0.3">
      <c r="A712" s="222">
        <v>7430</v>
      </c>
      <c r="B712" s="221" t="s">
        <v>692</v>
      </c>
      <c r="C712" s="227">
        <f>AU85</f>
        <v>1846593.8599999999</v>
      </c>
      <c r="D712" s="227">
        <f>(D615/D612)*AU90</f>
        <v>56129.361712467064</v>
      </c>
      <c r="E712" s="229">
        <f>(E623/E612)*SUM(C712:D712)</f>
        <v>172309.55386007519</v>
      </c>
      <c r="F712" s="229">
        <f>(F624/F612)*AU64</f>
        <v>1892.204129318003</v>
      </c>
      <c r="G712" s="227">
        <f>(G625/G612)*AU91</f>
        <v>0</v>
      </c>
      <c r="H712" s="229">
        <f>(H628/H612)*AU60</f>
        <v>42550.594871739566</v>
      </c>
      <c r="I712" s="227">
        <f>(I629/I612)*AU92</f>
        <v>0</v>
      </c>
      <c r="J712" s="227">
        <f>(J630/J612)*AU93</f>
        <v>0</v>
      </c>
      <c r="K712" s="227">
        <f>(K644/K612)*AU89</f>
        <v>120417.74786566901</v>
      </c>
      <c r="L712" s="227">
        <f>(L647/L612)*AU94</f>
        <v>0</v>
      </c>
      <c r="M712" s="211">
        <f t="shared" si="24"/>
        <v>393299</v>
      </c>
      <c r="N712" s="221" t="s">
        <v>693</v>
      </c>
    </row>
    <row r="713" spans="1:14" s="211" customFormat="1" ht="12.65" customHeight="1" x14ac:dyDescent="0.3">
      <c r="A713" s="222">
        <v>7490</v>
      </c>
      <c r="B713" s="221" t="s">
        <v>694</v>
      </c>
      <c r="C713" s="227">
        <f>AV85</f>
        <v>427133.47</v>
      </c>
      <c r="D713" s="227">
        <f>(D615/D612)*AV90</f>
        <v>0</v>
      </c>
      <c r="E713" s="229">
        <f>(E623/E612)*SUM(C713:D713)</f>
        <v>38680.968842208131</v>
      </c>
      <c r="F713" s="229">
        <f>(F624/F612)*AV64</f>
        <v>8986.4869923026145</v>
      </c>
      <c r="G713" s="227">
        <f>(G625/G612)*AV91</f>
        <v>0</v>
      </c>
      <c r="H713" s="229">
        <f>(H628/H612)*AV60</f>
        <v>0</v>
      </c>
      <c r="I713" s="227">
        <f>(I629/I612)*AV92</f>
        <v>0</v>
      </c>
      <c r="J713" s="227">
        <f>(J630/J612)*AV93</f>
        <v>0</v>
      </c>
      <c r="K713" s="227">
        <f>(K644/K612)*AV89</f>
        <v>173229.04746315299</v>
      </c>
      <c r="L713" s="227">
        <f>(L647/L612)*AV94</f>
        <v>0</v>
      </c>
      <c r="M713" s="211">
        <f t="shared" si="24"/>
        <v>220897</v>
      </c>
      <c r="N713" s="223" t="s">
        <v>695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41299835.060000002</v>
      </c>
      <c r="D715" s="211">
        <f>SUM(D616:D647)+SUM(D668:D713)</f>
        <v>1717440.9200000002</v>
      </c>
      <c r="E715" s="211">
        <f>SUM(E624:E647)+SUM(E668:E713)</f>
        <v>3429515.0599342943</v>
      </c>
      <c r="F715" s="211">
        <f>SUM(F625:F648)+SUM(F668:F713)</f>
        <v>211954.36087713318</v>
      </c>
      <c r="G715" s="211">
        <f>SUM(G626:G647)+SUM(G668:G713)</f>
        <v>1335198.8409759419</v>
      </c>
      <c r="H715" s="211">
        <f>SUM(H629:H647)+SUM(H668:H713)</f>
        <v>495224.55410790991</v>
      </c>
      <c r="I715" s="211">
        <f>SUM(I630:I647)+SUM(I668:I713)</f>
        <v>1115900.9866368705</v>
      </c>
      <c r="J715" s="211">
        <f>SUM(J631:J647)+SUM(J668:J713)</f>
        <v>199485.99769073672</v>
      </c>
      <c r="K715" s="211">
        <f>SUM(K668:K713)</f>
        <v>5028356.1336661568</v>
      </c>
      <c r="L715" s="211">
        <f>SUM(L668:L713)</f>
        <v>415971.63066791976</v>
      </c>
      <c r="M715" s="211">
        <f>SUM(M668:M713)</f>
        <v>12495263</v>
      </c>
      <c r="N715" s="221" t="s">
        <v>696</v>
      </c>
    </row>
    <row r="716" spans="1:14" s="211" customFormat="1" ht="12.65" customHeight="1" x14ac:dyDescent="0.3">
      <c r="C716" s="224">
        <f>CE85</f>
        <v>41299835.06000001</v>
      </c>
      <c r="D716" s="211">
        <f>D615</f>
        <v>1717440.92</v>
      </c>
      <c r="E716" s="211">
        <f>E623</f>
        <v>3429515.0599342939</v>
      </c>
      <c r="F716" s="211">
        <f>F624</f>
        <v>211954.36087713321</v>
      </c>
      <c r="G716" s="211">
        <f>G625</f>
        <v>1335198.8409759419</v>
      </c>
      <c r="H716" s="211">
        <f>H628</f>
        <v>495224.55410791002</v>
      </c>
      <c r="I716" s="211">
        <f>I629</f>
        <v>1115900.9866368708</v>
      </c>
      <c r="J716" s="211">
        <f>J630</f>
        <v>199485.99769073672</v>
      </c>
      <c r="K716" s="211">
        <f>K644</f>
        <v>5028356.1336661559</v>
      </c>
      <c r="L716" s="211">
        <f>L647</f>
        <v>415971.6306679197</v>
      </c>
      <c r="M716" s="211">
        <f>C648</f>
        <v>12495260.010000002</v>
      </c>
      <c r="N716" s="221" t="s">
        <v>697</v>
      </c>
    </row>
  </sheetData>
  <sheetProtection algorithmName="SHA-512" hashValue="68ICipC1FeGahmK1WpYEswJZRckU9qvT+jApDoprplsEcic2Jfyau0nLgLTWUfGGFRXW5dxOAPB8+rIZeqi+tw==" saltValue="DYc1xquks8V2sw00oxCTU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94A3-23EB-48C0-9415-943785744CF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904</v>
      </c>
      <c r="B1" s="178"/>
      <c r="C1" s="178"/>
    </row>
    <row r="2" spans="1:3" ht="20.149999999999999" customHeight="1" x14ac:dyDescent="0.35">
      <c r="A2" s="177"/>
      <c r="B2" s="178"/>
      <c r="C2" s="103" t="s">
        <v>905</v>
      </c>
    </row>
    <row r="3" spans="1:3" ht="20.149999999999999" customHeight="1" x14ac:dyDescent="0.35">
      <c r="A3" s="129" t="str">
        <f>"Hospital: "&amp;data!C98</f>
        <v>Hospital: Forks Community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906</v>
      </c>
      <c r="C4" s="182"/>
    </row>
    <row r="5" spans="1:3" ht="20.149999999999999" customHeight="1" x14ac:dyDescent="0.35">
      <c r="A5" s="183">
        <v>1</v>
      </c>
      <c r="B5" s="184" t="s">
        <v>423</v>
      </c>
      <c r="C5" s="184"/>
    </row>
    <row r="6" spans="1:3" ht="20.149999999999999" customHeight="1" x14ac:dyDescent="0.35">
      <c r="A6" s="183">
        <v>2</v>
      </c>
      <c r="B6" s="185" t="s">
        <v>424</v>
      </c>
      <c r="C6" s="185">
        <f>data!C266</f>
        <v>3646615.04</v>
      </c>
    </row>
    <row r="7" spans="1:3" ht="20.149999999999999" customHeight="1" x14ac:dyDescent="0.35">
      <c r="A7" s="183">
        <v>3</v>
      </c>
      <c r="B7" s="185" t="s">
        <v>425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426</v>
      </c>
      <c r="C8" s="185">
        <f>data!C268</f>
        <v>23537001.629999999</v>
      </c>
    </row>
    <row r="9" spans="1:3" ht="20.149999999999999" customHeight="1" x14ac:dyDescent="0.35">
      <c r="A9" s="183">
        <v>5</v>
      </c>
      <c r="B9" s="185" t="s">
        <v>907</v>
      </c>
      <c r="C9" s="185">
        <f>data!C269</f>
        <v>14335604.140000001</v>
      </c>
    </row>
    <row r="10" spans="1:3" ht="20.149999999999999" customHeight="1" x14ac:dyDescent="0.35">
      <c r="A10" s="183">
        <v>6</v>
      </c>
      <c r="B10" s="185" t="s">
        <v>908</v>
      </c>
      <c r="C10" s="185">
        <f>data!C270</f>
        <v>1534310.77</v>
      </c>
    </row>
    <row r="11" spans="1:3" ht="20.149999999999999" customHeight="1" x14ac:dyDescent="0.35">
      <c r="A11" s="183">
        <v>7</v>
      </c>
      <c r="B11" s="185" t="s">
        <v>909</v>
      </c>
      <c r="C11" s="185">
        <f>data!C271</f>
        <v>93896.36</v>
      </c>
    </row>
    <row r="12" spans="1:3" ht="20.149999999999999" customHeight="1" x14ac:dyDescent="0.35">
      <c r="A12" s="183">
        <v>8</v>
      </c>
      <c r="B12" s="185" t="s">
        <v>430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431</v>
      </c>
      <c r="C13" s="185">
        <f>data!C273</f>
        <v>847555.1</v>
      </c>
    </row>
    <row r="14" spans="1:3" ht="20.149999999999999" customHeight="1" x14ac:dyDescent="0.35">
      <c r="A14" s="183">
        <v>10</v>
      </c>
      <c r="B14" s="185" t="s">
        <v>432</v>
      </c>
      <c r="C14" s="185">
        <f>data!C274</f>
        <v>702555</v>
      </c>
    </row>
    <row r="15" spans="1:3" ht="20.149999999999999" customHeight="1" x14ac:dyDescent="0.35">
      <c r="A15" s="183">
        <v>11</v>
      </c>
      <c r="B15" s="185" t="s">
        <v>910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911</v>
      </c>
      <c r="C16" s="185">
        <f>data!D276</f>
        <v>16026329.759999998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912</v>
      </c>
      <c r="C18" s="184"/>
    </row>
    <row r="19" spans="1:3" ht="20.149999999999999" customHeight="1" x14ac:dyDescent="0.35">
      <c r="A19" s="183">
        <v>15</v>
      </c>
      <c r="B19" s="185" t="s">
        <v>424</v>
      </c>
      <c r="C19" s="185">
        <f>data!C278</f>
        <v>585215.18000000005</v>
      </c>
    </row>
    <row r="20" spans="1:3" ht="20.149999999999999" customHeight="1" x14ac:dyDescent="0.35">
      <c r="A20" s="183">
        <v>16</v>
      </c>
      <c r="B20" s="185" t="s">
        <v>425</v>
      </c>
      <c r="C20" s="185">
        <f>data!C279</f>
        <v>50667.76</v>
      </c>
    </row>
    <row r="21" spans="1:3" ht="20.149999999999999" customHeight="1" x14ac:dyDescent="0.35">
      <c r="A21" s="183">
        <v>17</v>
      </c>
      <c r="B21" s="185" t="s">
        <v>436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913</v>
      </c>
      <c r="C22" s="185">
        <f>data!D281</f>
        <v>635882.94000000006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914</v>
      </c>
      <c r="C24" s="184"/>
    </row>
    <row r="25" spans="1:3" ht="20.149999999999999" customHeight="1" x14ac:dyDescent="0.35">
      <c r="A25" s="183">
        <v>21</v>
      </c>
      <c r="B25" s="185" t="s">
        <v>393</v>
      </c>
      <c r="C25" s="185">
        <f>data!C283</f>
        <v>510757.18</v>
      </c>
    </row>
    <row r="26" spans="1:3" ht="20.149999999999999" customHeight="1" x14ac:dyDescent="0.35">
      <c r="A26" s="183">
        <v>22</v>
      </c>
      <c r="B26" s="185" t="s">
        <v>394</v>
      </c>
      <c r="C26" s="185">
        <f>data!C284</f>
        <v>1026719.54</v>
      </c>
    </row>
    <row r="27" spans="1:3" ht="20.149999999999999" customHeight="1" x14ac:dyDescent="0.35">
      <c r="A27" s="183">
        <v>23</v>
      </c>
      <c r="B27" s="185" t="s">
        <v>395</v>
      </c>
      <c r="C27" s="185">
        <f>data!C285</f>
        <v>27740566.41</v>
      </c>
    </row>
    <row r="28" spans="1:3" ht="20.149999999999999" customHeight="1" x14ac:dyDescent="0.35">
      <c r="A28" s="183">
        <v>24</v>
      </c>
      <c r="B28" s="185" t="s">
        <v>915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397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441</v>
      </c>
      <c r="C30" s="185">
        <f>data!C288</f>
        <v>19053078.260000002</v>
      </c>
    </row>
    <row r="31" spans="1:3" ht="20.149999999999999" customHeight="1" x14ac:dyDescent="0.35">
      <c r="A31" s="183">
        <v>27</v>
      </c>
      <c r="B31" s="185" t="s">
        <v>400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401</v>
      </c>
      <c r="C32" s="185">
        <f>data!C290</f>
        <v>288261.5</v>
      </c>
    </row>
    <row r="33" spans="1:3" ht="20.149999999999999" customHeight="1" x14ac:dyDescent="0.35">
      <c r="A33" s="183">
        <v>29</v>
      </c>
      <c r="B33" s="185" t="s">
        <v>614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916</v>
      </c>
      <c r="C34" s="185">
        <f>data!C292</f>
        <v>31775049.440000001</v>
      </c>
    </row>
    <row r="35" spans="1:3" ht="20.149999999999999" customHeight="1" x14ac:dyDescent="0.35">
      <c r="A35" s="183">
        <v>31</v>
      </c>
      <c r="B35" s="185" t="s">
        <v>917</v>
      </c>
      <c r="C35" s="185">
        <f>data!D293</f>
        <v>16844333.449999999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918</v>
      </c>
      <c r="C37" s="184"/>
    </row>
    <row r="38" spans="1:3" ht="20.149999999999999" customHeight="1" x14ac:dyDescent="0.35">
      <c r="A38" s="183">
        <v>34</v>
      </c>
      <c r="B38" s="185" t="s">
        <v>919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920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448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436</v>
      </c>
      <c r="C41" s="185">
        <f>data!C298</f>
        <v>895418</v>
      </c>
    </row>
    <row r="42" spans="1:3" ht="20.149999999999999" customHeight="1" x14ac:dyDescent="0.35">
      <c r="A42" s="183">
        <v>38</v>
      </c>
      <c r="B42" s="185" t="s">
        <v>921</v>
      </c>
      <c r="C42" s="185">
        <f>data!D299</f>
        <v>895418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922</v>
      </c>
      <c r="C44" s="184"/>
    </row>
    <row r="45" spans="1:3" ht="20.149999999999999" customHeight="1" x14ac:dyDescent="0.35">
      <c r="A45" s="183">
        <v>41</v>
      </c>
      <c r="B45" s="185" t="s">
        <v>451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452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923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454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924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925</v>
      </c>
      <c r="C50" s="185">
        <f>data!D308</f>
        <v>34401964.149999999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926</v>
      </c>
      <c r="B53" s="178"/>
      <c r="C53" s="178"/>
    </row>
    <row r="54" spans="1:3" ht="20.149999999999999" customHeight="1" x14ac:dyDescent="0.35">
      <c r="A54" s="177"/>
      <c r="B54" s="178"/>
      <c r="C54" s="103" t="s">
        <v>927</v>
      </c>
    </row>
    <row r="55" spans="1:3" ht="20.149999999999999" customHeight="1" x14ac:dyDescent="0.35">
      <c r="A55" s="129" t="str">
        <f>"Hospital: "&amp;data!C98</f>
        <v>Hospital: Forks Community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928</v>
      </c>
      <c r="C56" s="182"/>
    </row>
    <row r="57" spans="1:3" ht="20.149999999999999" customHeight="1" x14ac:dyDescent="0.35">
      <c r="A57" s="192">
        <v>1</v>
      </c>
      <c r="B57" s="177" t="s">
        <v>458</v>
      </c>
      <c r="C57" s="193"/>
    </row>
    <row r="58" spans="1:3" ht="20.149999999999999" customHeight="1" x14ac:dyDescent="0.35">
      <c r="A58" s="183">
        <v>2</v>
      </c>
      <c r="B58" s="185" t="s">
        <v>459</v>
      </c>
      <c r="C58" s="185">
        <f>data!C314</f>
        <v>1013280.45</v>
      </c>
    </row>
    <row r="59" spans="1:3" ht="20.149999999999999" customHeight="1" x14ac:dyDescent="0.35">
      <c r="A59" s="183">
        <v>3</v>
      </c>
      <c r="B59" s="185" t="s">
        <v>929</v>
      </c>
      <c r="C59" s="185">
        <f>data!C315</f>
        <v>787281.67</v>
      </c>
    </row>
    <row r="60" spans="1:3" ht="20.149999999999999" customHeight="1" x14ac:dyDescent="0.35">
      <c r="A60" s="183">
        <v>4</v>
      </c>
      <c r="B60" s="185" t="s">
        <v>930</v>
      </c>
      <c r="C60" s="185">
        <f>data!C316</f>
        <v>3284016.4899999998</v>
      </c>
    </row>
    <row r="61" spans="1:3" ht="20.149999999999999" customHeight="1" x14ac:dyDescent="0.35">
      <c r="A61" s="183">
        <v>5</v>
      </c>
      <c r="B61" s="185" t="s">
        <v>462</v>
      </c>
      <c r="C61" s="185">
        <f>data!C317</f>
        <v>55097.15</v>
      </c>
    </row>
    <row r="62" spans="1:3" ht="20.149999999999999" customHeight="1" x14ac:dyDescent="0.35">
      <c r="A62" s="183">
        <v>6</v>
      </c>
      <c r="B62" s="185" t="s">
        <v>931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932</v>
      </c>
      <c r="C63" s="185">
        <f>data!C319</f>
        <v>540800.73</v>
      </c>
    </row>
    <row r="64" spans="1:3" ht="20.149999999999999" customHeight="1" x14ac:dyDescent="0.35">
      <c r="A64" s="183">
        <v>8</v>
      </c>
      <c r="B64" s="185" t="s">
        <v>465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466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467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933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934</v>
      </c>
      <c r="C68" s="185">
        <f>data!D324</f>
        <v>5680476.4900000002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935</v>
      </c>
      <c r="C70" s="184"/>
    </row>
    <row r="71" spans="1:3" ht="20.149999999999999" customHeight="1" x14ac:dyDescent="0.35">
      <c r="A71" s="183">
        <v>15</v>
      </c>
      <c r="B71" s="185" t="s">
        <v>471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936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473</v>
      </c>
      <c r="C73" s="185">
        <f>data!C328</f>
        <v>3770318</v>
      </c>
    </row>
    <row r="74" spans="1:3" ht="20.149999999999999" customHeight="1" x14ac:dyDescent="0.35">
      <c r="A74" s="183">
        <v>18</v>
      </c>
      <c r="B74" s="185" t="s">
        <v>937</v>
      </c>
      <c r="C74" s="185">
        <f>data!D329</f>
        <v>3770318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475</v>
      </c>
      <c r="C76" s="184"/>
    </row>
    <row r="77" spans="1:3" ht="20.149999999999999" customHeight="1" x14ac:dyDescent="0.35">
      <c r="A77" s="183">
        <v>21</v>
      </c>
      <c r="B77" s="185" t="s">
        <v>476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938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478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939</v>
      </c>
      <c r="C80" s="185">
        <f>data!C334</f>
        <v>169899.9</v>
      </c>
    </row>
    <row r="81" spans="1:3" ht="20.149999999999999" customHeight="1" x14ac:dyDescent="0.35">
      <c r="A81" s="183">
        <v>25</v>
      </c>
      <c r="B81" s="185" t="s">
        <v>480</v>
      </c>
      <c r="C81" s="185">
        <f>data!C335</f>
        <v>14815000</v>
      </c>
    </row>
    <row r="82" spans="1:3" ht="20.149999999999999" customHeight="1" x14ac:dyDescent="0.35">
      <c r="A82" s="183">
        <v>26</v>
      </c>
      <c r="B82" s="185" t="s">
        <v>940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482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483</v>
      </c>
      <c r="C84" s="185">
        <f>data!C338</f>
        <v>3280746</v>
      </c>
    </row>
    <row r="85" spans="1:3" ht="20.149999999999999" customHeight="1" x14ac:dyDescent="0.35">
      <c r="A85" s="183">
        <v>29</v>
      </c>
      <c r="B85" s="185" t="s">
        <v>614</v>
      </c>
      <c r="C85" s="185">
        <f>data!D339</f>
        <v>18265645.899999999</v>
      </c>
    </row>
    <row r="86" spans="1:3" ht="20.149999999999999" customHeight="1" x14ac:dyDescent="0.35">
      <c r="A86" s="183">
        <v>30</v>
      </c>
      <c r="B86" s="185" t="s">
        <v>941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942</v>
      </c>
      <c r="C87" s="185">
        <f>data!D341</f>
        <v>18265645.899999999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943</v>
      </c>
      <c r="C89" s="185">
        <f>data!C343</f>
        <v>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944</v>
      </c>
      <c r="C91" s="184"/>
    </row>
    <row r="92" spans="1:3" ht="20.149999999999999" customHeight="1" x14ac:dyDescent="0.35">
      <c r="A92" s="183">
        <v>36</v>
      </c>
      <c r="B92" s="185" t="s">
        <v>487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488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945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946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947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948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949</v>
      </c>
      <c r="C102" s="185">
        <f>data!C343+data!C345+data!C346+data!C347+data!C348-data!C349</f>
        <v>0</v>
      </c>
    </row>
    <row r="103" spans="1:3" ht="20.149999999999999" customHeight="1" x14ac:dyDescent="0.35">
      <c r="A103" s="183">
        <v>47</v>
      </c>
      <c r="B103" s="185" t="s">
        <v>950</v>
      </c>
      <c r="C103" s="185">
        <f>data!D352</f>
        <v>34401964.149999999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951</v>
      </c>
      <c r="B106" s="178"/>
      <c r="C106" s="178"/>
    </row>
    <row r="107" spans="1:3" ht="20.149999999999999" customHeight="1" x14ac:dyDescent="0.35">
      <c r="A107" s="179"/>
      <c r="C107" s="103" t="s">
        <v>952</v>
      </c>
    </row>
    <row r="108" spans="1:3" ht="20.149999999999999" customHeight="1" x14ac:dyDescent="0.35">
      <c r="A108" s="129" t="str">
        <f>"Hospital: "&amp;data!C98</f>
        <v>Hospital: Forks Community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953</v>
      </c>
      <c r="C110" s="184"/>
    </row>
    <row r="111" spans="1:3" ht="20.149999999999999" customHeight="1" x14ac:dyDescent="0.35">
      <c r="A111" s="183">
        <v>2</v>
      </c>
      <c r="B111" s="185" t="s">
        <v>496</v>
      </c>
      <c r="C111" s="185">
        <f>data!C358</f>
        <v>7861782</v>
      </c>
    </row>
    <row r="112" spans="1:3" ht="20.149999999999999" customHeight="1" x14ac:dyDescent="0.35">
      <c r="A112" s="183">
        <v>3</v>
      </c>
      <c r="B112" s="185" t="s">
        <v>497</v>
      </c>
      <c r="C112" s="185">
        <f>data!C359</f>
        <v>60670305</v>
      </c>
    </row>
    <row r="113" spans="1:3" ht="20.149999999999999" customHeight="1" x14ac:dyDescent="0.35">
      <c r="A113" s="183">
        <v>4</v>
      </c>
      <c r="B113" s="185" t="s">
        <v>954</v>
      </c>
      <c r="C113" s="185">
        <f>data!D360</f>
        <v>68532087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955</v>
      </c>
      <c r="C115" s="184"/>
    </row>
    <row r="116" spans="1:3" ht="20.149999999999999" customHeight="1" x14ac:dyDescent="0.35">
      <c r="A116" s="183">
        <v>7</v>
      </c>
      <c r="B116" s="197" t="s">
        <v>956</v>
      </c>
      <c r="C116" s="198">
        <f>data!C362</f>
        <v>961744</v>
      </c>
    </row>
    <row r="117" spans="1:3" ht="20.149999999999999" customHeight="1" x14ac:dyDescent="0.35">
      <c r="A117" s="183">
        <v>8</v>
      </c>
      <c r="B117" s="185" t="s">
        <v>500</v>
      </c>
      <c r="C117" s="198">
        <f>data!C363</f>
        <v>28357183</v>
      </c>
    </row>
    <row r="118" spans="1:3" ht="20.149999999999999" customHeight="1" x14ac:dyDescent="0.35">
      <c r="A118" s="183">
        <v>9</v>
      </c>
      <c r="B118" s="185" t="s">
        <v>957</v>
      </c>
      <c r="C118" s="198">
        <f>data!C364</f>
        <v>902747</v>
      </c>
    </row>
    <row r="119" spans="1:3" ht="20.149999999999999" customHeight="1" x14ac:dyDescent="0.35">
      <c r="A119" s="183">
        <v>10</v>
      </c>
      <c r="B119" s="185" t="s">
        <v>958</v>
      </c>
      <c r="C119" s="198">
        <f>data!C365</f>
        <v>1521330</v>
      </c>
    </row>
    <row r="120" spans="1:3" ht="20.149999999999999" customHeight="1" x14ac:dyDescent="0.35">
      <c r="A120" s="183">
        <v>11</v>
      </c>
      <c r="B120" s="185" t="s">
        <v>902</v>
      </c>
      <c r="C120" s="198">
        <f>data!D366</f>
        <v>31743004</v>
      </c>
    </row>
    <row r="121" spans="1:3" ht="20.149999999999999" customHeight="1" x14ac:dyDescent="0.35">
      <c r="A121" s="183">
        <v>12</v>
      </c>
      <c r="B121" s="185" t="s">
        <v>959</v>
      </c>
      <c r="C121" s="198">
        <f>data!D367</f>
        <v>36789083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504</v>
      </c>
      <c r="C123" s="184"/>
    </row>
    <row r="124" spans="1:3" ht="20.149999999999999" customHeight="1" x14ac:dyDescent="0.35">
      <c r="A124" s="183">
        <v>15</v>
      </c>
      <c r="B124" s="199" t="s">
        <v>505</v>
      </c>
      <c r="C124" s="200"/>
    </row>
    <row r="125" spans="1:3" ht="20.149999999999999" customHeight="1" x14ac:dyDescent="0.35">
      <c r="A125" s="204" t="s">
        <v>960</v>
      </c>
      <c r="B125" s="201" t="s">
        <v>506</v>
      </c>
      <c r="C125" s="200">
        <f>data!C370</f>
        <v>72807</v>
      </c>
    </row>
    <row r="126" spans="1:3" ht="20.149999999999999" customHeight="1" x14ac:dyDescent="0.35">
      <c r="A126" s="204" t="s">
        <v>961</v>
      </c>
      <c r="B126" s="201" t="s">
        <v>507</v>
      </c>
      <c r="C126" s="200">
        <f>data!C371</f>
        <v>69246</v>
      </c>
    </row>
    <row r="127" spans="1:3" ht="20.149999999999999" customHeight="1" x14ac:dyDescent="0.35">
      <c r="A127" s="204" t="s">
        <v>962</v>
      </c>
      <c r="B127" s="201" t="s">
        <v>508</v>
      </c>
      <c r="C127" s="200">
        <f>data!C372</f>
        <v>0</v>
      </c>
    </row>
    <row r="128" spans="1:3" ht="20.149999999999999" customHeight="1" x14ac:dyDescent="0.35">
      <c r="A128" s="204" t="s">
        <v>963</v>
      </c>
      <c r="B128" s="201" t="s">
        <v>509</v>
      </c>
      <c r="C128" s="200">
        <f>data!C373</f>
        <v>0</v>
      </c>
    </row>
    <row r="129" spans="1:3" ht="20.149999999999999" customHeight="1" x14ac:dyDescent="0.35">
      <c r="A129" s="204" t="s">
        <v>964</v>
      </c>
      <c r="B129" s="201" t="s">
        <v>510</v>
      </c>
      <c r="C129" s="200">
        <f>data!C374</f>
        <v>0</v>
      </c>
    </row>
    <row r="130" spans="1:3" ht="20.149999999999999" customHeight="1" x14ac:dyDescent="0.35">
      <c r="A130" s="204" t="s">
        <v>965</v>
      </c>
      <c r="B130" s="201" t="s">
        <v>511</v>
      </c>
      <c r="C130" s="200">
        <f>data!C375</f>
        <v>0</v>
      </c>
    </row>
    <row r="131" spans="1:3" ht="20.149999999999999" customHeight="1" x14ac:dyDescent="0.35">
      <c r="A131" s="204" t="s">
        <v>966</v>
      </c>
      <c r="B131" s="201" t="s">
        <v>512</v>
      </c>
      <c r="C131" s="200">
        <f>data!C376</f>
        <v>0</v>
      </c>
    </row>
    <row r="132" spans="1:3" ht="20.149999999999999" customHeight="1" x14ac:dyDescent="0.35">
      <c r="A132" s="204" t="s">
        <v>967</v>
      </c>
      <c r="B132" s="201" t="s">
        <v>513</v>
      </c>
      <c r="C132" s="200">
        <f>data!C377</f>
        <v>0</v>
      </c>
    </row>
    <row r="133" spans="1:3" ht="20.149999999999999" customHeight="1" x14ac:dyDescent="0.35">
      <c r="A133" s="204" t="s">
        <v>968</v>
      </c>
      <c r="B133" s="201" t="s">
        <v>514</v>
      </c>
      <c r="C133" s="200">
        <f>data!C378</f>
        <v>0</v>
      </c>
    </row>
    <row r="134" spans="1:3" ht="20.149999999999999" customHeight="1" x14ac:dyDescent="0.35">
      <c r="A134" s="204" t="s">
        <v>969</v>
      </c>
      <c r="B134" s="201" t="s">
        <v>515</v>
      </c>
      <c r="C134" s="200">
        <f>data!C379</f>
        <v>433340</v>
      </c>
    </row>
    <row r="135" spans="1:3" ht="20.149999999999999" customHeight="1" x14ac:dyDescent="0.35">
      <c r="A135" s="204" t="s">
        <v>970</v>
      </c>
      <c r="B135" s="201" t="s">
        <v>516</v>
      </c>
      <c r="C135" s="200">
        <f>data!C380</f>
        <v>154069</v>
      </c>
    </row>
    <row r="136" spans="1:3" ht="20.149999999999999" customHeight="1" x14ac:dyDescent="0.35">
      <c r="A136" s="183">
        <v>16</v>
      </c>
      <c r="B136" s="185" t="s">
        <v>518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971</v>
      </c>
      <c r="C137" s="198">
        <f>data!D383</f>
        <v>1718666</v>
      </c>
    </row>
    <row r="138" spans="1:3" ht="20.149999999999999" customHeight="1" x14ac:dyDescent="0.35">
      <c r="A138" s="183">
        <v>18</v>
      </c>
      <c r="B138" s="185" t="s">
        <v>972</v>
      </c>
      <c r="C138" s="198">
        <f>data!D384</f>
        <v>38507749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973</v>
      </c>
      <c r="C140" s="184"/>
    </row>
    <row r="141" spans="1:3" ht="20.149999999999999" customHeight="1" x14ac:dyDescent="0.35">
      <c r="A141" s="183">
        <v>21</v>
      </c>
      <c r="B141" s="185" t="s">
        <v>522</v>
      </c>
      <c r="C141" s="198">
        <f>data!C389</f>
        <v>20425310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6114118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0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3050352</v>
      </c>
    </row>
    <row r="145" spans="1:3" ht="20.149999999999999" customHeight="1" x14ac:dyDescent="0.35">
      <c r="A145" s="183">
        <v>25</v>
      </c>
      <c r="B145" s="185" t="s">
        <v>974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975</v>
      </c>
      <c r="C146" s="198">
        <f>data!C394</f>
        <v>1815721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1965691</v>
      </c>
    </row>
    <row r="148" spans="1:3" ht="20.149999999999999" customHeight="1" x14ac:dyDescent="0.35">
      <c r="A148" s="183">
        <v>28</v>
      </c>
      <c r="B148" s="185" t="s">
        <v>976</v>
      </c>
      <c r="C148" s="198">
        <f>data!C396</f>
        <v>88123</v>
      </c>
    </row>
    <row r="149" spans="1:3" ht="20.149999999999999" customHeight="1" x14ac:dyDescent="0.35">
      <c r="A149" s="183">
        <v>29</v>
      </c>
      <c r="B149" s="185" t="s">
        <v>527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977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529</v>
      </c>
      <c r="C151" s="198">
        <f>data!C399</f>
        <v>514658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978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979</v>
      </c>
      <c r="B154" s="202" t="s">
        <v>271</v>
      </c>
      <c r="C154" s="198">
        <f>data!C402</f>
        <v>3682266</v>
      </c>
    </row>
    <row r="155" spans="1:3" ht="20.149999999999999" customHeight="1" x14ac:dyDescent="0.35">
      <c r="A155" s="204" t="s">
        <v>980</v>
      </c>
      <c r="B155" s="202" t="s">
        <v>981</v>
      </c>
      <c r="C155" s="198">
        <f>data!C403</f>
        <v>981826</v>
      </c>
    </row>
    <row r="156" spans="1:3" ht="20.149999999999999" customHeight="1" x14ac:dyDescent="0.35">
      <c r="A156" s="204" t="s">
        <v>982</v>
      </c>
      <c r="B156" s="202" t="s">
        <v>273</v>
      </c>
      <c r="C156" s="198">
        <f>data!C404</f>
        <v>543930</v>
      </c>
    </row>
    <row r="157" spans="1:3" ht="20.149999999999999" customHeight="1" x14ac:dyDescent="0.35">
      <c r="A157" s="204" t="s">
        <v>983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984</v>
      </c>
      <c r="B158" s="202" t="s">
        <v>275</v>
      </c>
      <c r="C158" s="198">
        <f>data!C406</f>
        <v>707076</v>
      </c>
    </row>
    <row r="159" spans="1:3" ht="20.149999999999999" customHeight="1" x14ac:dyDescent="0.35">
      <c r="A159" s="204" t="s">
        <v>985</v>
      </c>
      <c r="B159" s="202" t="s">
        <v>276</v>
      </c>
      <c r="C159" s="198">
        <f>data!C407</f>
        <v>66067</v>
      </c>
    </row>
    <row r="160" spans="1:3" ht="20.149999999999999" customHeight="1" x14ac:dyDescent="0.35">
      <c r="A160" s="204" t="s">
        <v>986</v>
      </c>
      <c r="B160" s="202" t="s">
        <v>277</v>
      </c>
      <c r="C160" s="198">
        <f>data!C408</f>
        <v>420143</v>
      </c>
    </row>
    <row r="161" spans="1:3" ht="20.149999999999999" customHeight="1" x14ac:dyDescent="0.35">
      <c r="A161" s="204" t="s">
        <v>987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988</v>
      </c>
      <c r="B162" s="202" t="s">
        <v>279</v>
      </c>
      <c r="C162" s="198">
        <f>data!C410</f>
        <v>9316</v>
      </c>
    </row>
    <row r="163" spans="1:3" ht="20.149999999999999" customHeight="1" x14ac:dyDescent="0.35">
      <c r="A163" s="204" t="s">
        <v>989</v>
      </c>
      <c r="B163" s="202" t="s">
        <v>280</v>
      </c>
      <c r="C163" s="198">
        <f>data!C411</f>
        <v>43471</v>
      </c>
    </row>
    <row r="164" spans="1:3" ht="20.149999999999999" customHeight="1" x14ac:dyDescent="0.35">
      <c r="A164" s="204" t="s">
        <v>990</v>
      </c>
      <c r="B164" s="202" t="s">
        <v>281</v>
      </c>
      <c r="C164" s="198">
        <f>data!C412</f>
        <v>501879</v>
      </c>
    </row>
    <row r="165" spans="1:3" ht="20.149999999999999" customHeight="1" x14ac:dyDescent="0.35">
      <c r="A165" s="204" t="s">
        <v>991</v>
      </c>
      <c r="B165" s="202" t="s">
        <v>282</v>
      </c>
      <c r="C165" s="198">
        <f>data!C413</f>
        <v>496367</v>
      </c>
    </row>
    <row r="166" spans="1:3" ht="20.149999999999999" customHeight="1" x14ac:dyDescent="0.35">
      <c r="A166" s="204" t="s">
        <v>992</v>
      </c>
      <c r="B166" s="202" t="s">
        <v>993</v>
      </c>
      <c r="C166" s="198">
        <f>data!C414</f>
        <v>388170</v>
      </c>
    </row>
    <row r="167" spans="1:3" ht="20.149999999999999" customHeight="1" x14ac:dyDescent="0.35">
      <c r="A167" s="183">
        <v>34</v>
      </c>
      <c r="B167" s="185" t="s">
        <v>994</v>
      </c>
      <c r="C167" s="198">
        <f>data!D416</f>
        <v>41814484</v>
      </c>
    </row>
    <row r="168" spans="1:3" ht="20.149999999999999" customHeight="1" x14ac:dyDescent="0.35">
      <c r="A168" s="183">
        <v>35</v>
      </c>
      <c r="B168" s="185" t="s">
        <v>995</v>
      </c>
      <c r="C168" s="198">
        <f>data!D417</f>
        <v>-3306735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996</v>
      </c>
      <c r="C170" s="198">
        <f>data!D420</f>
        <v>38558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997</v>
      </c>
      <c r="C172" s="185">
        <f>data!D421</f>
        <v>-3268177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998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999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1000</v>
      </c>
      <c r="C177" s="198">
        <f>data!D424</f>
        <v>-3268177</v>
      </c>
    </row>
    <row r="178" spans="1:3" ht="20.149999999999999" customHeight="1" x14ac:dyDescent="0.35">
      <c r="A178" s="188">
        <v>45</v>
      </c>
      <c r="B178" s="187" t="s">
        <v>1001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77E1-9D7D-4D0E-B545-8EA27E60A913}">
  <sheetPr codeName="Sheet11"/>
  <dimension ref="A1:N410"/>
  <sheetViews>
    <sheetView showGridLines="0" topLeftCell="B1" zoomScale="65" workbookViewId="0">
      <selection activeCell="A409" sqref="A409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2" width="8.9140625" style="281" customWidth="1"/>
    <col min="13" max="16384" width="8.9140625" style="281"/>
  </cols>
  <sheetData>
    <row r="1" spans="1:9" customFormat="1" ht="20.149999999999999" customHeight="1" x14ac:dyDescent="0.35">
      <c r="A1" s="282" t="s">
        <v>1002</v>
      </c>
      <c r="B1" s="283"/>
      <c r="C1" s="283"/>
      <c r="D1" s="283"/>
      <c r="E1" s="283"/>
      <c r="F1" s="283"/>
      <c r="G1" s="283"/>
      <c r="H1" s="283"/>
    </row>
    <row r="2" spans="1:9" customFormat="1" ht="20.149999999999999" customHeight="1" x14ac:dyDescent="0.35">
      <c r="A2" s="284"/>
      <c r="I2" s="285" t="s">
        <v>1003</v>
      </c>
    </row>
    <row r="3" spans="1:9" customFormat="1" ht="20.149999999999999" customHeight="1" x14ac:dyDescent="0.35">
      <c r="A3" s="284"/>
      <c r="I3" s="284"/>
    </row>
    <row r="4" spans="1:9" customFormat="1" ht="20.149999999999999" customHeight="1" x14ac:dyDescent="0.35">
      <c r="A4" s="286" t="str">
        <f>"Hospital: "&amp;data!C98</f>
        <v>Hospital: Forks Community Hospital</v>
      </c>
      <c r="G4" s="287"/>
      <c r="H4" s="286" t="str">
        <f>"FYE: "&amp;data!C96</f>
        <v>FYE: 12/31/2023</v>
      </c>
    </row>
    <row r="5" spans="1:9" customFormat="1" ht="20.149999999999999" customHeight="1" x14ac:dyDescent="0.35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49999999999999" customHeight="1" x14ac:dyDescent="0.35">
      <c r="A6" s="292">
        <v>2</v>
      </c>
      <c r="B6" s="293" t="s">
        <v>1004</v>
      </c>
      <c r="C6" s="294" t="s">
        <v>118</v>
      </c>
      <c r="D6" s="295" t="s">
        <v>1005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49999999999999" customHeight="1" x14ac:dyDescent="0.35">
      <c r="A7" s="292"/>
      <c r="B7" s="293"/>
      <c r="C7" s="295" t="s">
        <v>190</v>
      </c>
      <c r="D7" s="295" t="s">
        <v>1006</v>
      </c>
      <c r="E7" s="295" t="s">
        <v>190</v>
      </c>
      <c r="F7" s="295" t="s">
        <v>1007</v>
      </c>
      <c r="G7" s="295" t="s">
        <v>192</v>
      </c>
      <c r="H7" s="295" t="s">
        <v>190</v>
      </c>
      <c r="I7" s="295" t="s">
        <v>193</v>
      </c>
    </row>
    <row r="8" spans="1:9" customFormat="1" ht="20.149999999999999" customHeight="1" x14ac:dyDescent="0.35">
      <c r="A8" s="288">
        <v>3</v>
      </c>
      <c r="B8" s="289" t="s">
        <v>1008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49999999999999" customHeight="1" x14ac:dyDescent="0.35">
      <c r="A9" s="288">
        <v>4</v>
      </c>
      <c r="B9" s="289" t="s">
        <v>261</v>
      </c>
      <c r="C9" s="289">
        <f>data!C59</f>
        <v>0</v>
      </c>
      <c r="D9" s="289">
        <f>data!D59</f>
        <v>0</v>
      </c>
      <c r="E9" s="289">
        <f>data!E59</f>
        <v>484</v>
      </c>
      <c r="F9" s="289">
        <f>data!F59</f>
        <v>0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49999999999999" customHeight="1" x14ac:dyDescent="0.35">
      <c r="A10" s="288">
        <v>5</v>
      </c>
      <c r="B10" s="289" t="s">
        <v>262</v>
      </c>
      <c r="C10" s="296">
        <f>data!C60</f>
        <v>0</v>
      </c>
      <c r="D10" s="296">
        <f>data!D60</f>
        <v>0</v>
      </c>
      <c r="E10" s="296">
        <f>data!E60</f>
        <v>19.260000000000002</v>
      </c>
      <c r="F10" s="296">
        <f>data!F60</f>
        <v>0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49999999999999" customHeight="1" x14ac:dyDescent="0.35">
      <c r="A11" s="288">
        <v>6</v>
      </c>
      <c r="B11" s="289" t="s">
        <v>263</v>
      </c>
      <c r="C11" s="289">
        <f>data!C61</f>
        <v>0</v>
      </c>
      <c r="D11" s="289">
        <f>data!D61</f>
        <v>0</v>
      </c>
      <c r="E11" s="289">
        <f>data!E61</f>
        <v>1674725.75</v>
      </c>
      <c r="F11" s="289">
        <f>data!F61</f>
        <v>0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49999999999999" customHeight="1" x14ac:dyDescent="0.35">
      <c r="A12" s="288">
        <v>7</v>
      </c>
      <c r="B12" s="289" t="s">
        <v>11</v>
      </c>
      <c r="C12" s="289">
        <f>data!C62</f>
        <v>0</v>
      </c>
      <c r="D12" s="289">
        <f>data!D62</f>
        <v>0</v>
      </c>
      <c r="E12" s="289">
        <f>data!E62</f>
        <v>400361</v>
      </c>
      <c r="F12" s="289">
        <f>data!F62</f>
        <v>0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49999999999999" customHeight="1" x14ac:dyDescent="0.35">
      <c r="A13" s="288">
        <v>8</v>
      </c>
      <c r="B13" s="289" t="s">
        <v>264</v>
      </c>
      <c r="C13" s="289">
        <f>data!C63</f>
        <v>0</v>
      </c>
      <c r="D13" s="289">
        <f>data!D63</f>
        <v>0</v>
      </c>
      <c r="E13" s="289">
        <f>data!E63</f>
        <v>0</v>
      </c>
      <c r="F13" s="289">
        <f>data!F63</f>
        <v>0</v>
      </c>
      <c r="G13" s="289">
        <f>data!G63</f>
        <v>0</v>
      </c>
      <c r="H13" s="289">
        <f>data!H63</f>
        <v>0</v>
      </c>
      <c r="I13" s="289">
        <f>data!I63</f>
        <v>0</v>
      </c>
    </row>
    <row r="14" spans="1:9" customFormat="1" ht="20.149999999999999" customHeight="1" x14ac:dyDescent="0.35">
      <c r="A14" s="288">
        <v>9</v>
      </c>
      <c r="B14" s="289" t="s">
        <v>265</v>
      </c>
      <c r="C14" s="289">
        <f>data!C64</f>
        <v>0</v>
      </c>
      <c r="D14" s="289">
        <f>data!D64</f>
        <v>0</v>
      </c>
      <c r="E14" s="289">
        <f>data!E64</f>
        <v>63655.75</v>
      </c>
      <c r="F14" s="289">
        <f>data!F64</f>
        <v>0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49999999999999" customHeight="1" x14ac:dyDescent="0.35">
      <c r="A15" s="288">
        <v>10</v>
      </c>
      <c r="B15" s="289" t="s">
        <v>524</v>
      </c>
      <c r="C15" s="289">
        <f>data!C65</f>
        <v>0</v>
      </c>
      <c r="D15" s="289">
        <f>data!D65</f>
        <v>0</v>
      </c>
      <c r="E15" s="289">
        <f>data!E65</f>
        <v>0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49999999999999" customHeight="1" x14ac:dyDescent="0.35">
      <c r="A16" s="288">
        <v>11</v>
      </c>
      <c r="B16" s="289" t="s">
        <v>525</v>
      </c>
      <c r="C16" s="289">
        <f>data!C66</f>
        <v>0</v>
      </c>
      <c r="D16" s="289">
        <f>data!D66</f>
        <v>0</v>
      </c>
      <c r="E16" s="289">
        <f>data!E66</f>
        <v>19624.48</v>
      </c>
      <c r="F16" s="289">
        <f>data!F66</f>
        <v>0</v>
      </c>
      <c r="G16" s="289">
        <f>data!G66</f>
        <v>0</v>
      </c>
      <c r="H16" s="289">
        <f>data!H66</f>
        <v>0</v>
      </c>
      <c r="I16" s="289">
        <f>data!I66</f>
        <v>0</v>
      </c>
    </row>
    <row r="17" spans="1:9" customFormat="1" ht="20.149999999999999" customHeight="1" x14ac:dyDescent="0.35">
      <c r="A17" s="288">
        <v>12</v>
      </c>
      <c r="B17" s="289" t="s">
        <v>16</v>
      </c>
      <c r="C17" s="289">
        <f>data!C67</f>
        <v>0</v>
      </c>
      <c r="D17" s="289">
        <f>data!D67</f>
        <v>0</v>
      </c>
      <c r="E17" s="289">
        <f>data!E67</f>
        <v>338717</v>
      </c>
      <c r="F17" s="289">
        <f>data!F67</f>
        <v>0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49999999999999" customHeight="1" x14ac:dyDescent="0.35">
      <c r="A18" s="288">
        <v>13</v>
      </c>
      <c r="B18" s="289" t="s">
        <v>1009</v>
      </c>
      <c r="C18" s="289">
        <f>data!C68</f>
        <v>0</v>
      </c>
      <c r="D18" s="289">
        <f>data!D68</f>
        <v>0</v>
      </c>
      <c r="E18" s="289">
        <f>data!E68</f>
        <v>3935.58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49999999999999" customHeight="1" x14ac:dyDescent="0.35">
      <c r="A19" s="288">
        <v>14</v>
      </c>
      <c r="B19" s="289" t="s">
        <v>1010</v>
      </c>
      <c r="C19" s="289">
        <f>data!C69</f>
        <v>0</v>
      </c>
      <c r="D19" s="289">
        <f>data!D69</f>
        <v>0</v>
      </c>
      <c r="E19" s="289">
        <f>data!E69</f>
        <v>860003.82000000007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49999999999999" customHeight="1" x14ac:dyDescent="0.35">
      <c r="A20" s="288">
        <v>15</v>
      </c>
      <c r="B20" s="289" t="s">
        <v>284</v>
      </c>
      <c r="C20" s="289">
        <f>-data!C84</f>
        <v>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49999999999999" customHeight="1" x14ac:dyDescent="0.35">
      <c r="A21" s="288">
        <v>16</v>
      </c>
      <c r="B21" s="297" t="s">
        <v>1011</v>
      </c>
      <c r="C21" s="289">
        <f>data!C85</f>
        <v>0</v>
      </c>
      <c r="D21" s="289">
        <f>data!D85</f>
        <v>0</v>
      </c>
      <c r="E21" s="289">
        <f>data!E85</f>
        <v>3361023.38</v>
      </c>
      <c r="F21" s="289">
        <f>data!F85</f>
        <v>0</v>
      </c>
      <c r="G21" s="289">
        <f>data!G85</f>
        <v>0</v>
      </c>
      <c r="H21" s="289">
        <f>data!H85</f>
        <v>0</v>
      </c>
      <c r="I21" s="289">
        <f>data!I85</f>
        <v>0</v>
      </c>
    </row>
    <row r="22" spans="1:9" customFormat="1" ht="20.149999999999999" customHeight="1" x14ac:dyDescent="0.35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49999999999999" customHeight="1" x14ac:dyDescent="0.35">
      <c r="A23" s="288">
        <v>18</v>
      </c>
      <c r="B23" s="289" t="s">
        <v>1012</v>
      </c>
      <c r="C23" s="297">
        <f>+data!M668</f>
        <v>0</v>
      </c>
      <c r="D23" s="297">
        <f>+data!M669</f>
        <v>0</v>
      </c>
      <c r="E23" s="297">
        <f>+data!M670</f>
        <v>1233455</v>
      </c>
      <c r="F23" s="297">
        <f>+data!M671</f>
        <v>0</v>
      </c>
      <c r="G23" s="297">
        <f>+data!M672</f>
        <v>0</v>
      </c>
      <c r="H23" s="297">
        <f>+data!M673</f>
        <v>0</v>
      </c>
      <c r="I23" s="297">
        <f>+data!M674</f>
        <v>0</v>
      </c>
    </row>
    <row r="24" spans="1:9" customFormat="1" ht="20.149999999999999" customHeight="1" x14ac:dyDescent="0.35">
      <c r="A24" s="288">
        <v>19</v>
      </c>
      <c r="B24" s="297" t="s">
        <v>1013</v>
      </c>
      <c r="C24" s="289">
        <f>data!C87</f>
        <v>0</v>
      </c>
      <c r="D24" s="289">
        <f>data!D87</f>
        <v>0</v>
      </c>
      <c r="E24" s="289">
        <f>data!E87</f>
        <v>2057230</v>
      </c>
      <c r="F24" s="289">
        <f>data!F87</f>
        <v>0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49999999999999" customHeight="1" x14ac:dyDescent="0.35">
      <c r="A25" s="288">
        <v>20</v>
      </c>
      <c r="B25" s="297" t="s">
        <v>1014</v>
      </c>
      <c r="C25" s="289">
        <f>data!C88</f>
        <v>0</v>
      </c>
      <c r="D25" s="289">
        <f>data!D88</f>
        <v>0</v>
      </c>
      <c r="E25" s="289">
        <f>data!E88</f>
        <v>544601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35">
      <c r="A26" s="288">
        <v>21</v>
      </c>
      <c r="B26" s="297" t="s">
        <v>1015</v>
      </c>
      <c r="C26" s="289">
        <f>data!C89</f>
        <v>0</v>
      </c>
      <c r="D26" s="289">
        <f>data!D89</f>
        <v>0</v>
      </c>
      <c r="E26" s="289">
        <f>data!E89</f>
        <v>2601831</v>
      </c>
      <c r="F26" s="289">
        <f>data!F89</f>
        <v>0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49999999999999" customHeight="1" x14ac:dyDescent="0.35">
      <c r="A27" s="288" t="s">
        <v>1016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49999999999999" customHeight="1" x14ac:dyDescent="0.35">
      <c r="A28" s="288">
        <v>22</v>
      </c>
      <c r="B28" s="289" t="s">
        <v>1017</v>
      </c>
      <c r="C28" s="289">
        <f>data!C90</f>
        <v>0</v>
      </c>
      <c r="D28" s="289">
        <f>data!D90</f>
        <v>0</v>
      </c>
      <c r="E28" s="289">
        <f>data!E90</f>
        <v>2649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49999999999999" customHeight="1" x14ac:dyDescent="0.35">
      <c r="A29" s="288">
        <v>23</v>
      </c>
      <c r="B29" s="289" t="s">
        <v>1018</v>
      </c>
      <c r="C29" s="289">
        <f>data!C91</f>
        <v>0</v>
      </c>
      <c r="D29" s="289">
        <f>data!D91</f>
        <v>0</v>
      </c>
      <c r="E29" s="289">
        <f>data!E91</f>
        <v>4492</v>
      </c>
      <c r="F29" s="289">
        <f>data!F91</f>
        <v>0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49999999999999" customHeight="1" x14ac:dyDescent="0.35">
      <c r="A30" s="288">
        <v>24</v>
      </c>
      <c r="B30" s="289" t="s">
        <v>1019</v>
      </c>
      <c r="C30" s="289">
        <f>data!C92</f>
        <v>0</v>
      </c>
      <c r="D30" s="289">
        <f>data!D92</f>
        <v>0</v>
      </c>
      <c r="E30" s="289">
        <f>data!E92</f>
        <v>2213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49999999999999" customHeight="1" x14ac:dyDescent="0.35">
      <c r="A31" s="288">
        <v>25</v>
      </c>
      <c r="B31" s="289" t="s">
        <v>1020</v>
      </c>
      <c r="C31" s="289">
        <f>data!C93</f>
        <v>0</v>
      </c>
      <c r="D31" s="289">
        <f>data!D93</f>
        <v>0</v>
      </c>
      <c r="E31" s="289">
        <f>data!E93</f>
        <v>19409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49999999999999" customHeight="1" x14ac:dyDescent="0.35">
      <c r="A32" s="288">
        <v>26</v>
      </c>
      <c r="B32" s="289" t="s">
        <v>294</v>
      </c>
      <c r="C32" s="296">
        <f>data!C94</f>
        <v>0</v>
      </c>
      <c r="D32" s="296">
        <f>data!D94</f>
        <v>0</v>
      </c>
      <c r="E32" s="296">
        <f>data!E94</f>
        <v>7.79</v>
      </c>
      <c r="F32" s="296">
        <f>data!F94</f>
        <v>0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49999999999999" customHeight="1" x14ac:dyDescent="0.35">
      <c r="A33" s="282" t="s">
        <v>1002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49999999999999" customHeight="1" x14ac:dyDescent="0.35">
      <c r="A34" s="284"/>
      <c r="I34" s="285" t="s">
        <v>1021</v>
      </c>
    </row>
    <row r="35" spans="1:9" customFormat="1" ht="20.149999999999999" customHeight="1" x14ac:dyDescent="0.35">
      <c r="A35" s="284"/>
      <c r="I35" s="284"/>
    </row>
    <row r="36" spans="1:9" customFormat="1" ht="20.149999999999999" customHeight="1" x14ac:dyDescent="0.35">
      <c r="A36" s="286" t="str">
        <f>"Hospital: "&amp;data!C98</f>
        <v>Hospital: Forks Community Hospital</v>
      </c>
      <c r="G36" s="287"/>
      <c r="H36" s="286" t="str">
        <f>"FYE: "&amp;data!C96</f>
        <v>FYE: 12/31/2023</v>
      </c>
    </row>
    <row r="37" spans="1:9" customFormat="1" ht="20.149999999999999" customHeight="1" x14ac:dyDescent="0.35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49999999999999" customHeight="1" x14ac:dyDescent="0.35">
      <c r="A38" s="292">
        <v>2</v>
      </c>
      <c r="B38" s="293" t="s">
        <v>1004</v>
      </c>
      <c r="C38" s="295"/>
      <c r="D38" s="295" t="s">
        <v>126</v>
      </c>
      <c r="E38" s="295" t="s">
        <v>127</v>
      </c>
      <c r="F38" s="295" t="s">
        <v>1022</v>
      </c>
      <c r="G38" s="295" t="s">
        <v>129</v>
      </c>
      <c r="H38" s="295" t="s">
        <v>1023</v>
      </c>
      <c r="I38" s="295" t="s">
        <v>131</v>
      </c>
    </row>
    <row r="39" spans="1:9" customFormat="1" ht="20.149999999999999" customHeight="1" x14ac:dyDescent="0.35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49999999999999" customHeight="1" x14ac:dyDescent="0.35">
      <c r="A40" s="288">
        <v>3</v>
      </c>
      <c r="B40" s="289" t="s">
        <v>1008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49999999999999" customHeight="1" x14ac:dyDescent="0.35">
      <c r="A41" s="288">
        <v>4</v>
      </c>
      <c r="B41" s="289" t="s">
        <v>261</v>
      </c>
      <c r="C41" s="289">
        <f>data!J59</f>
        <v>7</v>
      </c>
      <c r="D41" s="289">
        <f>data!K59</f>
        <v>583</v>
      </c>
      <c r="E41" s="289">
        <f>data!L59</f>
        <v>6514</v>
      </c>
      <c r="F41" s="289">
        <f>data!M59</f>
        <v>0</v>
      </c>
      <c r="G41" s="289">
        <f>data!N59</f>
        <v>0</v>
      </c>
      <c r="H41" s="289">
        <f>data!O59</f>
        <v>10</v>
      </c>
      <c r="I41" s="289">
        <f>data!P59</f>
        <v>6722</v>
      </c>
    </row>
    <row r="42" spans="1:9" customFormat="1" ht="20.149999999999999" customHeight="1" x14ac:dyDescent="0.35">
      <c r="A42" s="288">
        <v>5</v>
      </c>
      <c r="B42" s="289" t="s">
        <v>262</v>
      </c>
      <c r="C42" s="296">
        <f>data!J60</f>
        <v>0</v>
      </c>
      <c r="D42" s="296">
        <f>data!K60</f>
        <v>1.34</v>
      </c>
      <c r="E42" s="296">
        <f>data!L60</f>
        <v>28.56</v>
      </c>
      <c r="F42" s="296">
        <f>data!M60</f>
        <v>0</v>
      </c>
      <c r="G42" s="296">
        <f>data!N60</f>
        <v>0</v>
      </c>
      <c r="H42" s="296">
        <f>data!O60</f>
        <v>0.03</v>
      </c>
      <c r="I42" s="296">
        <f>data!P60</f>
        <v>5.29</v>
      </c>
    </row>
    <row r="43" spans="1:9" customFormat="1" ht="20.149999999999999" customHeight="1" x14ac:dyDescent="0.35">
      <c r="A43" s="288">
        <v>6</v>
      </c>
      <c r="B43" s="289" t="s">
        <v>263</v>
      </c>
      <c r="C43" s="289">
        <f>data!J61</f>
        <v>0</v>
      </c>
      <c r="D43" s="289">
        <f>data!K61</f>
        <v>176678.34</v>
      </c>
      <c r="E43" s="289">
        <f>data!L61</f>
        <v>1904450.3499999999</v>
      </c>
      <c r="F43" s="289">
        <f>data!M61</f>
        <v>0</v>
      </c>
      <c r="G43" s="289">
        <f>data!N61</f>
        <v>0</v>
      </c>
      <c r="H43" s="289">
        <f>data!O61</f>
        <v>134197.24</v>
      </c>
      <c r="I43" s="289">
        <f>data!P61</f>
        <v>768944.30999999994</v>
      </c>
    </row>
    <row r="44" spans="1:9" customFormat="1" ht="20.149999999999999" customHeight="1" x14ac:dyDescent="0.35">
      <c r="A44" s="288">
        <v>7</v>
      </c>
      <c r="B44" s="289" t="s">
        <v>11</v>
      </c>
      <c r="C44" s="289">
        <f>data!J62</f>
        <v>0</v>
      </c>
      <c r="D44" s="289">
        <f>data!K62</f>
        <v>42237</v>
      </c>
      <c r="E44" s="289">
        <f>data!L62</f>
        <v>455280</v>
      </c>
      <c r="F44" s="289">
        <f>data!M62</f>
        <v>0</v>
      </c>
      <c r="G44" s="289">
        <f>data!N62</f>
        <v>0</v>
      </c>
      <c r="H44" s="289">
        <f>data!O62</f>
        <v>32903</v>
      </c>
      <c r="I44" s="289">
        <f>data!P62</f>
        <v>183824</v>
      </c>
    </row>
    <row r="45" spans="1:9" customFormat="1" ht="20.149999999999999" customHeight="1" x14ac:dyDescent="0.35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0</v>
      </c>
    </row>
    <row r="46" spans="1:9" customFormat="1" ht="20.149999999999999" customHeight="1" x14ac:dyDescent="0.35">
      <c r="A46" s="288">
        <v>9</v>
      </c>
      <c r="B46" s="289" t="s">
        <v>265</v>
      </c>
      <c r="C46" s="289">
        <f>data!J64</f>
        <v>583.56999999999994</v>
      </c>
      <c r="D46" s="289">
        <f>data!K64</f>
        <v>3614.65</v>
      </c>
      <c r="E46" s="289">
        <f>data!L64</f>
        <v>80848.290000000008</v>
      </c>
      <c r="F46" s="289">
        <f>data!M64</f>
        <v>0</v>
      </c>
      <c r="G46" s="289">
        <f>data!N64</f>
        <v>0</v>
      </c>
      <c r="H46" s="289">
        <f>data!O64</f>
        <v>3222.1600000000003</v>
      </c>
      <c r="I46" s="289">
        <f>data!P64</f>
        <v>154624.45000000001</v>
      </c>
    </row>
    <row r="47" spans="1:9" customFormat="1" ht="20.149999999999999" customHeight="1" x14ac:dyDescent="0.35">
      <c r="A47" s="288">
        <v>10</v>
      </c>
      <c r="B47" s="289" t="s">
        <v>524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0</v>
      </c>
    </row>
    <row r="48" spans="1:9" customFormat="1" ht="20.149999999999999" customHeight="1" x14ac:dyDescent="0.35">
      <c r="A48" s="288">
        <v>11</v>
      </c>
      <c r="B48" s="289" t="s">
        <v>525</v>
      </c>
      <c r="C48" s="289">
        <f>data!J66</f>
        <v>0</v>
      </c>
      <c r="D48" s="289">
        <f>data!K66</f>
        <v>4</v>
      </c>
      <c r="E48" s="289">
        <f>data!L66</f>
        <v>9561.0600000000013</v>
      </c>
      <c r="F48" s="289">
        <f>data!M66</f>
        <v>0</v>
      </c>
      <c r="G48" s="289">
        <f>data!N66</f>
        <v>0</v>
      </c>
      <c r="H48" s="289">
        <f>data!O66</f>
        <v>42.36</v>
      </c>
      <c r="I48" s="289">
        <f>data!P66</f>
        <v>15293.72</v>
      </c>
    </row>
    <row r="49" spans="1:11" customFormat="1" ht="20.149999999999999" customHeight="1" x14ac:dyDescent="0.35">
      <c r="A49" s="288">
        <v>12</v>
      </c>
      <c r="B49" s="289" t="s">
        <v>16</v>
      </c>
      <c r="C49" s="289">
        <f>data!J67</f>
        <v>3276</v>
      </c>
      <c r="D49" s="289">
        <f>data!K67</f>
        <v>31806</v>
      </c>
      <c r="E49" s="289">
        <f>data!L67</f>
        <v>145849</v>
      </c>
      <c r="F49" s="289">
        <f>data!M67</f>
        <v>0</v>
      </c>
      <c r="G49" s="289">
        <f>data!N67</f>
        <v>0</v>
      </c>
      <c r="H49" s="289">
        <f>data!O67</f>
        <v>34491</v>
      </c>
      <c r="I49" s="289">
        <f>data!P67</f>
        <v>136425</v>
      </c>
    </row>
    <row r="50" spans="1:11" customFormat="1" ht="20.149999999999999" customHeight="1" x14ac:dyDescent="0.35">
      <c r="A50" s="288">
        <v>13</v>
      </c>
      <c r="B50" s="289" t="s">
        <v>1009</v>
      </c>
      <c r="C50" s="289">
        <f>data!J68</f>
        <v>0</v>
      </c>
      <c r="D50" s="289">
        <f>data!K68</f>
        <v>97.28</v>
      </c>
      <c r="E50" s="289">
        <f>data!L68</f>
        <v>1303.68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207.68</v>
      </c>
    </row>
    <row r="51" spans="1:11" customFormat="1" ht="20.149999999999999" customHeight="1" x14ac:dyDescent="0.35">
      <c r="A51" s="288">
        <v>14</v>
      </c>
      <c r="B51" s="289" t="s">
        <v>1010</v>
      </c>
      <c r="C51" s="289">
        <f>data!J69</f>
        <v>0</v>
      </c>
      <c r="D51" s="289">
        <f>data!K69</f>
        <v>79351.150000000009</v>
      </c>
      <c r="E51" s="289">
        <f>data!L69</f>
        <v>490770.02000000008</v>
      </c>
      <c r="F51" s="289">
        <f>data!M69</f>
        <v>0</v>
      </c>
      <c r="G51" s="289">
        <f>data!N69</f>
        <v>0</v>
      </c>
      <c r="H51" s="289">
        <f>data!O69</f>
        <v>13038.92</v>
      </c>
      <c r="I51" s="289">
        <f>data!P69</f>
        <v>26754.1</v>
      </c>
    </row>
    <row r="52" spans="1:11" customFormat="1" ht="20.149999999999999" customHeight="1" x14ac:dyDescent="0.35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49999999999999" customHeight="1" x14ac:dyDescent="0.35">
      <c r="A53" s="288">
        <v>16</v>
      </c>
      <c r="B53" s="297" t="s">
        <v>1011</v>
      </c>
      <c r="C53" s="289">
        <f>data!J85</f>
        <v>3859.5699999999997</v>
      </c>
      <c r="D53" s="289">
        <f>data!K85</f>
        <v>333788.42</v>
      </c>
      <c r="E53" s="289">
        <f>data!L85</f>
        <v>3088062.4</v>
      </c>
      <c r="F53" s="289">
        <f>data!M85</f>
        <v>0</v>
      </c>
      <c r="G53" s="289">
        <f>data!N85</f>
        <v>0</v>
      </c>
      <c r="H53" s="289">
        <f>data!O85</f>
        <v>217894.68</v>
      </c>
      <c r="I53" s="289">
        <f>data!P85</f>
        <v>1286073.26</v>
      </c>
    </row>
    <row r="54" spans="1:11" customFormat="1" ht="20.149999999999999" customHeight="1" x14ac:dyDescent="0.35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49999999999999" customHeight="1" x14ac:dyDescent="0.35">
      <c r="A55" s="288">
        <v>18</v>
      </c>
      <c r="B55" s="289" t="s">
        <v>1012</v>
      </c>
      <c r="C55" s="297">
        <f>+data!M675</f>
        <v>6250</v>
      </c>
      <c r="D55" s="297">
        <f>+data!M676</f>
        <v>1334273</v>
      </c>
      <c r="E55" s="297">
        <f>+data!M691</f>
        <v>0</v>
      </c>
      <c r="F55" s="297">
        <f>+data!M692</f>
        <v>27306</v>
      </c>
      <c r="G55" s="297">
        <f>+data!M693</f>
        <v>486894</v>
      </c>
      <c r="H55" s="297">
        <f>+data!M680</f>
        <v>64392</v>
      </c>
      <c r="I55" s="297">
        <f>+data!M681</f>
        <v>483896</v>
      </c>
    </row>
    <row r="56" spans="1:11" customFormat="1" ht="20.149999999999999" customHeight="1" x14ac:dyDescent="0.35">
      <c r="A56" s="288">
        <v>19</v>
      </c>
      <c r="B56" s="297" t="s">
        <v>1013</v>
      </c>
      <c r="C56" s="289">
        <f>data!J87</f>
        <v>6894</v>
      </c>
      <c r="D56" s="289">
        <f>data!K87</f>
        <v>1436420</v>
      </c>
      <c r="E56" s="289">
        <f>data!L87</f>
        <v>2223920</v>
      </c>
      <c r="F56" s="289">
        <f>data!M87</f>
        <v>0</v>
      </c>
      <c r="G56" s="289">
        <f>data!N87</f>
        <v>0</v>
      </c>
      <c r="H56" s="289">
        <f>data!O87</f>
        <v>10840</v>
      </c>
      <c r="I56" s="289">
        <f>data!P87</f>
        <v>41886</v>
      </c>
    </row>
    <row r="57" spans="1:11" customFormat="1" ht="20.149999999999999" customHeight="1" x14ac:dyDescent="0.35">
      <c r="A57" s="288">
        <v>20</v>
      </c>
      <c r="B57" s="297" t="s">
        <v>1014</v>
      </c>
      <c r="C57" s="289">
        <f>data!J88</f>
        <v>0</v>
      </c>
      <c r="D57" s="289">
        <f>data!K88</f>
        <v>159939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9340</v>
      </c>
      <c r="I57" s="289">
        <f>data!P88</f>
        <v>1549767</v>
      </c>
    </row>
    <row r="58" spans="1:11" customFormat="1" ht="20.149999999999999" customHeight="1" x14ac:dyDescent="0.35">
      <c r="A58" s="288">
        <v>21</v>
      </c>
      <c r="B58" s="297" t="s">
        <v>1015</v>
      </c>
      <c r="C58" s="289">
        <f>data!J89</f>
        <v>6894</v>
      </c>
      <c r="D58" s="289">
        <f>data!K89</f>
        <v>1596359</v>
      </c>
      <c r="E58" s="289">
        <f>data!L89</f>
        <v>2223920</v>
      </c>
      <c r="F58" s="289">
        <f>data!M89</f>
        <v>0</v>
      </c>
      <c r="G58" s="289">
        <f>data!N89</f>
        <v>0</v>
      </c>
      <c r="H58" s="289">
        <f>data!O89</f>
        <v>20180</v>
      </c>
      <c r="I58" s="289">
        <f>data!P89</f>
        <v>1591653</v>
      </c>
    </row>
    <row r="59" spans="1:11" customFormat="1" ht="20.149999999999999" customHeight="1" x14ac:dyDescent="0.35">
      <c r="A59" s="288" t="s">
        <v>1016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49999999999999" customHeight="1" x14ac:dyDescent="0.35">
      <c r="A60" s="288">
        <v>22</v>
      </c>
      <c r="B60" s="289" t="s">
        <v>1017</v>
      </c>
      <c r="C60" s="289">
        <f>data!J90</f>
        <v>167</v>
      </c>
      <c r="D60" s="289">
        <f>data!K90</f>
        <v>2417</v>
      </c>
      <c r="E60" s="289">
        <f>data!L90</f>
        <v>1736</v>
      </c>
      <c r="F60" s="289">
        <f>data!M90</f>
        <v>0</v>
      </c>
      <c r="G60" s="289">
        <f>data!N90</f>
        <v>0</v>
      </c>
      <c r="H60" s="289">
        <f>data!O90</f>
        <v>526</v>
      </c>
      <c r="I60" s="289">
        <f>data!P90</f>
        <v>6251</v>
      </c>
      <c r="K60" s="300"/>
    </row>
    <row r="61" spans="1:11" customFormat="1" ht="20.149999999999999" customHeight="1" x14ac:dyDescent="0.35">
      <c r="A61" s="288">
        <v>23</v>
      </c>
      <c r="B61" s="289" t="s">
        <v>1018</v>
      </c>
      <c r="C61" s="289">
        <f>data!J91</f>
        <v>0</v>
      </c>
      <c r="D61" s="289">
        <f>data!K91</f>
        <v>19862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49999999999999" customHeight="1" x14ac:dyDescent="0.35">
      <c r="A62" s="288">
        <v>24</v>
      </c>
      <c r="B62" s="289" t="s">
        <v>1019</v>
      </c>
      <c r="C62" s="289">
        <f>data!J92</f>
        <v>0</v>
      </c>
      <c r="D62" s="289">
        <f>data!K92</f>
        <v>0</v>
      </c>
      <c r="E62" s="289">
        <f>data!L92</f>
        <v>3378</v>
      </c>
      <c r="F62" s="289">
        <f>data!M92</f>
        <v>0</v>
      </c>
      <c r="G62" s="289">
        <f>data!N92</f>
        <v>0</v>
      </c>
      <c r="H62" s="289">
        <f>data!O92</f>
        <v>233</v>
      </c>
      <c r="I62" s="289">
        <f>data!P92</f>
        <v>0</v>
      </c>
    </row>
    <row r="63" spans="1:11" customFormat="1" ht="20.149999999999999" customHeight="1" x14ac:dyDescent="0.35">
      <c r="A63" s="288">
        <v>25</v>
      </c>
      <c r="B63" s="289" t="s">
        <v>1020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2200</v>
      </c>
      <c r="I63" s="289">
        <f>data!P93</f>
        <v>3997</v>
      </c>
    </row>
    <row r="64" spans="1:11" customFormat="1" ht="20.149999999999999" customHeight="1" x14ac:dyDescent="0.35">
      <c r="A64" s="288">
        <v>26</v>
      </c>
      <c r="B64" s="289" t="s">
        <v>294</v>
      </c>
      <c r="C64" s="296">
        <f>data!J94</f>
        <v>0</v>
      </c>
      <c r="D64" s="296">
        <f>data!K94</f>
        <v>1.1200000000000001</v>
      </c>
      <c r="E64" s="296">
        <f>data!L94</f>
        <v>6.72</v>
      </c>
      <c r="F64" s="296">
        <f>data!M94</f>
        <v>0</v>
      </c>
      <c r="G64" s="296">
        <f>data!N94</f>
        <v>0</v>
      </c>
      <c r="H64" s="296">
        <f>data!O94</f>
        <v>0.03</v>
      </c>
      <c r="I64" s="296">
        <f>data!P94</f>
        <v>0.89</v>
      </c>
    </row>
    <row r="65" spans="1:9" customFormat="1" ht="20.149999999999999" customHeight="1" x14ac:dyDescent="0.35">
      <c r="A65" s="282" t="s">
        <v>1002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49999999999999" customHeight="1" x14ac:dyDescent="0.35">
      <c r="D66" s="284"/>
      <c r="I66" s="285" t="s">
        <v>1024</v>
      </c>
    </row>
    <row r="67" spans="1:9" customFormat="1" ht="20.149999999999999" customHeight="1" x14ac:dyDescent="0.35">
      <c r="A67" s="284"/>
    </row>
    <row r="68" spans="1:9" customFormat="1" ht="20.149999999999999" customHeight="1" x14ac:dyDescent="0.35">
      <c r="A68" s="286" t="str">
        <f>"Hospital: "&amp;data!C98</f>
        <v>Hospital: Forks Community Hospital</v>
      </c>
      <c r="G68" s="287"/>
      <c r="H68" s="286" t="str">
        <f>"FYE: "&amp;data!C96</f>
        <v>FYE: 12/31/2023</v>
      </c>
    </row>
    <row r="69" spans="1:9" customFormat="1" ht="20.149999999999999" customHeight="1" x14ac:dyDescent="0.35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49999999999999" customHeight="1" x14ac:dyDescent="0.35">
      <c r="A70" s="292">
        <v>2</v>
      </c>
      <c r="B70" s="293" t="s">
        <v>1004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49999999999999" customHeight="1" x14ac:dyDescent="0.35">
      <c r="A71" s="292"/>
      <c r="B71" s="293"/>
      <c r="C71" s="295" t="s">
        <v>198</v>
      </c>
      <c r="D71" s="295" t="s">
        <v>1025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49999999999999" customHeight="1" x14ac:dyDescent="0.35">
      <c r="A72" s="288">
        <v>3</v>
      </c>
      <c r="B72" s="289" t="s">
        <v>1008</v>
      </c>
      <c r="C72" s="291" t="s">
        <v>1026</v>
      </c>
      <c r="D72" s="290" t="s">
        <v>1027</v>
      </c>
      <c r="E72" s="301"/>
      <c r="F72" s="301"/>
      <c r="G72" s="290" t="s">
        <v>1028</v>
      </c>
      <c r="H72" s="290" t="s">
        <v>1028</v>
      </c>
      <c r="I72" s="291" t="s">
        <v>250</v>
      </c>
    </row>
    <row r="73" spans="1:9" customFormat="1" ht="20.149999999999999" customHeight="1" x14ac:dyDescent="0.35">
      <c r="A73" s="288">
        <v>4</v>
      </c>
      <c r="B73" s="289" t="s">
        <v>261</v>
      </c>
      <c r="C73" s="289">
        <f>data!Q59</f>
        <v>8216</v>
      </c>
      <c r="D73" s="297">
        <f>data!R59</f>
        <v>15456</v>
      </c>
      <c r="E73" s="301"/>
      <c r="F73" s="301"/>
      <c r="G73" s="289">
        <f>data!U59</f>
        <v>59291</v>
      </c>
      <c r="H73" s="289">
        <f>data!V59</f>
        <v>0</v>
      </c>
      <c r="I73" s="289">
        <f>data!W59</f>
        <v>4116.99</v>
      </c>
    </row>
    <row r="74" spans="1:9" customFormat="1" ht="20.149999999999999" customHeight="1" x14ac:dyDescent="0.35">
      <c r="A74" s="288">
        <v>5</v>
      </c>
      <c r="B74" s="289" t="s">
        <v>262</v>
      </c>
      <c r="C74" s="296">
        <f>data!Q60</f>
        <v>0.01</v>
      </c>
      <c r="D74" s="296">
        <f>data!R60</f>
        <v>1.34</v>
      </c>
      <c r="E74" s="296">
        <f>data!S60</f>
        <v>2.02</v>
      </c>
      <c r="F74" s="296">
        <f>data!T60</f>
        <v>0</v>
      </c>
      <c r="G74" s="296">
        <f>data!U60</f>
        <v>8.6999999999999993</v>
      </c>
      <c r="H74" s="296">
        <f>data!V60</f>
        <v>0</v>
      </c>
      <c r="I74" s="296">
        <f>data!W60</f>
        <v>0</v>
      </c>
    </row>
    <row r="75" spans="1:9" customFormat="1" ht="20.149999999999999" customHeight="1" x14ac:dyDescent="0.35">
      <c r="A75" s="288">
        <v>6</v>
      </c>
      <c r="B75" s="289" t="s">
        <v>263</v>
      </c>
      <c r="C75" s="289">
        <f>data!Q61</f>
        <v>1652.78</v>
      </c>
      <c r="D75" s="289">
        <f>data!R61</f>
        <v>551204.43000000005</v>
      </c>
      <c r="E75" s="289">
        <f>data!S61</f>
        <v>88687.1</v>
      </c>
      <c r="F75" s="289">
        <f>data!T61</f>
        <v>0</v>
      </c>
      <c r="G75" s="289">
        <f>data!U61</f>
        <v>598487.1</v>
      </c>
      <c r="H75" s="289">
        <f>data!V61</f>
        <v>0</v>
      </c>
      <c r="I75" s="289">
        <f>data!W61</f>
        <v>0</v>
      </c>
    </row>
    <row r="76" spans="1:9" customFormat="1" ht="20.149999999999999" customHeight="1" x14ac:dyDescent="0.35">
      <c r="A76" s="288">
        <v>7</v>
      </c>
      <c r="B76" s="289" t="s">
        <v>11</v>
      </c>
      <c r="C76" s="289">
        <f>data!Q62</f>
        <v>395</v>
      </c>
      <c r="D76" s="289">
        <f>data!R62</f>
        <v>131771</v>
      </c>
      <c r="E76" s="289">
        <f>data!S62</f>
        <v>21202</v>
      </c>
      <c r="F76" s="289">
        <f>data!T62</f>
        <v>0</v>
      </c>
      <c r="G76" s="289">
        <f>data!U62</f>
        <v>143075</v>
      </c>
      <c r="H76" s="289">
        <f>data!V62</f>
        <v>0</v>
      </c>
      <c r="I76" s="289">
        <f>data!W62</f>
        <v>0</v>
      </c>
    </row>
    <row r="77" spans="1:9" customFormat="1" ht="20.149999999999999" customHeight="1" x14ac:dyDescent="0.35">
      <c r="A77" s="288">
        <v>8</v>
      </c>
      <c r="B77" s="289" t="s">
        <v>264</v>
      </c>
      <c r="C77" s="289">
        <f>data!Q63</f>
        <v>0</v>
      </c>
      <c r="D77" s="289">
        <f>data!R63</f>
        <v>0</v>
      </c>
      <c r="E77" s="289">
        <f>data!S63</f>
        <v>0</v>
      </c>
      <c r="F77" s="289">
        <f>data!T63</f>
        <v>0</v>
      </c>
      <c r="G77" s="289">
        <f>data!U63</f>
        <v>0</v>
      </c>
      <c r="H77" s="289">
        <f>data!V63</f>
        <v>0</v>
      </c>
      <c r="I77" s="289">
        <f>data!W63</f>
        <v>0</v>
      </c>
    </row>
    <row r="78" spans="1:9" customFormat="1" ht="20.149999999999999" customHeight="1" x14ac:dyDescent="0.35">
      <c r="A78" s="288">
        <v>9</v>
      </c>
      <c r="B78" s="289" t="s">
        <v>265</v>
      </c>
      <c r="C78" s="289">
        <f>data!Q64</f>
        <v>0</v>
      </c>
      <c r="D78" s="289">
        <f>data!R64</f>
        <v>17198.78</v>
      </c>
      <c r="E78" s="289">
        <f>data!S64</f>
        <v>77978.44</v>
      </c>
      <c r="F78" s="289">
        <f>data!T64</f>
        <v>0</v>
      </c>
      <c r="G78" s="289">
        <f>data!U64</f>
        <v>614181.51</v>
      </c>
      <c r="H78" s="289">
        <f>data!V64</f>
        <v>0</v>
      </c>
      <c r="I78" s="289">
        <f>data!W64</f>
        <v>2956.2200000000003</v>
      </c>
    </row>
    <row r="79" spans="1:9" customFormat="1" ht="20.149999999999999" customHeight="1" x14ac:dyDescent="0.35">
      <c r="A79" s="288">
        <v>10</v>
      </c>
      <c r="B79" s="289" t="s">
        <v>524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0</v>
      </c>
      <c r="G79" s="289">
        <f>data!U65</f>
        <v>0</v>
      </c>
      <c r="H79" s="289">
        <f>data!V65</f>
        <v>0</v>
      </c>
      <c r="I79" s="289">
        <f>data!W65</f>
        <v>0</v>
      </c>
    </row>
    <row r="80" spans="1:9" customFormat="1" ht="20.149999999999999" customHeight="1" x14ac:dyDescent="0.35">
      <c r="A80" s="288">
        <v>11</v>
      </c>
      <c r="B80" s="289" t="s">
        <v>525</v>
      </c>
      <c r="C80" s="289">
        <f>data!Q66</f>
        <v>0</v>
      </c>
      <c r="D80" s="289">
        <f>data!R66</f>
        <v>9163.24</v>
      </c>
      <c r="E80" s="289">
        <f>data!S66</f>
        <v>-44.25</v>
      </c>
      <c r="F80" s="289">
        <f>data!T66</f>
        <v>0</v>
      </c>
      <c r="G80" s="289">
        <f>data!U66</f>
        <v>24666.41</v>
      </c>
      <c r="H80" s="289">
        <f>data!V66</f>
        <v>0</v>
      </c>
      <c r="I80" s="289">
        <f>data!W66</f>
        <v>97635.32</v>
      </c>
    </row>
    <row r="81" spans="1:9" customFormat="1" ht="20.149999999999999" customHeight="1" x14ac:dyDescent="0.35">
      <c r="A81" s="288">
        <v>12</v>
      </c>
      <c r="B81" s="289" t="s">
        <v>16</v>
      </c>
      <c r="C81" s="289">
        <f>data!Q67</f>
        <v>0</v>
      </c>
      <c r="D81" s="289">
        <f>data!R67</f>
        <v>10991</v>
      </c>
      <c r="E81" s="289">
        <f>data!S67</f>
        <v>15418</v>
      </c>
      <c r="F81" s="289">
        <f>data!T67</f>
        <v>0</v>
      </c>
      <c r="G81" s="289">
        <f>data!U67</f>
        <v>98779</v>
      </c>
      <c r="H81" s="289">
        <f>data!V67</f>
        <v>2410</v>
      </c>
      <c r="I81" s="289">
        <f>data!W67</f>
        <v>0</v>
      </c>
    </row>
    <row r="82" spans="1:9" customFormat="1" ht="20.149999999999999" customHeight="1" x14ac:dyDescent="0.35">
      <c r="A82" s="288">
        <v>13</v>
      </c>
      <c r="B82" s="289" t="s">
        <v>1009</v>
      </c>
      <c r="C82" s="289">
        <f>data!Q68</f>
        <v>0</v>
      </c>
      <c r="D82" s="289">
        <f>data!R68</f>
        <v>0</v>
      </c>
      <c r="E82" s="289">
        <f>data!S68</f>
        <v>0</v>
      </c>
      <c r="F82" s="289">
        <f>data!T68</f>
        <v>0</v>
      </c>
      <c r="G82" s="289">
        <f>data!U68</f>
        <v>16603.16</v>
      </c>
      <c r="H82" s="289">
        <f>data!V68</f>
        <v>0</v>
      </c>
      <c r="I82" s="289">
        <f>data!W68</f>
        <v>0</v>
      </c>
    </row>
    <row r="83" spans="1:9" customFormat="1" ht="20.149999999999999" customHeight="1" x14ac:dyDescent="0.35">
      <c r="A83" s="288">
        <v>14</v>
      </c>
      <c r="B83" s="289" t="s">
        <v>1010</v>
      </c>
      <c r="C83" s="289">
        <f>data!Q69</f>
        <v>0</v>
      </c>
      <c r="D83" s="289">
        <f>data!R69</f>
        <v>52550.080000000002</v>
      </c>
      <c r="E83" s="289">
        <f>data!S69</f>
        <v>10984.43</v>
      </c>
      <c r="F83" s="289">
        <f>data!T69</f>
        <v>0</v>
      </c>
      <c r="G83" s="289">
        <f>data!U69</f>
        <v>411742.83</v>
      </c>
      <c r="H83" s="289">
        <f>data!V69</f>
        <v>0</v>
      </c>
      <c r="I83" s="289">
        <f>data!W69</f>
        <v>41419.450000000004</v>
      </c>
    </row>
    <row r="84" spans="1:9" customFormat="1" ht="20.149999999999999" customHeight="1" x14ac:dyDescent="0.35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0</v>
      </c>
      <c r="H84" s="289">
        <f>-data!V84</f>
        <v>0</v>
      </c>
      <c r="I84" s="289">
        <f>-data!W84</f>
        <v>0</v>
      </c>
    </row>
    <row r="85" spans="1:9" customFormat="1" ht="20.149999999999999" customHeight="1" x14ac:dyDescent="0.35">
      <c r="A85" s="288">
        <v>16</v>
      </c>
      <c r="B85" s="297" t="s">
        <v>1011</v>
      </c>
      <c r="C85" s="289">
        <f>data!Q85</f>
        <v>2047.78</v>
      </c>
      <c r="D85" s="289">
        <f>data!R85</f>
        <v>772878.53</v>
      </c>
      <c r="E85" s="289">
        <f>data!S85</f>
        <v>214225.72</v>
      </c>
      <c r="F85" s="289">
        <f>data!T85</f>
        <v>0</v>
      </c>
      <c r="G85" s="289">
        <f>data!U85</f>
        <v>1907535.0099999998</v>
      </c>
      <c r="H85" s="289">
        <f>data!V85</f>
        <v>2410</v>
      </c>
      <c r="I85" s="289">
        <f>data!W85</f>
        <v>142010.99000000002</v>
      </c>
    </row>
    <row r="86" spans="1:9" customFormat="1" ht="20.149999999999999" customHeight="1" x14ac:dyDescent="0.35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49999999999999" customHeight="1" x14ac:dyDescent="0.35">
      <c r="A87" s="288">
        <v>18</v>
      </c>
      <c r="B87" s="289" t="s">
        <v>1012</v>
      </c>
      <c r="C87" s="297">
        <f>+data!M682</f>
        <v>13095</v>
      </c>
      <c r="D87" s="297">
        <f>+data!M683</f>
        <v>172752</v>
      </c>
      <c r="E87" s="297">
        <f>+data!M684</f>
        <v>130277</v>
      </c>
      <c r="F87" s="297">
        <f>+data!M685</f>
        <v>0</v>
      </c>
      <c r="G87" s="297">
        <f>+data!M686</f>
        <v>903159</v>
      </c>
      <c r="H87" s="297">
        <f>+data!M687</f>
        <v>7782</v>
      </c>
      <c r="I87" s="297">
        <f>+data!M688</f>
        <v>120301</v>
      </c>
    </row>
    <row r="88" spans="1:9" customFormat="1" ht="20.149999999999999" customHeight="1" x14ac:dyDescent="0.35">
      <c r="A88" s="288">
        <v>19</v>
      </c>
      <c r="B88" s="297" t="s">
        <v>1013</v>
      </c>
      <c r="C88" s="289">
        <f>data!Q87</f>
        <v>2404</v>
      </c>
      <c r="D88" s="289">
        <f>data!R87</f>
        <v>2809</v>
      </c>
      <c r="E88" s="289">
        <f>data!S87</f>
        <v>49799</v>
      </c>
      <c r="F88" s="289">
        <f>data!T87</f>
        <v>0</v>
      </c>
      <c r="G88" s="289">
        <f>data!U87</f>
        <v>521816</v>
      </c>
      <c r="H88" s="289">
        <f>data!V87</f>
        <v>0</v>
      </c>
      <c r="I88" s="289">
        <f>data!W87</f>
        <v>25611</v>
      </c>
    </row>
    <row r="89" spans="1:9" customFormat="1" ht="20.149999999999999" customHeight="1" x14ac:dyDescent="0.35">
      <c r="A89" s="288">
        <v>20</v>
      </c>
      <c r="B89" s="297" t="s">
        <v>1014</v>
      </c>
      <c r="C89" s="289">
        <f>data!Q88</f>
        <v>141707</v>
      </c>
      <c r="D89" s="289">
        <f>data!R88</f>
        <v>1098312</v>
      </c>
      <c r="E89" s="289">
        <f>data!S88</f>
        <v>525460</v>
      </c>
      <c r="F89" s="289">
        <f>data!T88</f>
        <v>0</v>
      </c>
      <c r="G89" s="289">
        <f>data!U88</f>
        <v>7703569</v>
      </c>
      <c r="H89" s="289">
        <f>data!V88</f>
        <v>0</v>
      </c>
      <c r="I89" s="289">
        <f>data!W88</f>
        <v>1435797</v>
      </c>
    </row>
    <row r="90" spans="1:9" customFormat="1" ht="20.149999999999999" customHeight="1" x14ac:dyDescent="0.35">
      <c r="A90" s="288">
        <v>21</v>
      </c>
      <c r="B90" s="297" t="s">
        <v>1015</v>
      </c>
      <c r="C90" s="289">
        <f>data!Q89</f>
        <v>144111</v>
      </c>
      <c r="D90" s="289">
        <f>data!R89</f>
        <v>1101121</v>
      </c>
      <c r="E90" s="289">
        <f>data!S89</f>
        <v>575259</v>
      </c>
      <c r="F90" s="289">
        <f>data!T89</f>
        <v>0</v>
      </c>
      <c r="G90" s="289">
        <f>data!U89</f>
        <v>8225385</v>
      </c>
      <c r="H90" s="289">
        <f>data!V89</f>
        <v>0</v>
      </c>
      <c r="I90" s="289">
        <f>data!W89</f>
        <v>1461408</v>
      </c>
    </row>
    <row r="91" spans="1:9" customFormat="1" ht="20.149999999999999" customHeight="1" x14ac:dyDescent="0.35">
      <c r="A91" s="288" t="s">
        <v>1016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49999999999999" customHeight="1" x14ac:dyDescent="0.35">
      <c r="A92" s="288">
        <v>22</v>
      </c>
      <c r="B92" s="289" t="s">
        <v>1017</v>
      </c>
      <c r="C92" s="289">
        <f>data!Q90</f>
        <v>0</v>
      </c>
      <c r="D92" s="289">
        <f>data!R90</f>
        <v>0</v>
      </c>
      <c r="E92" s="289">
        <f>data!S90</f>
        <v>1510</v>
      </c>
      <c r="F92" s="289">
        <f>data!T90</f>
        <v>0</v>
      </c>
      <c r="G92" s="289">
        <f>data!U90</f>
        <v>1260</v>
      </c>
      <c r="H92" s="289">
        <f>data!V90</f>
        <v>236</v>
      </c>
      <c r="I92" s="289">
        <f>data!W90</f>
        <v>0</v>
      </c>
    </row>
    <row r="93" spans="1:9" customFormat="1" ht="20.149999999999999" customHeight="1" x14ac:dyDescent="0.35">
      <c r="A93" s="288">
        <v>23</v>
      </c>
      <c r="B93" s="289" t="s">
        <v>1018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49999999999999" customHeight="1" x14ac:dyDescent="0.35">
      <c r="A94" s="288">
        <v>24</v>
      </c>
      <c r="B94" s="289" t="s">
        <v>1019</v>
      </c>
      <c r="C94" s="289">
        <f>data!Q92</f>
        <v>0</v>
      </c>
      <c r="D94" s="289">
        <f>data!R92</f>
        <v>0</v>
      </c>
      <c r="E94" s="289">
        <f>data!S92</f>
        <v>125</v>
      </c>
      <c r="F94" s="289">
        <f>data!T92</f>
        <v>0</v>
      </c>
      <c r="G94" s="289">
        <f>data!U92</f>
        <v>273</v>
      </c>
      <c r="H94" s="289">
        <f>data!V92</f>
        <v>0</v>
      </c>
      <c r="I94" s="289">
        <f>data!W92</f>
        <v>0</v>
      </c>
    </row>
    <row r="95" spans="1:9" customFormat="1" ht="20.149999999999999" customHeight="1" x14ac:dyDescent="0.35">
      <c r="A95" s="288">
        <v>25</v>
      </c>
      <c r="B95" s="289" t="s">
        <v>1020</v>
      </c>
      <c r="C95" s="289">
        <f>data!Q93</f>
        <v>662</v>
      </c>
      <c r="D95" s="289">
        <f>data!R93</f>
        <v>0</v>
      </c>
      <c r="E95" s="289">
        <f>data!S93</f>
        <v>0</v>
      </c>
      <c r="F95" s="289">
        <f>data!T93</f>
        <v>0</v>
      </c>
      <c r="G95" s="289">
        <f>data!U93</f>
        <v>7</v>
      </c>
      <c r="H95" s="289">
        <f>data!V93</f>
        <v>0</v>
      </c>
      <c r="I95" s="289">
        <f>data!W93</f>
        <v>0</v>
      </c>
    </row>
    <row r="96" spans="1:9" customFormat="1" ht="20.149999999999999" customHeight="1" x14ac:dyDescent="0.35">
      <c r="A96" s="288">
        <v>26</v>
      </c>
      <c r="B96" s="289" t="s">
        <v>294</v>
      </c>
      <c r="C96" s="296">
        <f>data!Q94</f>
        <v>0.01</v>
      </c>
      <c r="D96" s="296">
        <f>data!R94</f>
        <v>1.1499999999999999</v>
      </c>
      <c r="E96" s="296">
        <f>data!S94</f>
        <v>0</v>
      </c>
      <c r="F96" s="296">
        <f>data!T94</f>
        <v>0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49999999999999" customHeight="1" x14ac:dyDescent="0.35">
      <c r="A97" s="282" t="s">
        <v>1002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49999999999999" customHeight="1" x14ac:dyDescent="0.35">
      <c r="D98" s="284"/>
      <c r="I98" s="285" t="s">
        <v>1029</v>
      </c>
    </row>
    <row r="99" spans="1:9" customFormat="1" ht="20.149999999999999" customHeight="1" x14ac:dyDescent="0.35">
      <c r="A99" s="284"/>
    </row>
    <row r="100" spans="1:9" customFormat="1" ht="20.149999999999999" customHeight="1" x14ac:dyDescent="0.35">
      <c r="A100" s="286" t="str">
        <f>"Hospital: "&amp;data!C98</f>
        <v>Hospital: Forks Community Hospital</v>
      </c>
      <c r="G100" s="287"/>
      <c r="H100" s="286" t="str">
        <f>"FYE: "&amp;data!C96</f>
        <v>FYE: 12/31/2023</v>
      </c>
    </row>
    <row r="101" spans="1:9" customFormat="1" ht="20.149999999999999" customHeight="1" x14ac:dyDescent="0.35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49999999999999" customHeight="1" x14ac:dyDescent="0.35">
      <c r="A102" s="292">
        <v>2</v>
      </c>
      <c r="B102" s="293" t="s">
        <v>1004</v>
      </c>
      <c r="C102" s="295" t="s">
        <v>1030</v>
      </c>
      <c r="D102" s="295" t="s">
        <v>1031</v>
      </c>
      <c r="E102" s="295" t="s">
        <v>1031</v>
      </c>
      <c r="F102" s="295" t="s">
        <v>141</v>
      </c>
      <c r="G102" s="295"/>
      <c r="H102" s="295" t="s">
        <v>143</v>
      </c>
      <c r="I102" s="295"/>
    </row>
    <row r="103" spans="1:9" customFormat="1" ht="20.149999999999999" customHeight="1" x14ac:dyDescent="0.35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49999999999999" customHeight="1" x14ac:dyDescent="0.35">
      <c r="A104" s="288">
        <v>3</v>
      </c>
      <c r="B104" s="289" t="s">
        <v>1008</v>
      </c>
      <c r="C104" s="290" t="s">
        <v>251</v>
      </c>
      <c r="D104" s="291" t="s">
        <v>1032</v>
      </c>
      <c r="E104" s="291" t="s">
        <v>1032</v>
      </c>
      <c r="F104" s="291" t="s">
        <v>1032</v>
      </c>
      <c r="G104" s="301"/>
      <c r="H104" s="291" t="s">
        <v>253</v>
      </c>
      <c r="I104" s="291" t="s">
        <v>254</v>
      </c>
    </row>
    <row r="105" spans="1:9" customFormat="1" ht="20.149999999999999" customHeight="1" x14ac:dyDescent="0.35">
      <c r="A105" s="288">
        <v>4</v>
      </c>
      <c r="B105" s="289" t="s">
        <v>261</v>
      </c>
      <c r="C105" s="289">
        <f>data!X59</f>
        <v>12926.89</v>
      </c>
      <c r="D105" s="289">
        <f>data!Y59</f>
        <v>7350.1</v>
      </c>
      <c r="E105" s="289">
        <f>data!Z59</f>
        <v>0</v>
      </c>
      <c r="F105" s="289">
        <f>data!AA59</f>
        <v>313.74</v>
      </c>
      <c r="G105" s="301"/>
      <c r="H105" s="289">
        <f>data!AC59</f>
        <v>737</v>
      </c>
      <c r="I105" s="289">
        <f>data!AD59</f>
        <v>0</v>
      </c>
    </row>
    <row r="106" spans="1:9" customFormat="1" ht="20.149999999999999" customHeight="1" x14ac:dyDescent="0.35">
      <c r="A106" s="288">
        <v>5</v>
      </c>
      <c r="B106" s="289" t="s">
        <v>262</v>
      </c>
      <c r="C106" s="296">
        <f>data!X60</f>
        <v>0</v>
      </c>
      <c r="D106" s="296">
        <f>data!Y60</f>
        <v>11.19</v>
      </c>
      <c r="E106" s="296">
        <f>data!Z60</f>
        <v>0</v>
      </c>
      <c r="F106" s="296">
        <f>data!AA60</f>
        <v>0</v>
      </c>
      <c r="G106" s="296">
        <f>data!AB60</f>
        <v>3.15</v>
      </c>
      <c r="H106" s="296">
        <f>data!AC60</f>
        <v>0.93</v>
      </c>
      <c r="I106" s="296">
        <f>data!AD60</f>
        <v>0</v>
      </c>
    </row>
    <row r="107" spans="1:9" customFormat="1" ht="20.149999999999999" customHeight="1" x14ac:dyDescent="0.35">
      <c r="A107" s="288">
        <v>6</v>
      </c>
      <c r="B107" s="289" t="s">
        <v>263</v>
      </c>
      <c r="C107" s="289">
        <f>data!X61</f>
        <v>0</v>
      </c>
      <c r="D107" s="289">
        <f>data!Y61</f>
        <v>1405329.12</v>
      </c>
      <c r="E107" s="289">
        <f>data!Z61</f>
        <v>0</v>
      </c>
      <c r="F107" s="289">
        <f>data!AA61</f>
        <v>0</v>
      </c>
      <c r="G107" s="289">
        <f>data!AB61</f>
        <v>285737.06</v>
      </c>
      <c r="H107" s="289">
        <f>data!AC61</f>
        <v>78371.33</v>
      </c>
      <c r="I107" s="289">
        <f>data!AD61</f>
        <v>0</v>
      </c>
    </row>
    <row r="108" spans="1:9" customFormat="1" ht="20.149999999999999" customHeight="1" x14ac:dyDescent="0.35">
      <c r="A108" s="288">
        <v>7</v>
      </c>
      <c r="B108" s="289" t="s">
        <v>11</v>
      </c>
      <c r="C108" s="289">
        <f>data!X62</f>
        <v>0</v>
      </c>
      <c r="D108" s="289">
        <f>data!Y62</f>
        <v>335959</v>
      </c>
      <c r="E108" s="289">
        <f>data!Z62</f>
        <v>0</v>
      </c>
      <c r="F108" s="289">
        <f>data!AA62</f>
        <v>0</v>
      </c>
      <c r="G108" s="289">
        <f>data!AB62</f>
        <v>68309</v>
      </c>
      <c r="H108" s="289">
        <f>data!AC62</f>
        <v>18736</v>
      </c>
      <c r="I108" s="289">
        <f>data!AD62</f>
        <v>0</v>
      </c>
    </row>
    <row r="109" spans="1:9" customFormat="1" ht="20.149999999999999" customHeight="1" x14ac:dyDescent="0.35">
      <c r="A109" s="288">
        <v>8</v>
      </c>
      <c r="B109" s="289" t="s">
        <v>264</v>
      </c>
      <c r="C109" s="289">
        <f>data!X63</f>
        <v>0</v>
      </c>
      <c r="D109" s="289">
        <f>data!Y63</f>
        <v>0</v>
      </c>
      <c r="E109" s="289">
        <f>data!Z63</f>
        <v>0</v>
      </c>
      <c r="F109" s="289">
        <f>data!AA63</f>
        <v>0</v>
      </c>
      <c r="G109" s="289">
        <f>data!AB63</f>
        <v>0</v>
      </c>
      <c r="H109" s="289">
        <f>data!AC63</f>
        <v>0</v>
      </c>
      <c r="I109" s="289">
        <f>data!AD63</f>
        <v>0</v>
      </c>
    </row>
    <row r="110" spans="1:9" customFormat="1" ht="20.149999999999999" customHeight="1" x14ac:dyDescent="0.35">
      <c r="A110" s="288">
        <v>9</v>
      </c>
      <c r="B110" s="289" t="s">
        <v>265</v>
      </c>
      <c r="C110" s="289">
        <f>data!X64</f>
        <v>17579.5</v>
      </c>
      <c r="D110" s="289">
        <f>data!Y64</f>
        <v>20741.230000000003</v>
      </c>
      <c r="E110" s="289">
        <f>data!Z64</f>
        <v>0</v>
      </c>
      <c r="F110" s="289">
        <f>data!AA64</f>
        <v>10822.089999999998</v>
      </c>
      <c r="G110" s="289">
        <f>data!AB64</f>
        <v>891641.71</v>
      </c>
      <c r="H110" s="289">
        <f>data!AC64</f>
        <v>2670.19</v>
      </c>
      <c r="I110" s="289">
        <f>data!AD64</f>
        <v>0</v>
      </c>
    </row>
    <row r="111" spans="1:9" customFormat="1" ht="20.149999999999999" customHeight="1" x14ac:dyDescent="0.35">
      <c r="A111" s="288">
        <v>10</v>
      </c>
      <c r="B111" s="289" t="s">
        <v>524</v>
      </c>
      <c r="C111" s="289">
        <f>data!X65</f>
        <v>0</v>
      </c>
      <c r="D111" s="289">
        <f>data!Y65</f>
        <v>0</v>
      </c>
      <c r="E111" s="289">
        <f>data!Z65</f>
        <v>0</v>
      </c>
      <c r="F111" s="289">
        <f>data!AA65</f>
        <v>0</v>
      </c>
      <c r="G111" s="289">
        <f>data!AB65</f>
        <v>0</v>
      </c>
      <c r="H111" s="289">
        <f>data!AC65</f>
        <v>0</v>
      </c>
      <c r="I111" s="289">
        <f>data!AD65</f>
        <v>0</v>
      </c>
    </row>
    <row r="112" spans="1:9" customFormat="1" ht="20.149999999999999" customHeight="1" x14ac:dyDescent="0.35">
      <c r="A112" s="288">
        <v>11</v>
      </c>
      <c r="B112" s="289" t="s">
        <v>525</v>
      </c>
      <c r="C112" s="289">
        <f>data!X66</f>
        <v>16106.900000000001</v>
      </c>
      <c r="D112" s="289">
        <f>data!Y66</f>
        <v>139467.29999999999</v>
      </c>
      <c r="E112" s="289">
        <f>data!Z66</f>
        <v>0</v>
      </c>
      <c r="F112" s="289">
        <f>data!AA66</f>
        <v>52271.990000000005</v>
      </c>
      <c r="G112" s="289">
        <f>data!AB66</f>
        <v>68919.540000000008</v>
      </c>
      <c r="H112" s="289">
        <f>data!AC66</f>
        <v>3774.94</v>
      </c>
      <c r="I112" s="289">
        <f>data!AD66</f>
        <v>0</v>
      </c>
    </row>
    <row r="113" spans="1:9" customFormat="1" ht="20.149999999999999" customHeight="1" x14ac:dyDescent="0.35">
      <c r="A113" s="288">
        <v>12</v>
      </c>
      <c r="B113" s="289" t="s">
        <v>16</v>
      </c>
      <c r="C113" s="289">
        <f>data!X67</f>
        <v>0</v>
      </c>
      <c r="D113" s="289">
        <f>data!Y67</f>
        <v>142591</v>
      </c>
      <c r="E113" s="289">
        <f>data!Z67</f>
        <v>0</v>
      </c>
      <c r="F113" s="289">
        <f>data!AA67</f>
        <v>0</v>
      </c>
      <c r="G113" s="289">
        <f>data!AB67</f>
        <v>8383</v>
      </c>
      <c r="H113" s="289">
        <f>data!AC67</f>
        <v>9525</v>
      </c>
      <c r="I113" s="289">
        <f>data!AD67</f>
        <v>0</v>
      </c>
    </row>
    <row r="114" spans="1:9" customFormat="1" ht="20.149999999999999" customHeight="1" x14ac:dyDescent="0.35">
      <c r="A114" s="288">
        <v>13</v>
      </c>
      <c r="B114" s="289" t="s">
        <v>1009</v>
      </c>
      <c r="C114" s="289">
        <f>data!X68</f>
        <v>0</v>
      </c>
      <c r="D114" s="289">
        <f>data!Y68</f>
        <v>497.20999999999992</v>
      </c>
      <c r="E114" s="289">
        <f>data!Z68</f>
        <v>0</v>
      </c>
      <c r="F114" s="289">
        <f>data!AA68</f>
        <v>0</v>
      </c>
      <c r="G114" s="289">
        <f>data!AB68</f>
        <v>48806.1</v>
      </c>
      <c r="H114" s="289">
        <f>data!AC68</f>
        <v>0</v>
      </c>
      <c r="I114" s="289">
        <f>data!AD68</f>
        <v>0</v>
      </c>
    </row>
    <row r="115" spans="1:9" customFormat="1" ht="20.149999999999999" customHeight="1" x14ac:dyDescent="0.35">
      <c r="A115" s="288">
        <v>14</v>
      </c>
      <c r="B115" s="289" t="s">
        <v>1010</v>
      </c>
      <c r="C115" s="289">
        <f>data!X69</f>
        <v>56685.4</v>
      </c>
      <c r="D115" s="289">
        <f>data!Y69</f>
        <v>177902.09</v>
      </c>
      <c r="E115" s="289">
        <f>data!Z69</f>
        <v>0</v>
      </c>
      <c r="F115" s="289">
        <f>data!AA69</f>
        <v>24844.86</v>
      </c>
      <c r="G115" s="289">
        <f>data!AB69</f>
        <v>69097.02</v>
      </c>
      <c r="H115" s="289">
        <f>data!AC69</f>
        <v>2327.2999999999997</v>
      </c>
      <c r="I115" s="289">
        <f>data!AD69</f>
        <v>0</v>
      </c>
    </row>
    <row r="116" spans="1:9" customFormat="1" ht="20.149999999999999" customHeight="1" x14ac:dyDescent="0.35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0</v>
      </c>
      <c r="H116" s="289">
        <f>-data!AC84</f>
        <v>0</v>
      </c>
      <c r="I116" s="289">
        <f>-data!AD84</f>
        <v>0</v>
      </c>
    </row>
    <row r="117" spans="1:9" customFormat="1" ht="20.149999999999999" customHeight="1" x14ac:dyDescent="0.35">
      <c r="A117" s="288">
        <v>16</v>
      </c>
      <c r="B117" s="297" t="s">
        <v>1011</v>
      </c>
      <c r="C117" s="289">
        <f>data!X85</f>
        <v>90371.8</v>
      </c>
      <c r="D117" s="289">
        <f>data!Y85</f>
        <v>2222486.9500000002</v>
      </c>
      <c r="E117" s="289">
        <f>data!Z85</f>
        <v>0</v>
      </c>
      <c r="F117" s="289">
        <f>data!AA85</f>
        <v>87938.94</v>
      </c>
      <c r="G117" s="289">
        <f>data!AB85</f>
        <v>1440893.4300000002</v>
      </c>
      <c r="H117" s="289">
        <f>data!AC85</f>
        <v>115404.76000000001</v>
      </c>
      <c r="I117" s="289">
        <f>data!AD85</f>
        <v>0</v>
      </c>
    </row>
    <row r="118" spans="1:9" customFormat="1" ht="20.149999999999999" customHeight="1" x14ac:dyDescent="0.35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49999999999999" customHeight="1" x14ac:dyDescent="0.35">
      <c r="A119" s="288">
        <v>18</v>
      </c>
      <c r="B119" s="289" t="s">
        <v>1012</v>
      </c>
      <c r="C119" s="297">
        <f>+data!M689</f>
        <v>508648</v>
      </c>
      <c r="D119" s="297">
        <f>+data!M690</f>
        <v>832686</v>
      </c>
      <c r="E119" s="297">
        <f>+data!M691</f>
        <v>0</v>
      </c>
      <c r="F119" s="297">
        <f>+data!M692</f>
        <v>27306</v>
      </c>
      <c r="G119" s="297">
        <f>+data!M693</f>
        <v>486894</v>
      </c>
      <c r="H119" s="297">
        <f>+data!M694</f>
        <v>76717</v>
      </c>
      <c r="I119" s="297">
        <f>+data!M695</f>
        <v>0</v>
      </c>
    </row>
    <row r="120" spans="1:9" customFormat="1" ht="20.149999999999999" customHeight="1" x14ac:dyDescent="0.35">
      <c r="A120" s="288">
        <v>19</v>
      </c>
      <c r="B120" s="297" t="s">
        <v>1013</v>
      </c>
      <c r="C120" s="289">
        <f>data!X87</f>
        <v>225908.3</v>
      </c>
      <c r="D120" s="289">
        <f>data!Y87</f>
        <v>123531</v>
      </c>
      <c r="E120" s="289">
        <f>data!Z87</f>
        <v>0</v>
      </c>
      <c r="F120" s="289">
        <f>data!AA87</f>
        <v>0</v>
      </c>
      <c r="G120" s="289">
        <f>data!AB87</f>
        <v>505872.08</v>
      </c>
      <c r="H120" s="289">
        <f>data!AC87</f>
        <v>95540</v>
      </c>
      <c r="I120" s="289">
        <f>data!AD87</f>
        <v>0</v>
      </c>
    </row>
    <row r="121" spans="1:9" customFormat="1" ht="20.149999999999999" customHeight="1" x14ac:dyDescent="0.35">
      <c r="A121" s="288">
        <v>20</v>
      </c>
      <c r="B121" s="297" t="s">
        <v>1014</v>
      </c>
      <c r="C121" s="289">
        <f>data!X88</f>
        <v>6370964.7000000002</v>
      </c>
      <c r="D121" s="289">
        <f>data!Y88</f>
        <v>6036236.2399999993</v>
      </c>
      <c r="E121" s="289">
        <f>data!Z88</f>
        <v>0</v>
      </c>
      <c r="F121" s="289">
        <f>data!AA88</f>
        <v>252958</v>
      </c>
      <c r="G121" s="289">
        <f>data!AB88</f>
        <v>3068937.02</v>
      </c>
      <c r="H121" s="289">
        <f>data!AC88</f>
        <v>300991</v>
      </c>
      <c r="I121" s="289">
        <f>data!AD88</f>
        <v>0</v>
      </c>
    </row>
    <row r="122" spans="1:9" customFormat="1" ht="20.149999999999999" customHeight="1" x14ac:dyDescent="0.35">
      <c r="A122" s="288">
        <v>21</v>
      </c>
      <c r="B122" s="297" t="s">
        <v>1015</v>
      </c>
      <c r="C122" s="289">
        <f>data!X89</f>
        <v>6596873</v>
      </c>
      <c r="D122" s="289">
        <f>data!Y89</f>
        <v>6159767.2399999993</v>
      </c>
      <c r="E122" s="289">
        <f>data!Z89</f>
        <v>0</v>
      </c>
      <c r="F122" s="289">
        <f>data!AA89</f>
        <v>252958</v>
      </c>
      <c r="G122" s="289">
        <f>data!AB89</f>
        <v>3574809.1</v>
      </c>
      <c r="H122" s="289">
        <f>data!AC89</f>
        <v>396531</v>
      </c>
      <c r="I122" s="289">
        <f>data!AD89</f>
        <v>0</v>
      </c>
    </row>
    <row r="123" spans="1:9" customFormat="1" ht="20.149999999999999" customHeight="1" x14ac:dyDescent="0.35">
      <c r="A123" s="288" t="s">
        <v>1016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49999999999999" customHeight="1" x14ac:dyDescent="0.35">
      <c r="A124" s="288">
        <v>22</v>
      </c>
      <c r="B124" s="289" t="s">
        <v>1017</v>
      </c>
      <c r="C124" s="289">
        <f>data!X90</f>
        <v>0</v>
      </c>
      <c r="D124" s="289">
        <f>data!Y90</f>
        <v>2491</v>
      </c>
      <c r="E124" s="289">
        <f>data!Z90</f>
        <v>0</v>
      </c>
      <c r="F124" s="289">
        <f>data!AA90</f>
        <v>0</v>
      </c>
      <c r="G124" s="289">
        <f>data!AB90</f>
        <v>394</v>
      </c>
      <c r="H124" s="289">
        <f>data!AC90</f>
        <v>752</v>
      </c>
      <c r="I124" s="289">
        <f>data!AD90</f>
        <v>0</v>
      </c>
    </row>
    <row r="125" spans="1:9" customFormat="1" ht="20.149999999999999" customHeight="1" x14ac:dyDescent="0.35">
      <c r="A125" s="288">
        <v>23</v>
      </c>
      <c r="B125" s="289" t="s">
        <v>1018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49999999999999" customHeight="1" x14ac:dyDescent="0.35">
      <c r="A126" s="288">
        <v>24</v>
      </c>
      <c r="B126" s="289" t="s">
        <v>1019</v>
      </c>
      <c r="C126" s="289">
        <f>data!X92</f>
        <v>151</v>
      </c>
      <c r="D126" s="289">
        <f>data!Y92</f>
        <v>884</v>
      </c>
      <c r="E126" s="289">
        <f>data!Z92</f>
        <v>0</v>
      </c>
      <c r="F126" s="289">
        <f>data!AA92</f>
        <v>0</v>
      </c>
      <c r="G126" s="289">
        <f>data!AB92</f>
        <v>122</v>
      </c>
      <c r="H126" s="289">
        <f>data!AC92</f>
        <v>130</v>
      </c>
      <c r="I126" s="289">
        <f>data!AD92</f>
        <v>0</v>
      </c>
    </row>
    <row r="127" spans="1:9" customFormat="1" ht="20.149999999999999" customHeight="1" x14ac:dyDescent="0.35">
      <c r="A127" s="288">
        <v>25</v>
      </c>
      <c r="B127" s="289" t="s">
        <v>1020</v>
      </c>
      <c r="C127" s="289">
        <f>data!X93</f>
        <v>997</v>
      </c>
      <c r="D127" s="289">
        <f>data!Y93</f>
        <v>583</v>
      </c>
      <c r="E127" s="289">
        <f>data!Z93</f>
        <v>0</v>
      </c>
      <c r="F127" s="289">
        <f>data!AA93</f>
        <v>0</v>
      </c>
      <c r="G127" s="289">
        <f>data!AB93</f>
        <v>0</v>
      </c>
      <c r="H127" s="289">
        <f>data!AC93</f>
        <v>129</v>
      </c>
      <c r="I127" s="289">
        <f>data!AD93</f>
        <v>0</v>
      </c>
    </row>
    <row r="128" spans="1:9" customFormat="1" ht="20.149999999999999" customHeight="1" x14ac:dyDescent="0.35">
      <c r="A128" s="288">
        <v>26</v>
      </c>
      <c r="B128" s="289" t="s">
        <v>294</v>
      </c>
      <c r="C128" s="296">
        <f>data!X94</f>
        <v>0</v>
      </c>
      <c r="D128" s="296">
        <f>data!Y94</f>
        <v>0</v>
      </c>
      <c r="E128" s="296">
        <f>data!Z94</f>
        <v>0</v>
      </c>
      <c r="F128" s="296">
        <f>data!AA94</f>
        <v>0</v>
      </c>
      <c r="G128" s="296">
        <f>data!AB94</f>
        <v>0</v>
      </c>
      <c r="H128" s="296">
        <f>data!AC94</f>
        <v>0</v>
      </c>
      <c r="I128" s="296">
        <f>data!AD94</f>
        <v>0</v>
      </c>
    </row>
    <row r="129" spans="1:14" customFormat="1" ht="20.149999999999999" customHeight="1" x14ac:dyDescent="0.35">
      <c r="A129" s="282" t="s">
        <v>1002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49999999999999" customHeight="1" x14ac:dyDescent="0.35">
      <c r="D130" s="284"/>
      <c r="I130" s="285" t="s">
        <v>1033</v>
      </c>
    </row>
    <row r="131" spans="1:14" customFormat="1" ht="20.149999999999999" customHeight="1" x14ac:dyDescent="0.35">
      <c r="A131" s="284"/>
    </row>
    <row r="132" spans="1:14" customFormat="1" ht="20.149999999999999" customHeight="1" x14ac:dyDescent="0.35">
      <c r="A132" s="286" t="str">
        <f>"Hospital: "&amp;data!C98</f>
        <v>Hospital: Forks Community Hospital</v>
      </c>
      <c r="G132" s="287"/>
      <c r="H132" s="286" t="str">
        <f>"FYE: "&amp;data!C96</f>
        <v>FYE: 12/31/2023</v>
      </c>
    </row>
    <row r="133" spans="1:14" customFormat="1" ht="20.149999999999999" customHeight="1" x14ac:dyDescent="0.35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49999999999999" customHeight="1" x14ac:dyDescent="0.35">
      <c r="A134" s="292">
        <v>2</v>
      </c>
      <c r="B134" s="293" t="s">
        <v>1004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1034</v>
      </c>
      <c r="H134" s="295"/>
      <c r="I134" s="295" t="s">
        <v>149</v>
      </c>
    </row>
    <row r="135" spans="1:14" customFormat="1" ht="20.149999999999999" customHeight="1" x14ac:dyDescent="0.35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49999999999999" customHeight="1" x14ac:dyDescent="0.35">
      <c r="A136" s="288">
        <v>3</v>
      </c>
      <c r="B136" s="289" t="s">
        <v>1008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1035</v>
      </c>
      <c r="H136" s="291" t="s">
        <v>255</v>
      </c>
      <c r="I136" s="291" t="s">
        <v>253</v>
      </c>
    </row>
    <row r="137" spans="1:14" customFormat="1" ht="20.149999999999999" customHeight="1" x14ac:dyDescent="0.35">
      <c r="A137" s="288">
        <v>4</v>
      </c>
      <c r="B137" s="289" t="s">
        <v>261</v>
      </c>
      <c r="C137" s="289">
        <f>data!AE59</f>
        <v>6238</v>
      </c>
      <c r="D137" s="289">
        <f>data!AF59</f>
        <v>0</v>
      </c>
      <c r="E137" s="289">
        <f>data!AG59</f>
        <v>4939</v>
      </c>
      <c r="F137" s="289">
        <f>data!AH59</f>
        <v>855</v>
      </c>
      <c r="G137" s="289">
        <f>data!AI59</f>
        <v>0</v>
      </c>
      <c r="H137" s="289">
        <f>data!AJ59</f>
        <v>16679</v>
      </c>
      <c r="I137" s="289">
        <f>data!AK59</f>
        <v>0</v>
      </c>
      <c r="K137" s="300"/>
      <c r="L137" s="302"/>
      <c r="M137" s="302"/>
      <c r="N137" s="302"/>
    </row>
    <row r="138" spans="1:14" customFormat="1" ht="20.149999999999999" customHeight="1" x14ac:dyDescent="0.35">
      <c r="A138" s="288">
        <v>5</v>
      </c>
      <c r="B138" s="289" t="s">
        <v>262</v>
      </c>
      <c r="C138" s="296">
        <f>data!AE60</f>
        <v>9.77</v>
      </c>
      <c r="D138" s="296">
        <f>data!AF60</f>
        <v>0</v>
      </c>
      <c r="E138" s="296">
        <f>data!AG60</f>
        <v>7</v>
      </c>
      <c r="F138" s="296">
        <f>data!AH60</f>
        <v>5.9</v>
      </c>
      <c r="G138" s="296">
        <f>data!AI60</f>
        <v>0.78</v>
      </c>
      <c r="H138" s="296">
        <f>data!AJ60</f>
        <v>34.159999999999997</v>
      </c>
      <c r="I138" s="296">
        <f>data!AK60</f>
        <v>0</v>
      </c>
    </row>
    <row r="139" spans="1:14" customFormat="1" ht="20.149999999999999" customHeight="1" x14ac:dyDescent="0.35">
      <c r="A139" s="288">
        <v>6</v>
      </c>
      <c r="B139" s="289" t="s">
        <v>263</v>
      </c>
      <c r="C139" s="289">
        <f>data!AE61</f>
        <v>654485.16</v>
      </c>
      <c r="D139" s="289">
        <f>data!AF61</f>
        <v>0</v>
      </c>
      <c r="E139" s="289">
        <f>data!AG61</f>
        <v>844109.16</v>
      </c>
      <c r="F139" s="289">
        <f>data!AH61</f>
        <v>432679.08</v>
      </c>
      <c r="G139" s="289">
        <f>data!AI61</f>
        <v>102574.96</v>
      </c>
      <c r="H139" s="289">
        <f>data!AJ61</f>
        <v>3576961.35</v>
      </c>
      <c r="I139" s="289">
        <f>data!AK61</f>
        <v>0</v>
      </c>
    </row>
    <row r="140" spans="1:14" customFormat="1" ht="20.149999999999999" customHeight="1" x14ac:dyDescent="0.35">
      <c r="A140" s="288">
        <v>7</v>
      </c>
      <c r="B140" s="289" t="s">
        <v>11</v>
      </c>
      <c r="C140" s="289">
        <f>data!AE62</f>
        <v>156462</v>
      </c>
      <c r="D140" s="289">
        <f>data!AF62</f>
        <v>0</v>
      </c>
      <c r="E140" s="289">
        <f>data!AG62</f>
        <v>201793</v>
      </c>
      <c r="F140" s="289">
        <f>data!AH62</f>
        <v>117514</v>
      </c>
      <c r="G140" s="289">
        <f>data!AI62</f>
        <v>24522</v>
      </c>
      <c r="H140" s="289">
        <f>data!AJ62</f>
        <v>1768342</v>
      </c>
      <c r="I140" s="289">
        <f>data!AK62</f>
        <v>0</v>
      </c>
    </row>
    <row r="141" spans="1:14" customFormat="1" ht="20.149999999999999" customHeight="1" x14ac:dyDescent="0.35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0</v>
      </c>
      <c r="F141" s="289">
        <f>data!AH63</f>
        <v>0</v>
      </c>
      <c r="G141" s="289">
        <f>data!AI63</f>
        <v>0</v>
      </c>
      <c r="H141" s="289">
        <f>data!AJ63</f>
        <v>0</v>
      </c>
      <c r="I141" s="289">
        <f>data!AK63</f>
        <v>0</v>
      </c>
    </row>
    <row r="142" spans="1:14" customFormat="1" ht="20.149999999999999" customHeight="1" x14ac:dyDescent="0.35">
      <c r="A142" s="288">
        <v>9</v>
      </c>
      <c r="B142" s="289" t="s">
        <v>265</v>
      </c>
      <c r="C142" s="289">
        <f>data!AE64</f>
        <v>23719.46</v>
      </c>
      <c r="D142" s="289">
        <f>data!AF64</f>
        <v>0</v>
      </c>
      <c r="E142" s="289">
        <f>data!AG64</f>
        <v>74674.45</v>
      </c>
      <c r="F142" s="289">
        <f>data!AH64</f>
        <v>49928.23</v>
      </c>
      <c r="G142" s="289">
        <f>data!AI64</f>
        <v>0</v>
      </c>
      <c r="H142" s="289">
        <f>data!AJ64</f>
        <v>150794.73000000001</v>
      </c>
      <c r="I142" s="289">
        <f>data!AK64</f>
        <v>0</v>
      </c>
    </row>
    <row r="143" spans="1:14" customFormat="1" ht="20.149999999999999" customHeight="1" x14ac:dyDescent="0.35">
      <c r="A143" s="288">
        <v>10</v>
      </c>
      <c r="B143" s="289" t="s">
        <v>524</v>
      </c>
      <c r="C143" s="289">
        <f>data!AE65</f>
        <v>0</v>
      </c>
      <c r="D143" s="289">
        <f>data!AF65</f>
        <v>0</v>
      </c>
      <c r="E143" s="289">
        <f>data!AG65</f>
        <v>0</v>
      </c>
      <c r="F143" s="289">
        <f>data!AH65</f>
        <v>0</v>
      </c>
      <c r="G143" s="289">
        <f>data!AI65</f>
        <v>0</v>
      </c>
      <c r="H143" s="289">
        <f>data!AJ65</f>
        <v>0</v>
      </c>
      <c r="I143" s="289">
        <f>data!AK65</f>
        <v>0</v>
      </c>
    </row>
    <row r="144" spans="1:14" customFormat="1" ht="20.149999999999999" customHeight="1" x14ac:dyDescent="0.35">
      <c r="A144" s="288">
        <v>11</v>
      </c>
      <c r="B144" s="289" t="s">
        <v>525</v>
      </c>
      <c r="C144" s="289">
        <f>data!AE66</f>
        <v>1208.8800000000001</v>
      </c>
      <c r="D144" s="289">
        <f>data!AF66</f>
        <v>0</v>
      </c>
      <c r="E144" s="289">
        <f>data!AG66</f>
        <v>47565.86</v>
      </c>
      <c r="F144" s="289">
        <f>data!AH66</f>
        <v>31260.81</v>
      </c>
      <c r="G144" s="289">
        <f>data!AI66</f>
        <v>0</v>
      </c>
      <c r="H144" s="289">
        <f>data!AJ66</f>
        <v>65285.56</v>
      </c>
      <c r="I144" s="289">
        <f>data!AK66</f>
        <v>0</v>
      </c>
    </row>
    <row r="145" spans="1:9" customFormat="1" ht="20.149999999999999" customHeight="1" x14ac:dyDescent="0.35">
      <c r="A145" s="288">
        <v>12</v>
      </c>
      <c r="B145" s="289" t="s">
        <v>16</v>
      </c>
      <c r="C145" s="289">
        <f>data!AE67</f>
        <v>57970</v>
      </c>
      <c r="D145" s="289">
        <f>data!AF67</f>
        <v>0</v>
      </c>
      <c r="E145" s="289">
        <f>data!AG67</f>
        <v>77699</v>
      </c>
      <c r="F145" s="289">
        <f>data!AH67</f>
        <v>260161</v>
      </c>
      <c r="G145" s="289">
        <f>data!AI67</f>
        <v>0</v>
      </c>
      <c r="H145" s="289">
        <f>data!AJ67</f>
        <v>188527</v>
      </c>
      <c r="I145" s="289">
        <f>data!AK67</f>
        <v>0</v>
      </c>
    </row>
    <row r="146" spans="1:9" customFormat="1" ht="20.149999999999999" customHeight="1" x14ac:dyDescent="0.35">
      <c r="A146" s="288">
        <v>13</v>
      </c>
      <c r="B146" s="289" t="s">
        <v>1009</v>
      </c>
      <c r="C146" s="289">
        <f>data!AE68</f>
        <v>680.96</v>
      </c>
      <c r="D146" s="289">
        <f>data!AF68</f>
        <v>0</v>
      </c>
      <c r="E146" s="289">
        <f>data!AG68</f>
        <v>222.95</v>
      </c>
      <c r="F146" s="289">
        <f>data!AH68</f>
        <v>8535.85</v>
      </c>
      <c r="G146" s="289">
        <f>data!AI68</f>
        <v>0</v>
      </c>
      <c r="H146" s="289">
        <f>data!AJ68</f>
        <v>4391.04</v>
      </c>
      <c r="I146" s="289">
        <f>data!AK68</f>
        <v>0</v>
      </c>
    </row>
    <row r="147" spans="1:9" customFormat="1" ht="20.149999999999999" customHeight="1" x14ac:dyDescent="0.35">
      <c r="A147" s="288">
        <v>14</v>
      </c>
      <c r="B147" s="289" t="s">
        <v>1010</v>
      </c>
      <c r="C147" s="289">
        <f>data!AE69</f>
        <v>179700.11999999997</v>
      </c>
      <c r="D147" s="289">
        <f>data!AF69</f>
        <v>0</v>
      </c>
      <c r="E147" s="289">
        <f>data!AG69</f>
        <v>1388115.1300000001</v>
      </c>
      <c r="F147" s="289">
        <f>data!AH69</f>
        <v>60626.310000000005</v>
      </c>
      <c r="G147" s="289">
        <f>data!AI69</f>
        <v>0</v>
      </c>
      <c r="H147" s="289">
        <f>data!AJ69</f>
        <v>691432.04999999993</v>
      </c>
      <c r="I147" s="289">
        <f>data!AK69</f>
        <v>0</v>
      </c>
    </row>
    <row r="148" spans="1:9" customFormat="1" ht="20.149999999999999" customHeight="1" x14ac:dyDescent="0.35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0</v>
      </c>
      <c r="I148" s="289">
        <f>-data!AK84</f>
        <v>0</v>
      </c>
    </row>
    <row r="149" spans="1:9" customFormat="1" ht="20.149999999999999" customHeight="1" x14ac:dyDescent="0.35">
      <c r="A149" s="288">
        <v>16</v>
      </c>
      <c r="B149" s="297" t="s">
        <v>1011</v>
      </c>
      <c r="C149" s="289">
        <f>data!AE85</f>
        <v>1074226.5799999998</v>
      </c>
      <c r="D149" s="289">
        <f>data!AF85</f>
        <v>0</v>
      </c>
      <c r="E149" s="289">
        <f>data!AG85</f>
        <v>2634179.5500000003</v>
      </c>
      <c r="F149" s="289">
        <f>data!AH85</f>
        <v>960705.28000000014</v>
      </c>
      <c r="G149" s="289">
        <f>data!AI85</f>
        <v>127096.96000000001</v>
      </c>
      <c r="H149" s="289">
        <f>data!AJ85</f>
        <v>6445733.7299999995</v>
      </c>
      <c r="I149" s="289">
        <f>data!AK85</f>
        <v>0</v>
      </c>
    </row>
    <row r="150" spans="1:9" customFormat="1" ht="20.149999999999999" customHeight="1" x14ac:dyDescent="0.35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49999999999999" customHeight="1" x14ac:dyDescent="0.35">
      <c r="A151" s="288">
        <v>18</v>
      </c>
      <c r="B151" s="289" t="s">
        <v>1012</v>
      </c>
      <c r="C151" s="297">
        <f>+data!M696</f>
        <v>521252</v>
      </c>
      <c r="D151" s="297">
        <f>+data!M697</f>
        <v>0</v>
      </c>
      <c r="E151" s="297">
        <f>+data!M698</f>
        <v>1630998</v>
      </c>
      <c r="F151" s="297">
        <f>+data!M699</f>
        <v>241747</v>
      </c>
      <c r="G151" s="297">
        <f>+data!M700</f>
        <v>168667</v>
      </c>
      <c r="H151" s="297">
        <f>+data!M701</f>
        <v>1975518</v>
      </c>
      <c r="I151" s="297">
        <f>+data!M702</f>
        <v>0</v>
      </c>
    </row>
    <row r="152" spans="1:9" customFormat="1" ht="20.149999999999999" customHeight="1" x14ac:dyDescent="0.35">
      <c r="A152" s="288">
        <v>19</v>
      </c>
      <c r="B152" s="297" t="s">
        <v>1013</v>
      </c>
      <c r="C152" s="289">
        <f>data!AE87</f>
        <v>298929</v>
      </c>
      <c r="D152" s="289">
        <f>data!AF87</f>
        <v>0</v>
      </c>
      <c r="E152" s="289">
        <f>data!AG87</f>
        <v>0</v>
      </c>
      <c r="F152" s="289">
        <f>data!AH87</f>
        <v>58143</v>
      </c>
      <c r="G152" s="289">
        <f>data!AI87</f>
        <v>119700</v>
      </c>
      <c r="H152" s="289">
        <f>data!AJ87</f>
        <v>0</v>
      </c>
      <c r="I152" s="289">
        <f>data!AK87</f>
        <v>0</v>
      </c>
    </row>
    <row r="153" spans="1:9" customFormat="1" ht="20.149999999999999" customHeight="1" x14ac:dyDescent="0.35">
      <c r="A153" s="288">
        <v>20</v>
      </c>
      <c r="B153" s="297" t="s">
        <v>1014</v>
      </c>
      <c r="C153" s="289">
        <f>data!AE88</f>
        <v>3378068.65</v>
      </c>
      <c r="D153" s="289">
        <f>data!AF88</f>
        <v>0</v>
      </c>
      <c r="E153" s="289">
        <f>data!AG88</f>
        <v>15088122</v>
      </c>
      <c r="F153" s="289">
        <f>data!AH88</f>
        <v>1009024</v>
      </c>
      <c r="G153" s="289">
        <f>data!AI88</f>
        <v>1861826</v>
      </c>
      <c r="H153" s="289">
        <f>data!AJ88</f>
        <v>6187066.8200000003</v>
      </c>
      <c r="I153" s="289">
        <f>data!AK88</f>
        <v>0</v>
      </c>
    </row>
    <row r="154" spans="1:9" customFormat="1" ht="20.149999999999999" customHeight="1" x14ac:dyDescent="0.35">
      <c r="A154" s="288">
        <v>21</v>
      </c>
      <c r="B154" s="297" t="s">
        <v>1015</v>
      </c>
      <c r="C154" s="289">
        <f>data!AE89</f>
        <v>3676997.65</v>
      </c>
      <c r="D154" s="289">
        <f>data!AF89</f>
        <v>0</v>
      </c>
      <c r="E154" s="289">
        <f>data!AG89</f>
        <v>15088122</v>
      </c>
      <c r="F154" s="289">
        <f>data!AH89</f>
        <v>1067167</v>
      </c>
      <c r="G154" s="289">
        <f>data!AI89</f>
        <v>1981526</v>
      </c>
      <c r="H154" s="289">
        <f>data!AJ89</f>
        <v>6187066.8200000003</v>
      </c>
      <c r="I154" s="289">
        <f>data!AK89</f>
        <v>0</v>
      </c>
    </row>
    <row r="155" spans="1:9" customFormat="1" ht="20.149999999999999" customHeight="1" x14ac:dyDescent="0.35">
      <c r="A155" s="288" t="s">
        <v>1016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49999999999999" customHeight="1" x14ac:dyDescent="0.35">
      <c r="A156" s="288">
        <v>22</v>
      </c>
      <c r="B156" s="289" t="s">
        <v>1017</v>
      </c>
      <c r="C156" s="289">
        <f>data!AE90</f>
        <v>2996</v>
      </c>
      <c r="D156" s="289">
        <f>data!AF90</f>
        <v>0</v>
      </c>
      <c r="E156" s="289">
        <f>data!AG90</f>
        <v>1577</v>
      </c>
      <c r="F156" s="289">
        <f>data!AH90</f>
        <v>1650</v>
      </c>
      <c r="G156" s="289">
        <f>data!AI90</f>
        <v>0</v>
      </c>
      <c r="H156" s="289">
        <f>data!AJ90</f>
        <v>13927</v>
      </c>
      <c r="I156" s="289">
        <f>data!AK90</f>
        <v>0</v>
      </c>
    </row>
    <row r="157" spans="1:9" customFormat="1" ht="20.149999999999999" customHeight="1" x14ac:dyDescent="0.35">
      <c r="A157" s="288">
        <v>23</v>
      </c>
      <c r="B157" s="289" t="s">
        <v>1018</v>
      </c>
      <c r="C157" s="289">
        <f>data!AE91</f>
        <v>0</v>
      </c>
      <c r="D157" s="289">
        <f>data!AF91</f>
        <v>0</v>
      </c>
      <c r="E157" s="289">
        <f>data!AG91</f>
        <v>0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49999999999999" customHeight="1" x14ac:dyDescent="0.35">
      <c r="A158" s="288">
        <v>24</v>
      </c>
      <c r="B158" s="289" t="s">
        <v>1019</v>
      </c>
      <c r="C158" s="289">
        <f>data!AE92</f>
        <v>221</v>
      </c>
      <c r="D158" s="289">
        <f>data!AF92</f>
        <v>0</v>
      </c>
      <c r="E158" s="289">
        <f>data!AG92</f>
        <v>1170</v>
      </c>
      <c r="F158" s="289">
        <f>data!AH92</f>
        <v>76</v>
      </c>
      <c r="G158" s="289">
        <f>data!AI92</f>
        <v>0</v>
      </c>
      <c r="H158" s="289">
        <f>data!AJ92</f>
        <v>3705</v>
      </c>
      <c r="I158" s="289">
        <f>data!AK92</f>
        <v>0</v>
      </c>
    </row>
    <row r="159" spans="1:9" customFormat="1" ht="20.149999999999999" customHeight="1" x14ac:dyDescent="0.35">
      <c r="A159" s="288">
        <v>25</v>
      </c>
      <c r="B159" s="289" t="s">
        <v>1020</v>
      </c>
      <c r="C159" s="289">
        <f>data!AE93</f>
        <v>4872</v>
      </c>
      <c r="D159" s="289">
        <f>data!AF93</f>
        <v>0</v>
      </c>
      <c r="E159" s="289">
        <f>data!AG93</f>
        <v>27935</v>
      </c>
      <c r="F159" s="289">
        <f>data!AH93</f>
        <v>0</v>
      </c>
      <c r="G159" s="289">
        <f>data!AI93</f>
        <v>0</v>
      </c>
      <c r="H159" s="289">
        <f>data!AJ93</f>
        <v>365</v>
      </c>
      <c r="I159" s="289">
        <f>data!AK93</f>
        <v>0</v>
      </c>
    </row>
    <row r="160" spans="1:9" customFormat="1" ht="20.149999999999999" customHeight="1" x14ac:dyDescent="0.35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1.93</v>
      </c>
      <c r="F160" s="296">
        <f>data!AH94</f>
        <v>0</v>
      </c>
      <c r="G160" s="296">
        <f>data!AI94</f>
        <v>0.65</v>
      </c>
      <c r="H160" s="296">
        <f>data!AJ94</f>
        <v>6.96</v>
      </c>
      <c r="I160" s="296">
        <f>data!AK94</f>
        <v>0</v>
      </c>
    </row>
    <row r="161" spans="1:9" customFormat="1" ht="20.149999999999999" customHeight="1" x14ac:dyDescent="0.35">
      <c r="A161" s="282" t="s">
        <v>1002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49999999999999" customHeight="1" x14ac:dyDescent="0.35">
      <c r="D162" s="284"/>
      <c r="I162" s="285" t="s">
        <v>1036</v>
      </c>
    </row>
    <row r="163" spans="1:9" customFormat="1" ht="20.149999999999999" customHeight="1" x14ac:dyDescent="0.35">
      <c r="A163" s="284"/>
    </row>
    <row r="164" spans="1:9" customFormat="1" ht="20.149999999999999" customHeight="1" x14ac:dyDescent="0.35">
      <c r="A164" s="286" t="str">
        <f>"Hospital: "&amp;data!C98</f>
        <v>Hospital: Forks Community Hospital</v>
      </c>
      <c r="G164" s="287"/>
      <c r="H164" s="286" t="str">
        <f>"FYE: "&amp;data!C96</f>
        <v>FYE: 12/31/2023</v>
      </c>
    </row>
    <row r="165" spans="1:9" customFormat="1" ht="20.149999999999999" customHeight="1" x14ac:dyDescent="0.35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49999999999999" customHeight="1" x14ac:dyDescent="0.35">
      <c r="A166" s="292">
        <v>2</v>
      </c>
      <c r="B166" s="293" t="s">
        <v>1004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1037</v>
      </c>
      <c r="H166" s="295" t="s">
        <v>154</v>
      </c>
      <c r="I166" s="295" t="s">
        <v>155</v>
      </c>
    </row>
    <row r="167" spans="1:9" customFormat="1" ht="20.149999999999999" customHeight="1" x14ac:dyDescent="0.35">
      <c r="A167" s="292"/>
      <c r="B167" s="293"/>
      <c r="C167" s="295" t="s">
        <v>199</v>
      </c>
      <c r="D167" s="295" t="s">
        <v>199</v>
      </c>
      <c r="E167" s="295" t="s">
        <v>1038</v>
      </c>
      <c r="F167" s="295" t="s">
        <v>209</v>
      </c>
      <c r="G167" s="295" t="s">
        <v>148</v>
      </c>
      <c r="H167" s="294" t="s">
        <v>1039</v>
      </c>
      <c r="I167" s="295" t="s">
        <v>196</v>
      </c>
    </row>
    <row r="168" spans="1:9" customFormat="1" ht="20.149999999999999" customHeight="1" x14ac:dyDescent="0.35">
      <c r="A168" s="288">
        <v>3</v>
      </c>
      <c r="B168" s="289" t="s">
        <v>1008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49999999999999" customHeight="1" x14ac:dyDescent="0.35">
      <c r="A169" s="288">
        <v>4</v>
      </c>
      <c r="B169" s="289" t="s">
        <v>261</v>
      </c>
      <c r="C169" s="289">
        <f>data!AL59</f>
        <v>0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0</v>
      </c>
      <c r="H169" s="289">
        <f>data!AQ59</f>
        <v>0</v>
      </c>
      <c r="I169" s="289">
        <f>data!AR59</f>
        <v>0</v>
      </c>
    </row>
    <row r="170" spans="1:9" customFormat="1" ht="20.149999999999999" customHeight="1" x14ac:dyDescent="0.35">
      <c r="A170" s="288">
        <v>5</v>
      </c>
      <c r="B170" s="289" t="s">
        <v>262</v>
      </c>
      <c r="C170" s="296">
        <f>data!AL60</f>
        <v>0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0</v>
      </c>
      <c r="H170" s="296">
        <f>data!AQ60</f>
        <v>0</v>
      </c>
      <c r="I170" s="296">
        <f>data!AR60</f>
        <v>0</v>
      </c>
    </row>
    <row r="171" spans="1:9" customFormat="1" ht="20.149999999999999" customHeight="1" x14ac:dyDescent="0.35">
      <c r="A171" s="288">
        <v>6</v>
      </c>
      <c r="B171" s="289" t="s">
        <v>263</v>
      </c>
      <c r="C171" s="289">
        <f>data!AL61</f>
        <v>0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0</v>
      </c>
      <c r="H171" s="289">
        <f>data!AQ61</f>
        <v>0</v>
      </c>
      <c r="I171" s="289">
        <f>data!AR61</f>
        <v>0</v>
      </c>
    </row>
    <row r="172" spans="1:9" customFormat="1" ht="20.149999999999999" customHeight="1" x14ac:dyDescent="0.35">
      <c r="A172" s="288">
        <v>7</v>
      </c>
      <c r="B172" s="289" t="s">
        <v>11</v>
      </c>
      <c r="C172" s="289">
        <f>data!AL62</f>
        <v>0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0</v>
      </c>
      <c r="H172" s="289">
        <f>data!AQ62</f>
        <v>0</v>
      </c>
      <c r="I172" s="289">
        <f>data!AR62</f>
        <v>0</v>
      </c>
    </row>
    <row r="173" spans="1:9" customFormat="1" ht="20.149999999999999" customHeight="1" x14ac:dyDescent="0.35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49999999999999" customHeight="1" x14ac:dyDescent="0.35">
      <c r="A174" s="288">
        <v>9</v>
      </c>
      <c r="B174" s="289" t="s">
        <v>265</v>
      </c>
      <c r="C174" s="289">
        <f>data!AL64</f>
        <v>0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0</v>
      </c>
      <c r="H174" s="289">
        <f>data!AQ64</f>
        <v>0</v>
      </c>
      <c r="I174" s="289">
        <f>data!AR64</f>
        <v>0</v>
      </c>
    </row>
    <row r="175" spans="1:9" customFormat="1" ht="20.149999999999999" customHeight="1" x14ac:dyDescent="0.35">
      <c r="A175" s="288">
        <v>10</v>
      </c>
      <c r="B175" s="289" t="s">
        <v>524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49999999999999" customHeight="1" x14ac:dyDescent="0.35">
      <c r="A176" s="288">
        <v>11</v>
      </c>
      <c r="B176" s="289" t="s">
        <v>525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0</v>
      </c>
      <c r="H176" s="289">
        <f>data!AQ66</f>
        <v>0</v>
      </c>
      <c r="I176" s="289">
        <f>data!AR66</f>
        <v>0</v>
      </c>
    </row>
    <row r="177" spans="1:9" customFormat="1" ht="20.149999999999999" customHeight="1" x14ac:dyDescent="0.35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0</v>
      </c>
      <c r="H177" s="289">
        <f>data!AQ67</f>
        <v>0</v>
      </c>
      <c r="I177" s="289">
        <f>data!AR67</f>
        <v>0</v>
      </c>
    </row>
    <row r="178" spans="1:9" customFormat="1" ht="20.149999999999999" customHeight="1" x14ac:dyDescent="0.35">
      <c r="A178" s="288">
        <v>13</v>
      </c>
      <c r="B178" s="289" t="s">
        <v>1009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0</v>
      </c>
      <c r="H178" s="289">
        <f>data!AQ68</f>
        <v>0</v>
      </c>
      <c r="I178" s="289">
        <f>data!AR68</f>
        <v>0</v>
      </c>
    </row>
    <row r="179" spans="1:9" customFormat="1" ht="20.149999999999999" customHeight="1" x14ac:dyDescent="0.35">
      <c r="A179" s="288">
        <v>14</v>
      </c>
      <c r="B179" s="289" t="s">
        <v>1010</v>
      </c>
      <c r="C179" s="289">
        <f>data!AL69</f>
        <v>0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0</v>
      </c>
      <c r="H179" s="289">
        <f>data!AQ69</f>
        <v>0</v>
      </c>
      <c r="I179" s="289">
        <f>data!AR69</f>
        <v>0</v>
      </c>
    </row>
    <row r="180" spans="1:9" customFormat="1" ht="20.149999999999999" customHeight="1" x14ac:dyDescent="0.35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49999999999999" customHeight="1" x14ac:dyDescent="0.35">
      <c r="A181" s="288">
        <v>16</v>
      </c>
      <c r="B181" s="297" t="s">
        <v>1011</v>
      </c>
      <c r="C181" s="289">
        <f>data!AL85</f>
        <v>0</v>
      </c>
      <c r="D181" s="289">
        <f>data!AM85</f>
        <v>0</v>
      </c>
      <c r="E181" s="289">
        <f>data!AN85</f>
        <v>0</v>
      </c>
      <c r="F181" s="289">
        <f>data!AO85</f>
        <v>0</v>
      </c>
      <c r="G181" s="289">
        <f>data!AP85</f>
        <v>0</v>
      </c>
      <c r="H181" s="289">
        <f>data!AQ85</f>
        <v>0</v>
      </c>
      <c r="I181" s="289">
        <f>data!AR85</f>
        <v>0</v>
      </c>
    </row>
    <row r="182" spans="1:9" customFormat="1" ht="20.149999999999999" customHeight="1" x14ac:dyDescent="0.35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49999999999999" customHeight="1" x14ac:dyDescent="0.35">
      <c r="A183" s="288">
        <v>18</v>
      </c>
      <c r="B183" s="289" t="s">
        <v>1012</v>
      </c>
      <c r="C183" s="297">
        <f>+data!M703</f>
        <v>0</v>
      </c>
      <c r="D183" s="297">
        <f>+data!M704</f>
        <v>0</v>
      </c>
      <c r="E183" s="297">
        <f>+data!M705</f>
        <v>0</v>
      </c>
      <c r="F183" s="297">
        <f>+data!M706</f>
        <v>0</v>
      </c>
      <c r="G183" s="297">
        <f>+data!M707</f>
        <v>0</v>
      </c>
      <c r="H183" s="297">
        <f>+data!M708</f>
        <v>0</v>
      </c>
      <c r="I183" s="297">
        <f>+data!M709</f>
        <v>0</v>
      </c>
    </row>
    <row r="184" spans="1:9" customFormat="1" ht="20.149999999999999" customHeight="1" x14ac:dyDescent="0.35">
      <c r="A184" s="288">
        <v>19</v>
      </c>
      <c r="B184" s="297" t="s">
        <v>1013</v>
      </c>
      <c r="C184" s="289">
        <f>data!AL87</f>
        <v>0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49999999999999" customHeight="1" x14ac:dyDescent="0.35">
      <c r="A185" s="288">
        <v>20</v>
      </c>
      <c r="B185" s="297" t="s">
        <v>1014</v>
      </c>
      <c r="C185" s="289">
        <f>data!AL88</f>
        <v>0</v>
      </c>
      <c r="D185" s="289">
        <f>data!AM88</f>
        <v>0</v>
      </c>
      <c r="E185" s="289">
        <f>data!AN88</f>
        <v>0</v>
      </c>
      <c r="F185" s="289">
        <f>data!AO88</f>
        <v>0</v>
      </c>
      <c r="G185" s="289">
        <f>data!AP88</f>
        <v>0</v>
      </c>
      <c r="H185" s="289">
        <f>data!AQ88</f>
        <v>0</v>
      </c>
      <c r="I185" s="289">
        <f>data!AR88</f>
        <v>0</v>
      </c>
    </row>
    <row r="186" spans="1:9" customFormat="1" ht="20.149999999999999" customHeight="1" x14ac:dyDescent="0.35">
      <c r="A186" s="288">
        <v>21</v>
      </c>
      <c r="B186" s="297" t="s">
        <v>1015</v>
      </c>
      <c r="C186" s="289">
        <f>data!AL89</f>
        <v>0</v>
      </c>
      <c r="D186" s="289">
        <f>data!AM89</f>
        <v>0</v>
      </c>
      <c r="E186" s="289">
        <f>data!AN89</f>
        <v>0</v>
      </c>
      <c r="F186" s="289">
        <f>data!AO89</f>
        <v>0</v>
      </c>
      <c r="G186" s="289">
        <f>data!AP89</f>
        <v>0</v>
      </c>
      <c r="H186" s="289">
        <f>data!AQ89</f>
        <v>0</v>
      </c>
      <c r="I186" s="289">
        <f>data!AR89</f>
        <v>0</v>
      </c>
    </row>
    <row r="187" spans="1:9" customFormat="1" ht="20.149999999999999" customHeight="1" x14ac:dyDescent="0.35">
      <c r="A187" s="288" t="s">
        <v>1016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49999999999999" customHeight="1" x14ac:dyDescent="0.35">
      <c r="A188" s="288">
        <v>22</v>
      </c>
      <c r="B188" s="289" t="s">
        <v>1017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0</v>
      </c>
      <c r="H188" s="289">
        <f>data!AQ90</f>
        <v>0</v>
      </c>
      <c r="I188" s="289">
        <f>data!AR90</f>
        <v>0</v>
      </c>
    </row>
    <row r="189" spans="1:9" customFormat="1" ht="20.149999999999999" customHeight="1" x14ac:dyDescent="0.35">
      <c r="A189" s="288">
        <v>23</v>
      </c>
      <c r="B189" s="289" t="s">
        <v>1018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49999999999999" customHeight="1" x14ac:dyDescent="0.35">
      <c r="A190" s="288">
        <v>24</v>
      </c>
      <c r="B190" s="289" t="s">
        <v>1019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0</v>
      </c>
      <c r="H190" s="289">
        <f>data!AQ92</f>
        <v>0</v>
      </c>
      <c r="I190" s="289">
        <f>data!AR92</f>
        <v>0</v>
      </c>
    </row>
    <row r="191" spans="1:9" customFormat="1" ht="20.149999999999999" customHeight="1" x14ac:dyDescent="0.35">
      <c r="A191" s="288">
        <v>25</v>
      </c>
      <c r="B191" s="289" t="s">
        <v>1020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49999999999999" customHeight="1" x14ac:dyDescent="0.35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49999999999999" customHeight="1" x14ac:dyDescent="0.35">
      <c r="A193" s="282" t="s">
        <v>1002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49999999999999" customHeight="1" x14ac:dyDescent="0.35">
      <c r="D194" s="284"/>
      <c r="I194" s="285" t="s">
        <v>1040</v>
      </c>
    </row>
    <row r="195" spans="1:9" customFormat="1" ht="20.149999999999999" customHeight="1" x14ac:dyDescent="0.35">
      <c r="A195" s="284"/>
    </row>
    <row r="196" spans="1:9" customFormat="1" ht="20.149999999999999" customHeight="1" x14ac:dyDescent="0.35">
      <c r="A196" s="286" t="str">
        <f>"Hospital: "&amp;data!C98</f>
        <v>Hospital: Forks Community Hospital</v>
      </c>
      <c r="G196" s="287"/>
      <c r="H196" s="286" t="str">
        <f>"FYE: "&amp;data!C96</f>
        <v>FYE: 12/31/2023</v>
      </c>
    </row>
    <row r="197" spans="1:9" customFormat="1" ht="20.149999999999999" customHeight="1" x14ac:dyDescent="0.35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49999999999999" customHeight="1" x14ac:dyDescent="0.35">
      <c r="A198" s="292">
        <v>2</v>
      </c>
      <c r="B198" s="293" t="s">
        <v>1004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1041</v>
      </c>
      <c r="H198" s="295" t="s">
        <v>161</v>
      </c>
      <c r="I198" s="295"/>
    </row>
    <row r="199" spans="1:9" customFormat="1" ht="20.149999999999999" customHeight="1" x14ac:dyDescent="0.35">
      <c r="A199" s="292"/>
      <c r="B199" s="293"/>
      <c r="C199" s="295" t="s">
        <v>156</v>
      </c>
      <c r="D199" s="295" t="s">
        <v>258</v>
      </c>
      <c r="E199" s="295" t="s">
        <v>1042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49999999999999" customHeight="1" x14ac:dyDescent="0.35">
      <c r="A200" s="288">
        <v>3</v>
      </c>
      <c r="B200" s="289" t="s">
        <v>1008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49999999999999" customHeight="1" x14ac:dyDescent="0.35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8396</v>
      </c>
      <c r="F201" s="301"/>
      <c r="G201" s="301"/>
      <c r="H201" s="301"/>
      <c r="I201" s="289">
        <f>data!AY59</f>
        <v>108021</v>
      </c>
    </row>
    <row r="202" spans="1:9" customFormat="1" ht="20.149999999999999" customHeight="1" x14ac:dyDescent="0.35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17.98</v>
      </c>
      <c r="F202" s="296">
        <f>data!AV60</f>
        <v>0</v>
      </c>
      <c r="G202" s="296">
        <f>data!AW60</f>
        <v>0</v>
      </c>
      <c r="H202" s="296">
        <f>data!AX60</f>
        <v>0</v>
      </c>
      <c r="I202" s="296">
        <f>data!AY60</f>
        <v>11.4</v>
      </c>
    </row>
    <row r="203" spans="1:9" customFormat="1" ht="20.149999999999999" customHeight="1" x14ac:dyDescent="0.35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1120704.3400000001</v>
      </c>
      <c r="F203" s="289">
        <f>data!AV61</f>
        <v>78123.88</v>
      </c>
      <c r="G203" s="289">
        <f>data!AW61</f>
        <v>0</v>
      </c>
      <c r="H203" s="289">
        <f>data!AX61</f>
        <v>0</v>
      </c>
      <c r="I203" s="289">
        <f>data!AY61</f>
        <v>620794.62</v>
      </c>
    </row>
    <row r="204" spans="1:9" customFormat="1" ht="20.149999999999999" customHeight="1" x14ac:dyDescent="0.35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563876</v>
      </c>
      <c r="F204" s="289">
        <f>data!AV62</f>
        <v>18676</v>
      </c>
      <c r="G204" s="289">
        <f>data!AW62</f>
        <v>0</v>
      </c>
      <c r="H204" s="289">
        <f>data!AX62</f>
        <v>0</v>
      </c>
      <c r="I204" s="289">
        <f>data!AY62</f>
        <v>148408</v>
      </c>
    </row>
    <row r="205" spans="1:9" customFormat="1" ht="20.149999999999999" customHeight="1" x14ac:dyDescent="0.35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0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49999999999999" customHeight="1" x14ac:dyDescent="0.35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26195.14</v>
      </c>
      <c r="F206" s="289">
        <f>data!AV64</f>
        <v>124406.39</v>
      </c>
      <c r="G206" s="289">
        <f>data!AW64</f>
        <v>0</v>
      </c>
      <c r="H206" s="289">
        <f>data!AX64</f>
        <v>0</v>
      </c>
      <c r="I206" s="289">
        <f>data!AY64</f>
        <v>372099.16</v>
      </c>
    </row>
    <row r="207" spans="1:9" customFormat="1" ht="20.149999999999999" customHeight="1" x14ac:dyDescent="0.35">
      <c r="A207" s="288">
        <v>10</v>
      </c>
      <c r="B207" s="289" t="s">
        <v>524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49999999999999" customHeight="1" x14ac:dyDescent="0.35">
      <c r="A208" s="288">
        <v>11</v>
      </c>
      <c r="B208" s="289" t="s">
        <v>525</v>
      </c>
      <c r="C208" s="289">
        <f>data!AS66</f>
        <v>0</v>
      </c>
      <c r="D208" s="289">
        <f>data!AT66</f>
        <v>0</v>
      </c>
      <c r="E208" s="289">
        <f>data!AU66</f>
        <v>58867.759999999995</v>
      </c>
      <c r="F208" s="289">
        <f>data!AV66</f>
        <v>35857.47</v>
      </c>
      <c r="G208" s="289">
        <f>data!AW66</f>
        <v>0</v>
      </c>
      <c r="H208" s="289">
        <f>data!AX66</f>
        <v>0</v>
      </c>
      <c r="I208" s="289">
        <f>data!AY66</f>
        <v>957.29</v>
      </c>
    </row>
    <row r="209" spans="1:9" customFormat="1" ht="20.149999999999999" customHeight="1" x14ac:dyDescent="0.35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19672</v>
      </c>
      <c r="F209" s="289">
        <f>data!AV67</f>
        <v>41432</v>
      </c>
      <c r="G209" s="289">
        <f>data!AW67</f>
        <v>0</v>
      </c>
      <c r="H209" s="289">
        <f>data!AX67</f>
        <v>0</v>
      </c>
      <c r="I209" s="289">
        <f>data!AY67</f>
        <v>15338</v>
      </c>
    </row>
    <row r="210" spans="1:9" customFormat="1" ht="20.149999999999999" customHeight="1" x14ac:dyDescent="0.35">
      <c r="A210" s="288">
        <v>13</v>
      </c>
      <c r="B210" s="289" t="s">
        <v>1009</v>
      </c>
      <c r="C210" s="289">
        <f>data!AS68</f>
        <v>0</v>
      </c>
      <c r="D210" s="289">
        <f>data!AT68</f>
        <v>0</v>
      </c>
      <c r="E210" s="289">
        <f>data!AU68</f>
        <v>2133.88</v>
      </c>
      <c r="F210" s="289">
        <f>data!AV68</f>
        <v>325.68</v>
      </c>
      <c r="G210" s="289">
        <f>data!AW68</f>
        <v>0</v>
      </c>
      <c r="H210" s="289">
        <f>data!AX68</f>
        <v>0</v>
      </c>
      <c r="I210" s="289">
        <f>data!AY68</f>
        <v>0</v>
      </c>
    </row>
    <row r="211" spans="1:9" customFormat="1" ht="20.149999999999999" customHeight="1" x14ac:dyDescent="0.35">
      <c r="A211" s="288">
        <v>14</v>
      </c>
      <c r="B211" s="289" t="s">
        <v>1010</v>
      </c>
      <c r="C211" s="289">
        <f>data!AS69</f>
        <v>0</v>
      </c>
      <c r="D211" s="289">
        <f>data!AT69</f>
        <v>0</v>
      </c>
      <c r="E211" s="289">
        <f>data!AU69</f>
        <v>55144.740000000005</v>
      </c>
      <c r="F211" s="289">
        <f>data!AV69</f>
        <v>128312.04999999997</v>
      </c>
      <c r="G211" s="289">
        <f>data!AW69</f>
        <v>0</v>
      </c>
      <c r="H211" s="289">
        <f>data!AX69</f>
        <v>0</v>
      </c>
      <c r="I211" s="289">
        <f>data!AY69</f>
        <v>11107.029999999999</v>
      </c>
    </row>
    <row r="212" spans="1:9" customFormat="1" ht="20.149999999999999" customHeight="1" x14ac:dyDescent="0.35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0</v>
      </c>
      <c r="G212" s="289">
        <f>-data!AW84</f>
        <v>0</v>
      </c>
      <c r="H212" s="289">
        <f>-data!AX84</f>
        <v>0</v>
      </c>
      <c r="I212" s="289">
        <f>-data!AY84</f>
        <v>0</v>
      </c>
    </row>
    <row r="213" spans="1:9" customFormat="1" ht="20.149999999999999" customHeight="1" x14ac:dyDescent="0.35">
      <c r="A213" s="288">
        <v>16</v>
      </c>
      <c r="B213" s="297" t="s">
        <v>1011</v>
      </c>
      <c r="C213" s="289">
        <f>data!AS85</f>
        <v>0</v>
      </c>
      <c r="D213" s="289">
        <f>data!AT85</f>
        <v>0</v>
      </c>
      <c r="E213" s="289">
        <f>data!AU85</f>
        <v>1846593.8599999999</v>
      </c>
      <c r="F213" s="289">
        <f>data!AV85</f>
        <v>427133.47</v>
      </c>
      <c r="G213" s="289">
        <f>data!AW85</f>
        <v>0</v>
      </c>
      <c r="H213" s="289">
        <f>data!AX85</f>
        <v>0</v>
      </c>
      <c r="I213" s="289">
        <f>data!AY85</f>
        <v>1168704.1000000001</v>
      </c>
    </row>
    <row r="214" spans="1:9" customFormat="1" ht="20.149999999999999" customHeight="1" x14ac:dyDescent="0.35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49999999999999" customHeight="1" x14ac:dyDescent="0.35">
      <c r="A215" s="288">
        <v>18</v>
      </c>
      <c r="B215" s="289" t="s">
        <v>1012</v>
      </c>
      <c r="C215" s="297">
        <f>+data!M710</f>
        <v>0</v>
      </c>
      <c r="D215" s="297">
        <f>+data!M711</f>
        <v>0</v>
      </c>
      <c r="E215" s="297">
        <f>+data!M712</f>
        <v>393299</v>
      </c>
      <c r="F215" s="297">
        <f>+data!M713</f>
        <v>220897</v>
      </c>
      <c r="G215" s="303"/>
      <c r="H215" s="289"/>
      <c r="I215" s="289"/>
    </row>
    <row r="216" spans="1:9" customFormat="1" ht="20.149999999999999" customHeight="1" x14ac:dyDescent="0.35">
      <c r="A216" s="288">
        <v>19</v>
      </c>
      <c r="B216" s="297" t="s">
        <v>1013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54530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49999999999999" customHeight="1" x14ac:dyDescent="0.35">
      <c r="A217" s="288">
        <v>20</v>
      </c>
      <c r="B217" s="297" t="s">
        <v>1014</v>
      </c>
      <c r="C217" s="289">
        <f>data!AS88</f>
        <v>0</v>
      </c>
      <c r="D217" s="289">
        <f>data!AT88</f>
        <v>0</v>
      </c>
      <c r="E217" s="289">
        <f>data!AU88</f>
        <v>1641188.37</v>
      </c>
      <c r="F217" s="289">
        <f>data!AV88</f>
        <v>2306430.1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49999999999999" customHeight="1" x14ac:dyDescent="0.35">
      <c r="A218" s="288">
        <v>21</v>
      </c>
      <c r="B218" s="297" t="s">
        <v>1015</v>
      </c>
      <c r="C218" s="289">
        <f>data!AS89</f>
        <v>0</v>
      </c>
      <c r="D218" s="289">
        <f>data!AT89</f>
        <v>0</v>
      </c>
      <c r="E218" s="289">
        <f>data!AU89</f>
        <v>1641188.37</v>
      </c>
      <c r="F218" s="289">
        <f>data!AV89</f>
        <v>2360960.1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49999999999999" customHeight="1" x14ac:dyDescent="0.35">
      <c r="A219" s="288" t="s">
        <v>1016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49999999999999" customHeight="1" x14ac:dyDescent="0.35">
      <c r="A220" s="288">
        <v>22</v>
      </c>
      <c r="B220" s="289" t="s">
        <v>1017</v>
      </c>
      <c r="C220" s="289">
        <f>data!AS90</f>
        <v>0</v>
      </c>
      <c r="D220" s="289">
        <f>data!AT90</f>
        <v>0</v>
      </c>
      <c r="E220" s="289">
        <f>data!AU90</f>
        <v>1910</v>
      </c>
      <c r="F220" s="289">
        <f>data!AV90</f>
        <v>0</v>
      </c>
      <c r="G220" s="289">
        <f>data!AW90</f>
        <v>0</v>
      </c>
      <c r="H220" s="289">
        <f>data!AX90</f>
        <v>0</v>
      </c>
      <c r="I220" s="289">
        <f>data!AY90</f>
        <v>1054</v>
      </c>
    </row>
    <row r="221" spans="1:9" customFormat="1" ht="20.149999999999999" customHeight="1" x14ac:dyDescent="0.35">
      <c r="A221" s="288">
        <v>23</v>
      </c>
      <c r="B221" s="289" t="s">
        <v>1018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49999999999999" customHeight="1" x14ac:dyDescent="0.35">
      <c r="A222" s="288">
        <v>24</v>
      </c>
      <c r="B222" s="289" t="s">
        <v>1019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49999999999999" customHeight="1" x14ac:dyDescent="0.35">
      <c r="A223" s="288">
        <v>25</v>
      </c>
      <c r="B223" s="289" t="s">
        <v>1020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49999999999999" customHeight="1" x14ac:dyDescent="0.35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0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49999999999999" customHeight="1" x14ac:dyDescent="0.35">
      <c r="A225" s="282" t="s">
        <v>1002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49999999999999" customHeight="1" x14ac:dyDescent="0.35">
      <c r="D226" s="284"/>
      <c r="I226" s="285" t="s">
        <v>1043</v>
      </c>
    </row>
    <row r="227" spans="1:9" customFormat="1" ht="20.149999999999999" customHeight="1" x14ac:dyDescent="0.35">
      <c r="A227" s="284"/>
    </row>
    <row r="228" spans="1:9" customFormat="1" ht="20.149999999999999" customHeight="1" x14ac:dyDescent="0.35">
      <c r="A228" s="286" t="str">
        <f>"Hospital: "&amp;data!C98</f>
        <v>Hospital: Forks Community Hospital</v>
      </c>
      <c r="G228" s="287"/>
      <c r="H228" s="286" t="str">
        <f>"FYE: "&amp;data!C96</f>
        <v>FYE: 12/31/2023</v>
      </c>
    </row>
    <row r="229" spans="1:9" customFormat="1" ht="20.149999999999999" customHeight="1" x14ac:dyDescent="0.35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49999999999999" customHeight="1" x14ac:dyDescent="0.35">
      <c r="A230" s="292">
        <v>2</v>
      </c>
      <c r="B230" s="293" t="s">
        <v>1004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49999999999999" customHeight="1" x14ac:dyDescent="0.35">
      <c r="A231" s="292"/>
      <c r="B231" s="293"/>
      <c r="C231" s="295" t="s">
        <v>163</v>
      </c>
      <c r="D231" s="295" t="s">
        <v>216</v>
      </c>
      <c r="E231" s="295" t="s">
        <v>1044</v>
      </c>
      <c r="F231" s="295" t="s">
        <v>1045</v>
      </c>
      <c r="G231" s="295" t="s">
        <v>166</v>
      </c>
      <c r="H231" s="295" t="s">
        <v>167</v>
      </c>
      <c r="I231" s="295" t="s">
        <v>168</v>
      </c>
    </row>
    <row r="232" spans="1:9" customFormat="1" ht="20.149999999999999" customHeight="1" x14ac:dyDescent="0.35">
      <c r="A232" s="288">
        <v>3</v>
      </c>
      <c r="B232" s="289" t="s">
        <v>1008</v>
      </c>
      <c r="C232" s="291" t="s">
        <v>1046</v>
      </c>
      <c r="D232" s="291" t="s">
        <v>1047</v>
      </c>
      <c r="E232" s="301"/>
      <c r="F232" s="301"/>
      <c r="G232" s="301"/>
      <c r="H232" s="291" t="s">
        <v>260</v>
      </c>
      <c r="I232" s="301"/>
    </row>
    <row r="233" spans="1:9" customFormat="1" ht="20.149999999999999" customHeight="1" x14ac:dyDescent="0.35">
      <c r="A233" s="288">
        <v>4</v>
      </c>
      <c r="B233" s="289" t="s">
        <v>261</v>
      </c>
      <c r="C233" s="289">
        <f>data!AZ59</f>
        <v>0</v>
      </c>
      <c r="D233" s="289">
        <f>data!BA59</f>
        <v>0</v>
      </c>
      <c r="E233" s="301"/>
      <c r="F233" s="301"/>
      <c r="G233" s="301"/>
      <c r="H233" s="289">
        <f>data!BE59</f>
        <v>60206</v>
      </c>
      <c r="I233" s="301"/>
    </row>
    <row r="234" spans="1:9" customFormat="1" ht="20.149999999999999" customHeight="1" x14ac:dyDescent="0.35">
      <c r="A234" s="288">
        <v>5</v>
      </c>
      <c r="B234" s="289" t="s">
        <v>262</v>
      </c>
      <c r="C234" s="296">
        <f>data!AZ60</f>
        <v>0</v>
      </c>
      <c r="D234" s="296">
        <f>data!BA60</f>
        <v>0.03</v>
      </c>
      <c r="E234" s="296">
        <f>data!BB60</f>
        <v>2.9</v>
      </c>
      <c r="F234" s="296">
        <f>data!BC60</f>
        <v>0</v>
      </c>
      <c r="G234" s="296">
        <f>data!BD60</f>
        <v>2.0499999999999998</v>
      </c>
      <c r="H234" s="296">
        <f>data!BE60</f>
        <v>7.75</v>
      </c>
      <c r="I234" s="296">
        <f>data!BF60</f>
        <v>14.8</v>
      </c>
    </row>
    <row r="235" spans="1:9" customFormat="1" ht="20.149999999999999" customHeight="1" x14ac:dyDescent="0.35">
      <c r="A235" s="288">
        <v>6</v>
      </c>
      <c r="B235" s="289" t="s">
        <v>263</v>
      </c>
      <c r="C235" s="289">
        <f>data!AZ61</f>
        <v>0</v>
      </c>
      <c r="D235" s="289">
        <f>data!BA61</f>
        <v>1310.75</v>
      </c>
      <c r="E235" s="289">
        <f>data!BB61</f>
        <v>246024.5</v>
      </c>
      <c r="F235" s="289">
        <f>data!BC61</f>
        <v>0</v>
      </c>
      <c r="G235" s="289">
        <f>data!BD61</f>
        <v>165483.82</v>
      </c>
      <c r="H235" s="289">
        <f>data!BE61</f>
        <v>553990.15</v>
      </c>
      <c r="I235" s="289">
        <f>data!BF61</f>
        <v>704583.82</v>
      </c>
    </row>
    <row r="236" spans="1:9" customFormat="1" ht="20.149999999999999" customHeight="1" x14ac:dyDescent="0.35">
      <c r="A236" s="288">
        <v>7</v>
      </c>
      <c r="B236" s="289" t="s">
        <v>11</v>
      </c>
      <c r="C236" s="289">
        <f>data!AZ62</f>
        <v>0</v>
      </c>
      <c r="D236" s="289">
        <f>data!BA62</f>
        <v>313</v>
      </c>
      <c r="E236" s="289">
        <f>data!BB62</f>
        <v>58815</v>
      </c>
      <c r="F236" s="289">
        <f>data!BC62</f>
        <v>0</v>
      </c>
      <c r="G236" s="289">
        <f>data!BD62</f>
        <v>39561</v>
      </c>
      <c r="H236" s="289">
        <f>data!BE62</f>
        <v>132437</v>
      </c>
      <c r="I236" s="289">
        <f>data!BF62</f>
        <v>168438</v>
      </c>
    </row>
    <row r="237" spans="1:9" customFormat="1" ht="20.149999999999999" customHeight="1" x14ac:dyDescent="0.35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0</v>
      </c>
      <c r="H237" s="289">
        <f>data!BE63</f>
        <v>0</v>
      </c>
      <c r="I237" s="289">
        <f>data!BF63</f>
        <v>0</v>
      </c>
    </row>
    <row r="238" spans="1:9" customFormat="1" ht="20.149999999999999" customHeight="1" x14ac:dyDescent="0.35">
      <c r="A238" s="288">
        <v>9</v>
      </c>
      <c r="B238" s="289" t="s">
        <v>265</v>
      </c>
      <c r="C238" s="289">
        <f>data!AZ64</f>
        <v>2229.65</v>
      </c>
      <c r="D238" s="289">
        <f>data!BA64</f>
        <v>15885.08</v>
      </c>
      <c r="E238" s="289">
        <f>data!BB64</f>
        <v>5109.3099999999995</v>
      </c>
      <c r="F238" s="289">
        <f>data!BC64</f>
        <v>0</v>
      </c>
      <c r="G238" s="289">
        <f>data!BD64</f>
        <v>2148.7900000000004</v>
      </c>
      <c r="H238" s="289">
        <f>data!BE64</f>
        <v>79598.040000000008</v>
      </c>
      <c r="I238" s="289">
        <f>data!BF64</f>
        <v>87195.5</v>
      </c>
    </row>
    <row r="239" spans="1:9" customFormat="1" ht="20.149999999999999" customHeight="1" x14ac:dyDescent="0.35">
      <c r="A239" s="288">
        <v>10</v>
      </c>
      <c r="B239" s="289" t="s">
        <v>524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0</v>
      </c>
      <c r="H239" s="289">
        <f>data!BE65</f>
        <v>0</v>
      </c>
      <c r="I239" s="289">
        <f>data!BF65</f>
        <v>0</v>
      </c>
    </row>
    <row r="240" spans="1:9" customFormat="1" ht="20.149999999999999" customHeight="1" x14ac:dyDescent="0.35">
      <c r="A240" s="288">
        <v>11</v>
      </c>
      <c r="B240" s="289" t="s">
        <v>525</v>
      </c>
      <c r="C240" s="289">
        <f>data!AZ66</f>
        <v>0</v>
      </c>
      <c r="D240" s="289">
        <f>data!BA66</f>
        <v>54148.979999999996</v>
      </c>
      <c r="E240" s="289">
        <f>data!BB66</f>
        <v>43.44</v>
      </c>
      <c r="F240" s="289">
        <f>data!BC66</f>
        <v>0</v>
      </c>
      <c r="G240" s="289">
        <f>data!BD66</f>
        <v>-19651.240000000002</v>
      </c>
      <c r="H240" s="289">
        <f>data!BE66</f>
        <v>111909.96</v>
      </c>
      <c r="I240" s="289">
        <f>data!BF66</f>
        <v>18348.260000000002</v>
      </c>
    </row>
    <row r="241" spans="1:9" customFormat="1" ht="20.149999999999999" customHeight="1" x14ac:dyDescent="0.35">
      <c r="A241" s="288">
        <v>12</v>
      </c>
      <c r="B241" s="289" t="s">
        <v>16</v>
      </c>
      <c r="C241" s="289">
        <f>data!AZ67</f>
        <v>44626</v>
      </c>
      <c r="D241" s="289">
        <f>data!BA67</f>
        <v>35270</v>
      </c>
      <c r="E241" s="289">
        <f>data!BB67</f>
        <v>3676</v>
      </c>
      <c r="F241" s="289">
        <f>data!BC67</f>
        <v>0</v>
      </c>
      <c r="G241" s="289">
        <f>data!BD67</f>
        <v>1021</v>
      </c>
      <c r="H241" s="289">
        <f>data!BE67</f>
        <v>38964</v>
      </c>
      <c r="I241" s="289">
        <f>data!BF67</f>
        <v>1174</v>
      </c>
    </row>
    <row r="242" spans="1:9" customFormat="1" ht="20.149999999999999" customHeight="1" x14ac:dyDescent="0.35">
      <c r="A242" s="288">
        <v>13</v>
      </c>
      <c r="B242" s="289" t="s">
        <v>1009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94.4</v>
      </c>
      <c r="H242" s="289">
        <f>data!BE68</f>
        <v>27304.59</v>
      </c>
      <c r="I242" s="289">
        <f>data!BF68</f>
        <v>0</v>
      </c>
    </row>
    <row r="243" spans="1:9" customFormat="1" ht="20.149999999999999" customHeight="1" x14ac:dyDescent="0.35">
      <c r="A243" s="288">
        <v>14</v>
      </c>
      <c r="B243" s="289" t="s">
        <v>1010</v>
      </c>
      <c r="C243" s="289">
        <f>data!AZ69</f>
        <v>299.10000000000002</v>
      </c>
      <c r="D243" s="289">
        <f>data!BA69</f>
        <v>253.20000000000002</v>
      </c>
      <c r="E243" s="289">
        <f>data!BB69</f>
        <v>2301.6</v>
      </c>
      <c r="F243" s="289">
        <f>data!BC69</f>
        <v>0</v>
      </c>
      <c r="G243" s="289">
        <f>data!BD69</f>
        <v>2757.3099999999995</v>
      </c>
      <c r="H243" s="289">
        <f>data!BE69</f>
        <v>481334.18</v>
      </c>
      <c r="I243" s="289">
        <f>data!BF69</f>
        <v>2226.06</v>
      </c>
    </row>
    <row r="244" spans="1:9" customFormat="1" ht="20.149999999999999" customHeight="1" x14ac:dyDescent="0.35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0</v>
      </c>
      <c r="I244" s="289">
        <f>-data!BF84</f>
        <v>0</v>
      </c>
    </row>
    <row r="245" spans="1:9" customFormat="1" ht="20.149999999999999" customHeight="1" x14ac:dyDescent="0.35">
      <c r="A245" s="288">
        <v>16</v>
      </c>
      <c r="B245" s="297" t="s">
        <v>1011</v>
      </c>
      <c r="C245" s="289">
        <f>data!AZ85</f>
        <v>47154.75</v>
      </c>
      <c r="D245" s="289">
        <f>data!BA85</f>
        <v>107181.01</v>
      </c>
      <c r="E245" s="289">
        <f>data!BB85</f>
        <v>315969.84999999998</v>
      </c>
      <c r="F245" s="289">
        <f>data!BC85</f>
        <v>0</v>
      </c>
      <c r="G245" s="289">
        <f>data!BD85</f>
        <v>191415.08000000002</v>
      </c>
      <c r="H245" s="289">
        <f>data!BE85</f>
        <v>1425537.92</v>
      </c>
      <c r="I245" s="289">
        <f>data!BF85</f>
        <v>981965.64</v>
      </c>
    </row>
    <row r="246" spans="1:9" customFormat="1" ht="20.149999999999999" customHeight="1" x14ac:dyDescent="0.35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49999999999999" customHeight="1" x14ac:dyDescent="0.35">
      <c r="A247" s="288">
        <v>18</v>
      </c>
      <c r="B247" s="289" t="s">
        <v>1012</v>
      </c>
      <c r="C247" s="289"/>
      <c r="D247" s="289"/>
      <c r="E247" s="289"/>
      <c r="F247" s="289"/>
      <c r="G247" s="289"/>
      <c r="H247" s="289"/>
      <c r="I247" s="289"/>
    </row>
    <row r="248" spans="1:9" customFormat="1" ht="20.149999999999999" customHeight="1" x14ac:dyDescent="0.35">
      <c r="A248" s="288">
        <v>19</v>
      </c>
      <c r="B248" s="297" t="s">
        <v>1013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49999999999999" customHeight="1" x14ac:dyDescent="0.35">
      <c r="A249" s="288">
        <v>20</v>
      </c>
      <c r="B249" s="297" t="s">
        <v>1014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49999999999999" customHeight="1" x14ac:dyDescent="0.35">
      <c r="A250" s="288">
        <v>21</v>
      </c>
      <c r="B250" s="297" t="s">
        <v>1015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49999999999999" customHeight="1" x14ac:dyDescent="0.35">
      <c r="A251" s="288" t="s">
        <v>1016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49999999999999" customHeight="1" x14ac:dyDescent="0.35">
      <c r="A252" s="288">
        <v>22</v>
      </c>
      <c r="B252" s="289" t="s">
        <v>1017</v>
      </c>
      <c r="C252" s="305">
        <f>data!AZ90</f>
        <v>736</v>
      </c>
      <c r="D252" s="305">
        <f>data!BA90</f>
        <v>747</v>
      </c>
      <c r="E252" s="305">
        <f>data!BB90</f>
        <v>360</v>
      </c>
      <c r="F252" s="305">
        <f>data!BC90</f>
        <v>0</v>
      </c>
      <c r="G252" s="305">
        <f>data!BD90</f>
        <v>100</v>
      </c>
      <c r="H252" s="305">
        <f>data!BE90</f>
        <v>1764</v>
      </c>
      <c r="I252" s="305">
        <f>data!BF90</f>
        <v>115</v>
      </c>
    </row>
    <row r="253" spans="1:9" customFormat="1" ht="20.149999999999999" customHeight="1" x14ac:dyDescent="0.35">
      <c r="A253" s="288">
        <v>23</v>
      </c>
      <c r="B253" s="289" t="s">
        <v>1018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49999999999999" customHeight="1" x14ac:dyDescent="0.35">
      <c r="A254" s="288">
        <v>24</v>
      </c>
      <c r="B254" s="289" t="s">
        <v>1019</v>
      </c>
      <c r="C254" s="304" t="str">
        <f>IF(data!AZ92&gt;0,data!AZ92,"")</f>
        <v>x</v>
      </c>
      <c r="D254" s="305">
        <f>data!BA92</f>
        <v>728</v>
      </c>
      <c r="E254" s="305">
        <f>data!BB92</f>
        <v>104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49999999999999" customHeight="1" x14ac:dyDescent="0.35">
      <c r="A255" s="288">
        <v>25</v>
      </c>
      <c r="B255" s="289" t="s">
        <v>1020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49999999999999" customHeight="1" x14ac:dyDescent="0.35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49999999999999" customHeight="1" x14ac:dyDescent="0.35">
      <c r="A257" s="282" t="s">
        <v>1002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49999999999999" customHeight="1" x14ac:dyDescent="0.35">
      <c r="D258" s="284"/>
      <c r="I258" s="285" t="s">
        <v>1048</v>
      </c>
    </row>
    <row r="259" spans="1:9" customFormat="1" ht="20.149999999999999" customHeight="1" x14ac:dyDescent="0.35">
      <c r="A259" s="284"/>
    </row>
    <row r="260" spans="1:9" customFormat="1" ht="20.149999999999999" customHeight="1" x14ac:dyDescent="0.35">
      <c r="A260" s="286" t="str">
        <f>"Hospital: "&amp;data!C98</f>
        <v>Hospital: Forks Community Hospital</v>
      </c>
      <c r="G260" s="287"/>
      <c r="H260" s="286" t="str">
        <f>"FYE: "&amp;data!C96</f>
        <v>FYE: 12/31/2023</v>
      </c>
    </row>
    <row r="261" spans="1:9" customFormat="1" ht="20.149999999999999" customHeight="1" x14ac:dyDescent="0.35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49999999999999" customHeight="1" x14ac:dyDescent="0.35">
      <c r="A262" s="292">
        <v>2</v>
      </c>
      <c r="B262" s="293" t="s">
        <v>1004</v>
      </c>
      <c r="C262" s="295" t="s">
        <v>1049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49999999999999" customHeight="1" x14ac:dyDescent="0.35">
      <c r="A263" s="292"/>
      <c r="B263" s="293"/>
      <c r="C263" s="295" t="s">
        <v>1050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1051</v>
      </c>
    </row>
    <row r="264" spans="1:9" customFormat="1" ht="20.149999999999999" customHeight="1" x14ac:dyDescent="0.35">
      <c r="A264" s="288">
        <v>3</v>
      </c>
      <c r="B264" s="289" t="s">
        <v>1008</v>
      </c>
      <c r="C264" s="301"/>
      <c r="D264" s="301"/>
      <c r="E264" s="301"/>
      <c r="F264" s="301"/>
      <c r="G264" s="301"/>
      <c r="H264" s="301"/>
      <c r="I264" s="301"/>
    </row>
    <row r="265" spans="1:9" customFormat="1" ht="20.149999999999999" customHeight="1" x14ac:dyDescent="0.35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49999999999999" customHeight="1" x14ac:dyDescent="0.35">
      <c r="A266" s="288">
        <v>5</v>
      </c>
      <c r="B266" s="289" t="s">
        <v>262</v>
      </c>
      <c r="C266" s="296">
        <f>data!BG60</f>
        <v>0</v>
      </c>
      <c r="D266" s="296">
        <f>data!BH60</f>
        <v>3.34</v>
      </c>
      <c r="E266" s="296">
        <f>data!BI60</f>
        <v>0</v>
      </c>
      <c r="F266" s="296">
        <f>data!BJ60</f>
        <v>4.03</v>
      </c>
      <c r="G266" s="296">
        <f>data!BK60</f>
        <v>13.74</v>
      </c>
      <c r="H266" s="296">
        <f>data!BL60</f>
        <v>6.69</v>
      </c>
      <c r="I266" s="296">
        <f>data!BM60</f>
        <v>0</v>
      </c>
    </row>
    <row r="267" spans="1:9" customFormat="1" ht="20.149999999999999" customHeight="1" x14ac:dyDescent="0.35">
      <c r="A267" s="288">
        <v>6</v>
      </c>
      <c r="B267" s="289" t="s">
        <v>263</v>
      </c>
      <c r="C267" s="289">
        <f>data!BG61</f>
        <v>0</v>
      </c>
      <c r="D267" s="289">
        <f>data!BH61</f>
        <v>288433.21000000002</v>
      </c>
      <c r="E267" s="289">
        <f>data!BI61</f>
        <v>0</v>
      </c>
      <c r="F267" s="289">
        <f>data!BJ61</f>
        <v>305066.78000000003</v>
      </c>
      <c r="G267" s="289">
        <f>data!BK61</f>
        <v>899064.43</v>
      </c>
      <c r="H267" s="289">
        <f>data!BL61</f>
        <v>350783.61</v>
      </c>
      <c r="I267" s="289">
        <f>data!BM61</f>
        <v>0</v>
      </c>
    </row>
    <row r="268" spans="1:9" customFormat="1" ht="20.149999999999999" customHeight="1" x14ac:dyDescent="0.35">
      <c r="A268" s="288">
        <v>7</v>
      </c>
      <c r="B268" s="289" t="s">
        <v>11</v>
      </c>
      <c r="C268" s="289">
        <f>data!BG62</f>
        <v>0</v>
      </c>
      <c r="D268" s="289">
        <f>data!BH62</f>
        <v>68953</v>
      </c>
      <c r="E268" s="289">
        <f>data!BI62</f>
        <v>0</v>
      </c>
      <c r="F268" s="289">
        <f>data!BJ62</f>
        <v>72930</v>
      </c>
      <c r="G268" s="289">
        <f>data!BK62</f>
        <v>214931</v>
      </c>
      <c r="H268" s="289">
        <f>data!BL62</f>
        <v>83859</v>
      </c>
      <c r="I268" s="289">
        <f>data!BM62</f>
        <v>0</v>
      </c>
    </row>
    <row r="269" spans="1:9" customFormat="1" ht="20.149999999999999" customHeight="1" x14ac:dyDescent="0.35">
      <c r="A269" s="288">
        <v>8</v>
      </c>
      <c r="B269" s="289" t="s">
        <v>264</v>
      </c>
      <c r="C269" s="289">
        <f>data!BG63</f>
        <v>0</v>
      </c>
      <c r="D269" s="289">
        <f>data!BH63</f>
        <v>0</v>
      </c>
      <c r="E269" s="289">
        <f>data!BI63</f>
        <v>0</v>
      </c>
      <c r="F269" s="289">
        <f>data!BJ63</f>
        <v>0</v>
      </c>
      <c r="G269" s="289">
        <f>data!BK63</f>
        <v>0</v>
      </c>
      <c r="H269" s="289">
        <f>data!BL63</f>
        <v>0</v>
      </c>
      <c r="I269" s="289">
        <f>data!BM63</f>
        <v>0</v>
      </c>
    </row>
    <row r="270" spans="1:9" customFormat="1" ht="20.149999999999999" customHeight="1" x14ac:dyDescent="0.35">
      <c r="A270" s="288">
        <v>9</v>
      </c>
      <c r="B270" s="289" t="s">
        <v>265</v>
      </c>
      <c r="C270" s="289">
        <f>data!BG64</f>
        <v>0</v>
      </c>
      <c r="D270" s="289">
        <f>data!BH64</f>
        <v>8694.81</v>
      </c>
      <c r="E270" s="289">
        <f>data!BI64</f>
        <v>0</v>
      </c>
      <c r="F270" s="289">
        <f>data!BJ64</f>
        <v>5846.42</v>
      </c>
      <c r="G270" s="289">
        <f>data!BK64</f>
        <v>13242.54</v>
      </c>
      <c r="H270" s="289">
        <f>data!BL64</f>
        <v>3847.3599999999997</v>
      </c>
      <c r="I270" s="289">
        <f>data!BM64</f>
        <v>0</v>
      </c>
    </row>
    <row r="271" spans="1:9" customFormat="1" ht="20.149999999999999" customHeight="1" x14ac:dyDescent="0.35">
      <c r="A271" s="288">
        <v>10</v>
      </c>
      <c r="B271" s="289" t="s">
        <v>524</v>
      </c>
      <c r="C271" s="289">
        <f>data!BG65</f>
        <v>0</v>
      </c>
      <c r="D271" s="289">
        <f>data!BH65</f>
        <v>0</v>
      </c>
      <c r="E271" s="289">
        <f>data!BI65</f>
        <v>0</v>
      </c>
      <c r="F271" s="289">
        <f>data!BJ65</f>
        <v>0</v>
      </c>
      <c r="G271" s="289">
        <f>data!BK65</f>
        <v>0</v>
      </c>
      <c r="H271" s="289">
        <f>data!BL65</f>
        <v>0</v>
      </c>
      <c r="I271" s="289">
        <f>data!BM65</f>
        <v>0</v>
      </c>
    </row>
    <row r="272" spans="1:9" customFormat="1" ht="20.149999999999999" customHeight="1" x14ac:dyDescent="0.35">
      <c r="A272" s="288">
        <v>11</v>
      </c>
      <c r="B272" s="289" t="s">
        <v>525</v>
      </c>
      <c r="C272" s="289">
        <f>data!BG66</f>
        <v>0</v>
      </c>
      <c r="D272" s="289">
        <f>data!BH66</f>
        <v>266650.84000000003</v>
      </c>
      <c r="E272" s="289">
        <f>data!BI66</f>
        <v>0</v>
      </c>
      <c r="F272" s="289">
        <f>data!BJ66</f>
        <v>45123.77</v>
      </c>
      <c r="G272" s="289">
        <f>data!BK66</f>
        <v>359707.75</v>
      </c>
      <c r="H272" s="289">
        <f>data!BL66</f>
        <v>8984.2900000000009</v>
      </c>
      <c r="I272" s="289">
        <f>data!BM66</f>
        <v>0</v>
      </c>
    </row>
    <row r="273" spans="1:9" customFormat="1" ht="20.149999999999999" customHeight="1" x14ac:dyDescent="0.35">
      <c r="A273" s="288">
        <v>12</v>
      </c>
      <c r="B273" s="289" t="s">
        <v>16</v>
      </c>
      <c r="C273" s="289">
        <f>data!BG67</f>
        <v>0</v>
      </c>
      <c r="D273" s="289">
        <f>data!BH67</f>
        <v>47220</v>
      </c>
      <c r="E273" s="289">
        <f>data!BI67</f>
        <v>0</v>
      </c>
      <c r="F273" s="289">
        <f>data!BJ67</f>
        <v>0</v>
      </c>
      <c r="G273" s="289">
        <f>data!BK67</f>
        <v>27518</v>
      </c>
      <c r="H273" s="289">
        <f>data!BL67</f>
        <v>4750</v>
      </c>
      <c r="I273" s="289">
        <f>data!BM67</f>
        <v>0</v>
      </c>
    </row>
    <row r="274" spans="1:9" customFormat="1" ht="20.149999999999999" customHeight="1" x14ac:dyDescent="0.35">
      <c r="A274" s="288">
        <v>13</v>
      </c>
      <c r="B274" s="289" t="s">
        <v>1009</v>
      </c>
      <c r="C274" s="289">
        <f>data!BG68</f>
        <v>0</v>
      </c>
      <c r="D274" s="289">
        <f>data!BH68</f>
        <v>0</v>
      </c>
      <c r="E274" s="289">
        <f>data!BI68</f>
        <v>0</v>
      </c>
      <c r="F274" s="289">
        <f>data!BJ68</f>
        <v>0</v>
      </c>
      <c r="G274" s="289">
        <f>data!BK68</f>
        <v>831.81</v>
      </c>
      <c r="H274" s="289">
        <f>data!BL68</f>
        <v>3941.24</v>
      </c>
      <c r="I274" s="289">
        <f>data!BM68</f>
        <v>0</v>
      </c>
    </row>
    <row r="275" spans="1:9" customFormat="1" ht="20.149999999999999" customHeight="1" x14ac:dyDescent="0.35">
      <c r="A275" s="288">
        <v>14</v>
      </c>
      <c r="B275" s="289" t="s">
        <v>1010</v>
      </c>
      <c r="C275" s="289">
        <f>data!BG69</f>
        <v>0</v>
      </c>
      <c r="D275" s="289">
        <f>data!BH69</f>
        <v>336205.9</v>
      </c>
      <c r="E275" s="289">
        <f>data!BI69</f>
        <v>0</v>
      </c>
      <c r="F275" s="289">
        <f>data!BJ69</f>
        <v>355517.11</v>
      </c>
      <c r="G275" s="289">
        <f>data!BK69</f>
        <v>19015.599999999999</v>
      </c>
      <c r="H275" s="289">
        <f>data!BL69</f>
        <v>4405.8600000000006</v>
      </c>
      <c r="I275" s="289">
        <f>data!BM69</f>
        <v>0</v>
      </c>
    </row>
    <row r="276" spans="1:9" customFormat="1" ht="20.149999999999999" customHeight="1" x14ac:dyDescent="0.35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0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49999999999999" customHeight="1" x14ac:dyDescent="0.35">
      <c r="A277" s="288">
        <v>16</v>
      </c>
      <c r="B277" s="297" t="s">
        <v>1011</v>
      </c>
      <c r="C277" s="289">
        <f>data!BG85</f>
        <v>0</v>
      </c>
      <c r="D277" s="289">
        <f>data!BH85</f>
        <v>1016157.7600000001</v>
      </c>
      <c r="E277" s="289">
        <f>data!BI85</f>
        <v>0</v>
      </c>
      <c r="F277" s="289">
        <f>data!BJ85</f>
        <v>784484.08000000007</v>
      </c>
      <c r="G277" s="289">
        <f>data!BK85</f>
        <v>1534311.1300000004</v>
      </c>
      <c r="H277" s="289">
        <f>data!BL85</f>
        <v>460571.35999999993</v>
      </c>
      <c r="I277" s="289">
        <f>data!BM85</f>
        <v>0</v>
      </c>
    </row>
    <row r="278" spans="1:9" customFormat="1" ht="20.149999999999999" customHeight="1" x14ac:dyDescent="0.35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49999999999999" customHeight="1" x14ac:dyDescent="0.35">
      <c r="A279" s="288">
        <v>18</v>
      </c>
      <c r="B279" s="289" t="s">
        <v>1012</v>
      </c>
      <c r="C279" s="289"/>
      <c r="D279" s="289"/>
      <c r="E279" s="289"/>
      <c r="F279" s="289"/>
      <c r="G279" s="289"/>
      <c r="H279" s="289"/>
      <c r="I279" s="289"/>
    </row>
    <row r="280" spans="1:9" customFormat="1" ht="20.149999999999999" customHeight="1" x14ac:dyDescent="0.35">
      <c r="A280" s="288">
        <v>19</v>
      </c>
      <c r="B280" s="297" t="s">
        <v>1013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49999999999999" customHeight="1" x14ac:dyDescent="0.35">
      <c r="A281" s="288">
        <v>20</v>
      </c>
      <c r="B281" s="297" t="s">
        <v>1014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49999999999999" customHeight="1" x14ac:dyDescent="0.35">
      <c r="A282" s="288">
        <v>21</v>
      </c>
      <c r="B282" s="297" t="s">
        <v>1015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49999999999999" customHeight="1" x14ac:dyDescent="0.35">
      <c r="A283" s="288" t="s">
        <v>1016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49999999999999" customHeight="1" x14ac:dyDescent="0.35">
      <c r="A284" s="288">
        <v>22</v>
      </c>
      <c r="B284" s="289" t="s">
        <v>1017</v>
      </c>
      <c r="C284" s="305">
        <f>data!BG90</f>
        <v>0</v>
      </c>
      <c r="D284" s="305">
        <f>data!BH90</f>
        <v>356</v>
      </c>
      <c r="E284" s="305">
        <f>data!BI90</f>
        <v>0</v>
      </c>
      <c r="F284" s="305">
        <f>data!BJ90</f>
        <v>0</v>
      </c>
      <c r="G284" s="305">
        <f>data!BK90</f>
        <v>2695</v>
      </c>
      <c r="H284" s="305">
        <f>data!BL90</f>
        <v>148</v>
      </c>
      <c r="I284" s="305">
        <f>data!BM90</f>
        <v>0</v>
      </c>
    </row>
    <row r="285" spans="1:9" customFormat="1" ht="20.149999999999999" customHeight="1" x14ac:dyDescent="0.35">
      <c r="A285" s="288">
        <v>23</v>
      </c>
      <c r="B285" s="289" t="s">
        <v>1018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49999999999999" customHeight="1" x14ac:dyDescent="0.35">
      <c r="A286" s="288">
        <v>24</v>
      </c>
      <c r="B286" s="289" t="s">
        <v>1019</v>
      </c>
      <c r="C286" s="304" t="str">
        <f>IF(data!BG92&gt;0,data!BG92,"")</f>
        <v>x</v>
      </c>
      <c r="D286" s="305">
        <f>data!BH92</f>
        <v>0</v>
      </c>
      <c r="E286" s="305">
        <f>data!BI92</f>
        <v>0</v>
      </c>
      <c r="F286" s="304" t="str">
        <f>IF(data!BJ92&gt;0,data!BJ92,"")</f>
        <v>x</v>
      </c>
      <c r="G286" s="305">
        <f>data!BK92</f>
        <v>234</v>
      </c>
      <c r="H286" s="305">
        <f>data!BL92</f>
        <v>156</v>
      </c>
      <c r="I286" s="305">
        <f>data!BM92</f>
        <v>76</v>
      </c>
    </row>
    <row r="287" spans="1:9" customFormat="1" ht="20.149999999999999" customHeight="1" x14ac:dyDescent="0.35">
      <c r="A287" s="288">
        <v>25</v>
      </c>
      <c r="B287" s="289" t="s">
        <v>1020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49999999999999" customHeight="1" x14ac:dyDescent="0.35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49999999999999" customHeight="1" x14ac:dyDescent="0.35">
      <c r="A289" s="282" t="s">
        <v>1002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49999999999999" customHeight="1" x14ac:dyDescent="0.35">
      <c r="D290" s="284"/>
      <c r="I290" s="285" t="s">
        <v>1052</v>
      </c>
    </row>
    <row r="291" spans="1:9" customFormat="1" ht="20.149999999999999" customHeight="1" x14ac:dyDescent="0.35">
      <c r="A291" s="284"/>
    </row>
    <row r="292" spans="1:9" customFormat="1" ht="20.149999999999999" customHeight="1" x14ac:dyDescent="0.35">
      <c r="A292" s="286" t="str">
        <f>"Hospital: "&amp;data!C98</f>
        <v>Hospital: Forks Community Hospital</v>
      </c>
      <c r="G292" s="287"/>
      <c r="H292" s="286" t="str">
        <f>"FYE: "&amp;data!C96</f>
        <v>FYE: 12/31/2023</v>
      </c>
    </row>
    <row r="293" spans="1:9" customFormat="1" ht="20.149999999999999" customHeight="1" x14ac:dyDescent="0.35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49999999999999" customHeight="1" x14ac:dyDescent="0.35">
      <c r="A294" s="292">
        <v>2</v>
      </c>
      <c r="B294" s="293" t="s">
        <v>1004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49999999999999" customHeight="1" x14ac:dyDescent="0.35">
      <c r="A295" s="292"/>
      <c r="B295" s="293"/>
      <c r="C295" s="295" t="s">
        <v>1053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49999999999999" customHeight="1" x14ac:dyDescent="0.35">
      <c r="A296" s="288">
        <v>3</v>
      </c>
      <c r="B296" s="289" t="s">
        <v>1008</v>
      </c>
      <c r="C296" s="301"/>
      <c r="D296" s="301"/>
      <c r="E296" s="301"/>
      <c r="F296" s="301"/>
      <c r="G296" s="301"/>
      <c r="H296" s="301"/>
      <c r="I296" s="301"/>
    </row>
    <row r="297" spans="1:9" customFormat="1" ht="20.149999999999999" customHeight="1" x14ac:dyDescent="0.35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49999999999999" customHeight="1" x14ac:dyDescent="0.35">
      <c r="A298" s="288">
        <v>5</v>
      </c>
      <c r="B298" s="289" t="s">
        <v>262</v>
      </c>
      <c r="C298" s="296">
        <f>data!BN60</f>
        <v>3.84</v>
      </c>
      <c r="D298" s="296">
        <f>data!BO60</f>
        <v>0</v>
      </c>
      <c r="E298" s="296">
        <f>data!BP60</f>
        <v>0</v>
      </c>
      <c r="F298" s="296">
        <f>data!BQ60</f>
        <v>0</v>
      </c>
      <c r="G298" s="296">
        <f>data!BR60</f>
        <v>3.02</v>
      </c>
      <c r="H298" s="296">
        <f>data!BS60</f>
        <v>0</v>
      </c>
      <c r="I298" s="296">
        <f>data!BT60</f>
        <v>0</v>
      </c>
    </row>
    <row r="299" spans="1:9" customFormat="1" ht="20.149999999999999" customHeight="1" x14ac:dyDescent="0.35">
      <c r="A299" s="288">
        <v>6</v>
      </c>
      <c r="B299" s="289" t="s">
        <v>263</v>
      </c>
      <c r="C299" s="289">
        <f>data!BN61</f>
        <v>650964.19999999995</v>
      </c>
      <c r="D299" s="289">
        <f>data!BO61</f>
        <v>0</v>
      </c>
      <c r="E299" s="289">
        <f>data!BP61</f>
        <v>0</v>
      </c>
      <c r="F299" s="289">
        <f>data!BQ61</f>
        <v>0</v>
      </c>
      <c r="G299" s="289">
        <f>data!BR61</f>
        <v>205313.74</v>
      </c>
      <c r="H299" s="289">
        <f>data!BS61</f>
        <v>0</v>
      </c>
      <c r="I299" s="289">
        <f>data!BT61</f>
        <v>0</v>
      </c>
    </row>
    <row r="300" spans="1:9" customFormat="1" ht="20.149999999999999" customHeight="1" x14ac:dyDescent="0.35">
      <c r="A300" s="288">
        <v>7</v>
      </c>
      <c r="B300" s="289" t="s">
        <v>11</v>
      </c>
      <c r="C300" s="289">
        <f>data!BN62</f>
        <v>157035</v>
      </c>
      <c r="D300" s="289">
        <f>data!BO62</f>
        <v>0</v>
      </c>
      <c r="E300" s="289">
        <f>data!BP62</f>
        <v>0</v>
      </c>
      <c r="F300" s="289">
        <f>data!BQ62</f>
        <v>0</v>
      </c>
      <c r="G300" s="289">
        <f>data!BR62</f>
        <v>54804</v>
      </c>
      <c r="H300" s="289">
        <f>data!BS62</f>
        <v>0</v>
      </c>
      <c r="I300" s="289">
        <f>data!BT62</f>
        <v>0</v>
      </c>
    </row>
    <row r="301" spans="1:9" customFormat="1" ht="20.149999999999999" customHeight="1" x14ac:dyDescent="0.35">
      <c r="A301" s="288">
        <v>8</v>
      </c>
      <c r="B301" s="289" t="s">
        <v>264</v>
      </c>
      <c r="C301" s="289">
        <f>data!BN63</f>
        <v>0</v>
      </c>
      <c r="D301" s="289">
        <f>data!BO63</f>
        <v>0</v>
      </c>
      <c r="E301" s="289">
        <f>data!BP63</f>
        <v>0</v>
      </c>
      <c r="F301" s="289">
        <f>data!BQ63</f>
        <v>0</v>
      </c>
      <c r="G301" s="289">
        <f>data!BR63</f>
        <v>0</v>
      </c>
      <c r="H301" s="289">
        <f>data!BS63</f>
        <v>0</v>
      </c>
      <c r="I301" s="289">
        <f>data!BT63</f>
        <v>0</v>
      </c>
    </row>
    <row r="302" spans="1:9" customFormat="1" ht="20.149999999999999" customHeight="1" x14ac:dyDescent="0.35">
      <c r="A302" s="288">
        <v>9</v>
      </c>
      <c r="B302" s="289" t="s">
        <v>265</v>
      </c>
      <c r="C302" s="289">
        <f>data!BN64</f>
        <v>25136.55</v>
      </c>
      <c r="D302" s="289">
        <f>data!BO64</f>
        <v>0</v>
      </c>
      <c r="E302" s="289">
        <f>data!BP64</f>
        <v>0</v>
      </c>
      <c r="F302" s="289">
        <f>data!BQ64</f>
        <v>0</v>
      </c>
      <c r="G302" s="289">
        <f>data!BR64</f>
        <v>6056.02</v>
      </c>
      <c r="H302" s="289">
        <f>data!BS64</f>
        <v>0</v>
      </c>
      <c r="I302" s="289">
        <f>data!BT64</f>
        <v>0</v>
      </c>
    </row>
    <row r="303" spans="1:9" customFormat="1" ht="20.149999999999999" customHeight="1" x14ac:dyDescent="0.35">
      <c r="A303" s="288">
        <v>10</v>
      </c>
      <c r="B303" s="289" t="s">
        <v>524</v>
      </c>
      <c r="C303" s="289">
        <f>data!BN65</f>
        <v>0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49999999999999" customHeight="1" x14ac:dyDescent="0.35">
      <c r="A304" s="288">
        <v>11</v>
      </c>
      <c r="B304" s="289" t="s">
        <v>525</v>
      </c>
      <c r="C304" s="289">
        <f>data!BN66</f>
        <v>150238.94</v>
      </c>
      <c r="D304" s="289">
        <f>data!BO66</f>
        <v>0</v>
      </c>
      <c r="E304" s="289">
        <f>data!BP66</f>
        <v>18670.04</v>
      </c>
      <c r="F304" s="289">
        <f>data!BQ66</f>
        <v>0</v>
      </c>
      <c r="G304" s="289">
        <f>data!BR66</f>
        <v>14408.84</v>
      </c>
      <c r="H304" s="289">
        <f>data!BS66</f>
        <v>0</v>
      </c>
      <c r="I304" s="289">
        <f>data!BT66</f>
        <v>0</v>
      </c>
    </row>
    <row r="305" spans="1:9" customFormat="1" ht="20.149999999999999" customHeight="1" x14ac:dyDescent="0.35">
      <c r="A305" s="288">
        <v>12</v>
      </c>
      <c r="B305" s="289" t="s">
        <v>16</v>
      </c>
      <c r="C305" s="289">
        <f>data!BN67</f>
        <v>88189</v>
      </c>
      <c r="D305" s="289">
        <f>data!BO67</f>
        <v>0</v>
      </c>
      <c r="E305" s="289">
        <f>data!BP67</f>
        <v>0</v>
      </c>
      <c r="F305" s="289">
        <f>data!BQ67</f>
        <v>0</v>
      </c>
      <c r="G305" s="289">
        <f>data!BR67</f>
        <v>11038</v>
      </c>
      <c r="H305" s="289">
        <f>data!BS67</f>
        <v>0</v>
      </c>
      <c r="I305" s="289">
        <f>data!BT67</f>
        <v>0</v>
      </c>
    </row>
    <row r="306" spans="1:9" customFormat="1" ht="20.149999999999999" customHeight="1" x14ac:dyDescent="0.35">
      <c r="A306" s="288">
        <v>13</v>
      </c>
      <c r="B306" s="289" t="s">
        <v>1009</v>
      </c>
      <c r="C306" s="289">
        <f>data!BN68</f>
        <v>33525.43</v>
      </c>
      <c r="D306" s="289">
        <f>data!BO68</f>
        <v>0</v>
      </c>
      <c r="E306" s="289">
        <f>data!BP68</f>
        <v>0</v>
      </c>
      <c r="F306" s="289">
        <f>data!BQ68</f>
        <v>0</v>
      </c>
      <c r="G306" s="289">
        <f>data!BR68</f>
        <v>452.55</v>
      </c>
      <c r="H306" s="289">
        <f>data!BS68</f>
        <v>0</v>
      </c>
      <c r="I306" s="289">
        <f>data!BT68</f>
        <v>0</v>
      </c>
    </row>
    <row r="307" spans="1:9" customFormat="1" ht="20.149999999999999" customHeight="1" x14ac:dyDescent="0.35">
      <c r="A307" s="288">
        <v>14</v>
      </c>
      <c r="B307" s="289" t="s">
        <v>1010</v>
      </c>
      <c r="C307" s="289">
        <f>data!BN69</f>
        <v>1283135.3799999999</v>
      </c>
      <c r="D307" s="289">
        <f>data!BO69</f>
        <v>713.01</v>
      </c>
      <c r="E307" s="289">
        <f>data!BP69</f>
        <v>0</v>
      </c>
      <c r="F307" s="289">
        <f>data!BQ69</f>
        <v>0</v>
      </c>
      <c r="G307" s="289">
        <f>data!BR69</f>
        <v>60215.3</v>
      </c>
      <c r="H307" s="289">
        <f>data!BS69</f>
        <v>0</v>
      </c>
      <c r="I307" s="289">
        <f>data!BT69</f>
        <v>0</v>
      </c>
    </row>
    <row r="308" spans="1:9" customFormat="1" ht="20.149999999999999" customHeight="1" x14ac:dyDescent="0.35">
      <c r="A308" s="288">
        <v>15</v>
      </c>
      <c r="B308" s="289" t="s">
        <v>284</v>
      </c>
      <c r="C308" s="289">
        <f>-data!BN84</f>
        <v>0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49999999999999" customHeight="1" x14ac:dyDescent="0.35">
      <c r="A309" s="288">
        <v>16</v>
      </c>
      <c r="B309" s="297" t="s">
        <v>1011</v>
      </c>
      <c r="C309" s="289">
        <f>data!BN85</f>
        <v>2388224.5</v>
      </c>
      <c r="D309" s="289">
        <f>data!BO85</f>
        <v>713.01</v>
      </c>
      <c r="E309" s="289">
        <f>data!BP85</f>
        <v>18670.04</v>
      </c>
      <c r="F309" s="289">
        <f>data!BQ85</f>
        <v>0</v>
      </c>
      <c r="G309" s="289">
        <f>data!BR85</f>
        <v>352288.45</v>
      </c>
      <c r="H309" s="289">
        <f>data!BS85</f>
        <v>0</v>
      </c>
      <c r="I309" s="289">
        <f>data!BT85</f>
        <v>0</v>
      </c>
    </row>
    <row r="310" spans="1:9" customFormat="1" ht="20.149999999999999" customHeight="1" x14ac:dyDescent="0.35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49999999999999" customHeight="1" x14ac:dyDescent="0.35">
      <c r="A311" s="288">
        <v>18</v>
      </c>
      <c r="B311" s="289" t="s">
        <v>1012</v>
      </c>
      <c r="C311" s="289"/>
      <c r="D311" s="289"/>
      <c r="E311" s="289"/>
      <c r="F311" s="289"/>
      <c r="G311" s="289"/>
      <c r="H311" s="289"/>
      <c r="I311" s="289"/>
    </row>
    <row r="312" spans="1:9" customFormat="1" ht="20.149999999999999" customHeight="1" x14ac:dyDescent="0.35">
      <c r="A312" s="288">
        <v>19</v>
      </c>
      <c r="B312" s="297" t="s">
        <v>1013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49999999999999" customHeight="1" x14ac:dyDescent="0.35">
      <c r="A313" s="288">
        <v>20</v>
      </c>
      <c r="B313" s="297" t="s">
        <v>1014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49999999999999" customHeight="1" x14ac:dyDescent="0.35">
      <c r="A314" s="288">
        <v>21</v>
      </c>
      <c r="B314" s="297" t="s">
        <v>1015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49999999999999" customHeight="1" x14ac:dyDescent="0.35">
      <c r="A315" s="288" t="s">
        <v>1016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49999999999999" customHeight="1" x14ac:dyDescent="0.35">
      <c r="A316" s="288">
        <v>22</v>
      </c>
      <c r="B316" s="289" t="s">
        <v>1017</v>
      </c>
      <c r="C316" s="305">
        <f>data!BN90</f>
        <v>6685</v>
      </c>
      <c r="D316" s="305">
        <f>data!BO90</f>
        <v>0</v>
      </c>
      <c r="E316" s="305">
        <f>data!BP90</f>
        <v>0</v>
      </c>
      <c r="F316" s="305">
        <f>data!BQ90</f>
        <v>0</v>
      </c>
      <c r="G316" s="305">
        <f>data!BR90</f>
        <v>1081</v>
      </c>
      <c r="H316" s="305">
        <f>data!BS90</f>
        <v>0</v>
      </c>
      <c r="I316" s="305">
        <f>data!BT90</f>
        <v>0</v>
      </c>
    </row>
    <row r="317" spans="1:9" customFormat="1" ht="20.149999999999999" customHeight="1" x14ac:dyDescent="0.35">
      <c r="A317" s="288">
        <v>23</v>
      </c>
      <c r="B317" s="289" t="s">
        <v>1018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49999999999999" customHeight="1" x14ac:dyDescent="0.35">
      <c r="A318" s="288">
        <v>24</v>
      </c>
      <c r="B318" s="289" t="s">
        <v>1019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26</v>
      </c>
      <c r="I318" s="305">
        <f>data!BT92</f>
        <v>0</v>
      </c>
    </row>
    <row r="319" spans="1:9" customFormat="1" ht="20.149999999999999" customHeight="1" x14ac:dyDescent="0.35">
      <c r="A319" s="288">
        <v>25</v>
      </c>
      <c r="B319" s="289" t="s">
        <v>1020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49999999999999" customHeight="1" x14ac:dyDescent="0.35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49999999999999" customHeight="1" x14ac:dyDescent="0.35">
      <c r="A321" s="282" t="s">
        <v>1002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49999999999999" customHeight="1" x14ac:dyDescent="0.35">
      <c r="D322" s="284"/>
      <c r="I322" s="285" t="s">
        <v>1054</v>
      </c>
    </row>
    <row r="323" spans="1:9" customFormat="1" ht="20.149999999999999" customHeight="1" x14ac:dyDescent="0.35">
      <c r="A323" s="284"/>
    </row>
    <row r="324" spans="1:9" customFormat="1" ht="20.149999999999999" customHeight="1" x14ac:dyDescent="0.35">
      <c r="A324" s="286" t="str">
        <f>"Hospital: "&amp;data!C98</f>
        <v>Hospital: Forks Community Hospital</v>
      </c>
      <c r="G324" s="287"/>
      <c r="H324" s="286" t="str">
        <f>"FYE: "&amp;data!C96</f>
        <v>FYE: 12/31/2023</v>
      </c>
    </row>
    <row r="325" spans="1:9" customFormat="1" ht="20.149999999999999" customHeight="1" x14ac:dyDescent="0.35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49999999999999" customHeight="1" x14ac:dyDescent="0.35">
      <c r="A326" s="292">
        <v>2</v>
      </c>
      <c r="B326" s="293" t="s">
        <v>1004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49999999999999" customHeight="1" x14ac:dyDescent="0.35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1053</v>
      </c>
      <c r="H327" s="295" t="s">
        <v>179</v>
      </c>
      <c r="I327" s="295" t="s">
        <v>228</v>
      </c>
    </row>
    <row r="328" spans="1:9" customFormat="1" ht="20.149999999999999" customHeight="1" x14ac:dyDescent="0.35">
      <c r="A328" s="288">
        <v>3</v>
      </c>
      <c r="B328" s="289" t="s">
        <v>1008</v>
      </c>
      <c r="C328" s="301"/>
      <c r="D328" s="301"/>
      <c r="E328" s="301"/>
      <c r="F328" s="301"/>
      <c r="G328" s="301"/>
      <c r="H328" s="301"/>
      <c r="I328" s="301"/>
    </row>
    <row r="329" spans="1:9" customFormat="1" ht="20.149999999999999" customHeight="1" x14ac:dyDescent="0.35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49999999999999" customHeight="1" x14ac:dyDescent="0.35">
      <c r="A330" s="288">
        <v>5</v>
      </c>
      <c r="B330" s="289" t="s">
        <v>262</v>
      </c>
      <c r="C330" s="296">
        <f>data!BU60</f>
        <v>0</v>
      </c>
      <c r="D330" s="296">
        <f>data!BV60</f>
        <v>4.66</v>
      </c>
      <c r="E330" s="296">
        <f>data!BW60</f>
        <v>0</v>
      </c>
      <c r="F330" s="296">
        <f>data!BX60</f>
        <v>3.3</v>
      </c>
      <c r="G330" s="296">
        <f>data!BY60</f>
        <v>2.0699999999999998</v>
      </c>
      <c r="H330" s="296">
        <f>data!BZ60</f>
        <v>0</v>
      </c>
      <c r="I330" s="296">
        <f>data!CA60</f>
        <v>0.32</v>
      </c>
    </row>
    <row r="331" spans="1:9" customFormat="1" ht="20.149999999999999" customHeight="1" x14ac:dyDescent="0.35">
      <c r="A331" s="288">
        <v>6</v>
      </c>
      <c r="B331" s="289" t="s">
        <v>263</v>
      </c>
      <c r="C331" s="308">
        <f>data!BU61</f>
        <v>0</v>
      </c>
      <c r="D331" s="308">
        <f>data!BV61</f>
        <v>254339.74</v>
      </c>
      <c r="E331" s="308">
        <f>data!BW61</f>
        <v>0</v>
      </c>
      <c r="F331" s="308">
        <f>data!BX61</f>
        <v>363660.58</v>
      </c>
      <c r="G331" s="308">
        <f>data!BY61</f>
        <v>237945.93</v>
      </c>
      <c r="H331" s="308">
        <f>data!BZ61</f>
        <v>0</v>
      </c>
      <c r="I331" s="308">
        <f>data!CA61</f>
        <v>29966.97</v>
      </c>
    </row>
    <row r="332" spans="1:9" customFormat="1" ht="20.149999999999999" customHeight="1" x14ac:dyDescent="0.35">
      <c r="A332" s="288">
        <v>7</v>
      </c>
      <c r="B332" s="289" t="s">
        <v>11</v>
      </c>
      <c r="C332" s="308">
        <f>data!BU62</f>
        <v>0</v>
      </c>
      <c r="D332" s="308">
        <f>data!BV62</f>
        <v>60803</v>
      </c>
      <c r="E332" s="308">
        <f>data!BW62</f>
        <v>0</v>
      </c>
      <c r="F332" s="308">
        <f>data!BX62</f>
        <v>86937</v>
      </c>
      <c r="G332" s="308">
        <f>data!BY62</f>
        <v>56884</v>
      </c>
      <c r="H332" s="308">
        <f>data!BZ62</f>
        <v>0</v>
      </c>
      <c r="I332" s="308">
        <f>data!CA62</f>
        <v>7164</v>
      </c>
    </row>
    <row r="333" spans="1:9" customFormat="1" ht="20.149999999999999" customHeight="1" x14ac:dyDescent="0.35">
      <c r="A333" s="288">
        <v>8</v>
      </c>
      <c r="B333" s="289" t="s">
        <v>264</v>
      </c>
      <c r="C333" s="308">
        <f>data!BU63</f>
        <v>0</v>
      </c>
      <c r="D333" s="308">
        <f>data!BV63</f>
        <v>0</v>
      </c>
      <c r="E333" s="308">
        <f>data!BW63</f>
        <v>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49999999999999" customHeight="1" x14ac:dyDescent="0.35">
      <c r="A334" s="288">
        <v>9</v>
      </c>
      <c r="B334" s="289" t="s">
        <v>265</v>
      </c>
      <c r="C334" s="308">
        <f>data!BU64</f>
        <v>0</v>
      </c>
      <c r="D334" s="308">
        <f>data!BV64</f>
        <v>3396.2400000000002</v>
      </c>
      <c r="E334" s="308">
        <f>data!BW64</f>
        <v>0</v>
      </c>
      <c r="F334" s="308">
        <f>data!BX64</f>
        <v>1321.51</v>
      </c>
      <c r="G334" s="308">
        <f>data!BY64</f>
        <v>1594.3999999999999</v>
      </c>
      <c r="H334" s="308">
        <f>data!BZ64</f>
        <v>0</v>
      </c>
      <c r="I334" s="308">
        <f>data!CA64</f>
        <v>1527.8400000000001</v>
      </c>
    </row>
    <row r="335" spans="1:9" customFormat="1" ht="20.149999999999999" customHeight="1" x14ac:dyDescent="0.35">
      <c r="A335" s="288">
        <v>10</v>
      </c>
      <c r="B335" s="289" t="s">
        <v>524</v>
      </c>
      <c r="C335" s="308">
        <f>data!BU65</f>
        <v>0</v>
      </c>
      <c r="D335" s="308">
        <f>data!BV65</f>
        <v>0</v>
      </c>
      <c r="E335" s="308">
        <f>data!BW65</f>
        <v>0</v>
      </c>
      <c r="F335" s="308">
        <f>data!BX65</f>
        <v>0</v>
      </c>
      <c r="G335" s="308">
        <f>data!BY65</f>
        <v>0</v>
      </c>
      <c r="H335" s="308">
        <f>data!BZ65</f>
        <v>0</v>
      </c>
      <c r="I335" s="308">
        <f>data!CA65</f>
        <v>0</v>
      </c>
    </row>
    <row r="336" spans="1:9" customFormat="1" ht="20.149999999999999" customHeight="1" x14ac:dyDescent="0.35">
      <c r="A336" s="288">
        <v>11</v>
      </c>
      <c r="B336" s="289" t="s">
        <v>525</v>
      </c>
      <c r="C336" s="308">
        <f>data!BU66</f>
        <v>0</v>
      </c>
      <c r="D336" s="308">
        <f>data!BV66</f>
        <v>38505.870000000003</v>
      </c>
      <c r="E336" s="308">
        <f>data!BW66</f>
        <v>10736.25</v>
      </c>
      <c r="F336" s="308">
        <f>data!BX66</f>
        <v>37920.910000000003</v>
      </c>
      <c r="G336" s="308">
        <f>data!BY66</f>
        <v>0</v>
      </c>
      <c r="H336" s="308">
        <f>data!BZ66</f>
        <v>0</v>
      </c>
      <c r="I336" s="308">
        <f>data!CA66</f>
        <v>0</v>
      </c>
    </row>
    <row r="337" spans="1:9" customFormat="1" ht="20.149999999999999" customHeight="1" x14ac:dyDescent="0.35">
      <c r="A337" s="288">
        <v>12</v>
      </c>
      <c r="B337" s="289" t="s">
        <v>16</v>
      </c>
      <c r="C337" s="308">
        <f>data!BU67</f>
        <v>0</v>
      </c>
      <c r="D337" s="308">
        <f>data!BV67</f>
        <v>12464</v>
      </c>
      <c r="E337" s="308">
        <f>data!BW67</f>
        <v>0</v>
      </c>
      <c r="F337" s="308">
        <f>data!BX67</f>
        <v>0</v>
      </c>
      <c r="G337" s="308">
        <f>data!BY67</f>
        <v>9210</v>
      </c>
      <c r="H337" s="308">
        <f>data!BZ67</f>
        <v>0</v>
      </c>
      <c r="I337" s="308">
        <f>data!CA67</f>
        <v>0</v>
      </c>
    </row>
    <row r="338" spans="1:9" customFormat="1" ht="20.149999999999999" customHeight="1" x14ac:dyDescent="0.35">
      <c r="A338" s="288">
        <v>13</v>
      </c>
      <c r="B338" s="289" t="s">
        <v>1009</v>
      </c>
      <c r="C338" s="308">
        <f>data!BU68</f>
        <v>0</v>
      </c>
      <c r="D338" s="308">
        <f>data!BV68</f>
        <v>1791.48</v>
      </c>
      <c r="E338" s="308">
        <f>data!BW68</f>
        <v>0</v>
      </c>
      <c r="F338" s="308">
        <f>data!BX68</f>
        <v>0</v>
      </c>
      <c r="G338" s="308">
        <f>data!BY68</f>
        <v>0</v>
      </c>
      <c r="H338" s="308">
        <f>data!BZ68</f>
        <v>0</v>
      </c>
      <c r="I338" s="308">
        <f>data!CA68</f>
        <v>0</v>
      </c>
    </row>
    <row r="339" spans="1:9" customFormat="1" ht="20.149999999999999" customHeight="1" x14ac:dyDescent="0.35">
      <c r="A339" s="288">
        <v>14</v>
      </c>
      <c r="B339" s="289" t="s">
        <v>1010</v>
      </c>
      <c r="C339" s="308">
        <f>data!BU69</f>
        <v>0</v>
      </c>
      <c r="D339" s="308">
        <f>data!BV69</f>
        <v>22425.640000000003</v>
      </c>
      <c r="E339" s="308">
        <f>data!BW69</f>
        <v>43697.85</v>
      </c>
      <c r="F339" s="308">
        <f>data!BX69</f>
        <v>87760.72</v>
      </c>
      <c r="G339" s="308">
        <f>data!BY69</f>
        <v>2497.3000000000002</v>
      </c>
      <c r="H339" s="308">
        <f>data!BZ69</f>
        <v>0</v>
      </c>
      <c r="I339" s="308">
        <f>data!CA69</f>
        <v>-1023.38</v>
      </c>
    </row>
    <row r="340" spans="1:9" customFormat="1" ht="20.149999999999999" customHeight="1" x14ac:dyDescent="0.35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49999999999999" customHeight="1" x14ac:dyDescent="0.35">
      <c r="A341" s="288">
        <v>16</v>
      </c>
      <c r="B341" s="297" t="s">
        <v>1011</v>
      </c>
      <c r="C341" s="289">
        <f>data!BU85</f>
        <v>0</v>
      </c>
      <c r="D341" s="289">
        <f>data!BV85</f>
        <v>393725.97</v>
      </c>
      <c r="E341" s="289">
        <f>data!BW85</f>
        <v>54434.1</v>
      </c>
      <c r="F341" s="289">
        <f>data!BX85</f>
        <v>577600.72</v>
      </c>
      <c r="G341" s="289">
        <f>data!BY85</f>
        <v>308131.63</v>
      </c>
      <c r="H341" s="289">
        <f>data!BZ85</f>
        <v>0</v>
      </c>
      <c r="I341" s="289">
        <f>data!CA85</f>
        <v>37635.43</v>
      </c>
    </row>
    <row r="342" spans="1:9" customFormat="1" ht="20.149999999999999" customHeight="1" x14ac:dyDescent="0.35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49999999999999" customHeight="1" x14ac:dyDescent="0.35">
      <c r="A343" s="288">
        <v>18</v>
      </c>
      <c r="B343" s="289" t="s">
        <v>1012</v>
      </c>
      <c r="C343" s="289"/>
      <c r="D343" s="289"/>
      <c r="E343" s="289"/>
      <c r="F343" s="289"/>
      <c r="G343" s="289"/>
      <c r="H343" s="289"/>
      <c r="I343" s="289"/>
    </row>
    <row r="344" spans="1:9" customFormat="1" ht="20.149999999999999" customHeight="1" x14ac:dyDescent="0.35">
      <c r="A344" s="288">
        <v>19</v>
      </c>
      <c r="B344" s="297" t="s">
        <v>1013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49999999999999" customHeight="1" x14ac:dyDescent="0.35">
      <c r="A345" s="288">
        <v>20</v>
      </c>
      <c r="B345" s="297" t="s">
        <v>1014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49999999999999" customHeight="1" x14ac:dyDescent="0.35">
      <c r="A346" s="288">
        <v>21</v>
      </c>
      <c r="B346" s="297" t="s">
        <v>1015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49999999999999" customHeight="1" x14ac:dyDescent="0.35">
      <c r="A347" s="288" t="s">
        <v>1016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49999999999999" customHeight="1" x14ac:dyDescent="0.35">
      <c r="A348" s="288">
        <v>22</v>
      </c>
      <c r="B348" s="289" t="s">
        <v>1017</v>
      </c>
      <c r="C348" s="305">
        <f>data!BU90</f>
        <v>0</v>
      </c>
      <c r="D348" s="305">
        <f>data!BV90</f>
        <v>905</v>
      </c>
      <c r="E348" s="305">
        <f>data!BW90</f>
        <v>0</v>
      </c>
      <c r="F348" s="305">
        <f>data!BX90</f>
        <v>0</v>
      </c>
      <c r="G348" s="305">
        <f>data!BY90</f>
        <v>902</v>
      </c>
      <c r="H348" s="305">
        <f>data!BZ90</f>
        <v>0</v>
      </c>
      <c r="I348" s="305">
        <f>data!CA90</f>
        <v>0</v>
      </c>
    </row>
    <row r="349" spans="1:9" customFormat="1" ht="20.149999999999999" customHeight="1" x14ac:dyDescent="0.35">
      <c r="A349" s="288">
        <v>23</v>
      </c>
      <c r="B349" s="289" t="s">
        <v>1018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49999999999999" customHeight="1" x14ac:dyDescent="0.35">
      <c r="A350" s="288">
        <v>24</v>
      </c>
      <c r="B350" s="289" t="s">
        <v>1019</v>
      </c>
      <c r="C350" s="305">
        <f>data!BU92</f>
        <v>0</v>
      </c>
      <c r="D350" s="305">
        <f>data!BV92</f>
        <v>86</v>
      </c>
      <c r="E350" s="305">
        <f>data!BW92</f>
        <v>0</v>
      </c>
      <c r="F350" s="305">
        <f>data!BX92</f>
        <v>0</v>
      </c>
      <c r="G350" s="305">
        <f>data!BY92</f>
        <v>52</v>
      </c>
      <c r="H350" s="305">
        <f>data!BZ92</f>
        <v>0</v>
      </c>
      <c r="I350" s="305">
        <f>data!CA92</f>
        <v>0</v>
      </c>
    </row>
    <row r="351" spans="1:9" customFormat="1" ht="20.149999999999999" customHeight="1" x14ac:dyDescent="0.35">
      <c r="A351" s="288">
        <v>25</v>
      </c>
      <c r="B351" s="289" t="s">
        <v>1020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49999999999999" customHeight="1" x14ac:dyDescent="0.35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9" customFormat="1" ht="20.149999999999999" customHeight="1" x14ac:dyDescent="0.35">
      <c r="A353" s="282" t="s">
        <v>1002</v>
      </c>
      <c r="B353" s="283"/>
      <c r="C353" s="283"/>
      <c r="D353" s="283"/>
      <c r="E353" s="283"/>
      <c r="F353" s="283"/>
      <c r="G353" s="283"/>
      <c r="H353" s="283"/>
      <c r="I353" s="282"/>
    </row>
    <row r="354" spans="1:9" customFormat="1" ht="20.149999999999999" customHeight="1" x14ac:dyDescent="0.35">
      <c r="D354" s="284"/>
      <c r="I354" s="285" t="s">
        <v>1055</v>
      </c>
    </row>
    <row r="355" spans="1:9" customFormat="1" ht="20.149999999999999" customHeight="1" x14ac:dyDescent="0.35">
      <c r="A355" s="284"/>
    </row>
    <row r="356" spans="1:9" customFormat="1" ht="20.149999999999999" customHeight="1" x14ac:dyDescent="0.35">
      <c r="A356" s="286" t="str">
        <f>"Hospital: "&amp;data!C98</f>
        <v>Hospital: Forks Community Hospital</v>
      </c>
      <c r="G356" s="287"/>
      <c r="H356" s="286" t="str">
        <f>"FYE: "&amp;data!C96</f>
        <v>FYE: 12/31/2023</v>
      </c>
    </row>
    <row r="357" spans="1:9" customFormat="1" ht="20.149999999999999" customHeight="1" x14ac:dyDescent="0.35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9" customFormat="1" ht="20.149999999999999" customHeight="1" x14ac:dyDescent="0.35">
      <c r="A358" s="292">
        <v>2</v>
      </c>
      <c r="B358" s="293" t="s">
        <v>1004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9" customFormat="1" ht="20.149999999999999" customHeight="1" x14ac:dyDescent="0.35">
      <c r="A359" s="292"/>
      <c r="B359" s="293"/>
      <c r="C359" s="295" t="s">
        <v>228</v>
      </c>
      <c r="D359" s="295" t="s">
        <v>1056</v>
      </c>
      <c r="E359" s="295" t="s">
        <v>240</v>
      </c>
      <c r="F359" s="310"/>
      <c r="G359" s="310"/>
      <c r="H359" s="310"/>
      <c r="I359" s="295" t="s">
        <v>230</v>
      </c>
    </row>
    <row r="360" spans="1:9" customFormat="1" ht="20.149999999999999" customHeight="1" x14ac:dyDescent="0.35">
      <c r="A360" s="288">
        <v>3</v>
      </c>
      <c r="B360" s="289" t="s">
        <v>1008</v>
      </c>
      <c r="C360" s="301"/>
      <c r="D360" s="301"/>
      <c r="E360" s="301"/>
      <c r="F360" s="301"/>
      <c r="G360" s="301"/>
      <c r="H360" s="301"/>
      <c r="I360" s="301"/>
    </row>
    <row r="361" spans="1:9" customFormat="1" ht="20.149999999999999" customHeight="1" x14ac:dyDescent="0.35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9" customFormat="1" ht="20.149999999999999" customHeight="1" x14ac:dyDescent="0.35">
      <c r="A362" s="288">
        <v>5</v>
      </c>
      <c r="B362" s="289" t="s">
        <v>262</v>
      </c>
      <c r="C362" s="296">
        <f>data!CB60</f>
        <v>0.5</v>
      </c>
      <c r="D362" s="296">
        <f>data!CC60</f>
        <v>1.3900000000000001</v>
      </c>
      <c r="E362" s="311"/>
      <c r="F362" s="299"/>
      <c r="G362" s="299"/>
      <c r="H362" s="299"/>
      <c r="I362" s="312">
        <f>data!CE60</f>
        <v>243.24000000000004</v>
      </c>
    </row>
    <row r="363" spans="1:9" customFormat="1" ht="20.149999999999999" customHeight="1" x14ac:dyDescent="0.35">
      <c r="A363" s="288">
        <v>6</v>
      </c>
      <c r="B363" s="289" t="s">
        <v>263</v>
      </c>
      <c r="C363" s="308">
        <f>data!CB61</f>
        <v>34709.71</v>
      </c>
      <c r="D363" s="308">
        <f>data!CC61</f>
        <v>34771</v>
      </c>
      <c r="E363" s="313"/>
      <c r="F363" s="313"/>
      <c r="G363" s="313"/>
      <c r="H363" s="313"/>
      <c r="I363" s="308">
        <f>data!CE61</f>
        <v>20425310.399999995</v>
      </c>
    </row>
    <row r="364" spans="1:9" customFormat="1" ht="20.149999999999999" customHeight="1" x14ac:dyDescent="0.35">
      <c r="A364" s="288">
        <v>7</v>
      </c>
      <c r="B364" s="289" t="s">
        <v>11</v>
      </c>
      <c r="C364" s="308">
        <f>data!CB62</f>
        <v>8298</v>
      </c>
      <c r="D364" s="308">
        <f>data!CC62</f>
        <v>8312</v>
      </c>
      <c r="E364" s="313"/>
      <c r="F364" s="313"/>
      <c r="G364" s="313"/>
      <c r="H364" s="313"/>
      <c r="I364" s="308">
        <f>data!CE62</f>
        <v>6114119</v>
      </c>
    </row>
    <row r="365" spans="1:9" customFormat="1" ht="20.149999999999999" customHeight="1" x14ac:dyDescent="0.35">
      <c r="A365" s="288">
        <v>8</v>
      </c>
      <c r="B365" s="289" t="s">
        <v>264</v>
      </c>
      <c r="C365" s="308">
        <f>data!CB63</f>
        <v>0</v>
      </c>
      <c r="D365" s="308">
        <f>data!CC63</f>
        <v>0</v>
      </c>
      <c r="E365" s="313"/>
      <c r="F365" s="313"/>
      <c r="G365" s="313"/>
      <c r="H365" s="313"/>
      <c r="I365" s="308">
        <f>data!CE63</f>
        <v>0</v>
      </c>
    </row>
    <row r="366" spans="1:9" customFormat="1" ht="20.149999999999999" customHeight="1" x14ac:dyDescent="0.35">
      <c r="A366" s="288">
        <v>9</v>
      </c>
      <c r="B366" s="289" t="s">
        <v>265</v>
      </c>
      <c r="C366" s="308">
        <f>data!CB64</f>
        <v>1349.06</v>
      </c>
      <c r="D366" s="308">
        <f>data!CC64</f>
        <v>2036</v>
      </c>
      <c r="E366" s="313"/>
      <c r="F366" s="313"/>
      <c r="G366" s="313"/>
      <c r="H366" s="313"/>
      <c r="I366" s="308">
        <f>data!CE64</f>
        <v>3050351.22</v>
      </c>
    </row>
    <row r="367" spans="1:9" customFormat="1" ht="20.149999999999999" customHeight="1" x14ac:dyDescent="0.35">
      <c r="A367" s="288">
        <v>10</v>
      </c>
      <c r="B367" s="289" t="s">
        <v>524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0</v>
      </c>
    </row>
    <row r="368" spans="1:9" customFormat="1" ht="20.149999999999999" customHeight="1" x14ac:dyDescent="0.35">
      <c r="A368" s="288">
        <v>11</v>
      </c>
      <c r="B368" s="289" t="s">
        <v>525</v>
      </c>
      <c r="C368" s="308">
        <f>data!CB66</f>
        <v>0</v>
      </c>
      <c r="D368" s="308">
        <f>data!CC66</f>
        <v>2484</v>
      </c>
      <c r="E368" s="313"/>
      <c r="F368" s="313"/>
      <c r="G368" s="313"/>
      <c r="H368" s="313"/>
      <c r="I368" s="308">
        <f>data!CE66</f>
        <v>1815721.5400000003</v>
      </c>
    </row>
    <row r="369" spans="1:9" customFormat="1" ht="20.149999999999999" customHeight="1" x14ac:dyDescent="0.35">
      <c r="A369" s="288">
        <v>12</v>
      </c>
      <c r="B369" s="289" t="s">
        <v>16</v>
      </c>
      <c r="C369" s="308">
        <f>data!CB67</f>
        <v>1113</v>
      </c>
      <c r="D369" s="308">
        <f>data!CC67</f>
        <v>0</v>
      </c>
      <c r="E369" s="313"/>
      <c r="F369" s="313"/>
      <c r="G369" s="313"/>
      <c r="H369" s="313"/>
      <c r="I369" s="308">
        <f>data!CE67</f>
        <v>1965693</v>
      </c>
    </row>
    <row r="370" spans="1:9" customFormat="1" ht="20.149999999999999" customHeight="1" x14ac:dyDescent="0.35">
      <c r="A370" s="288">
        <v>13</v>
      </c>
      <c r="B370" s="289" t="s">
        <v>1009</v>
      </c>
      <c r="C370" s="308">
        <f>data!CB68</f>
        <v>0</v>
      </c>
      <c r="D370" s="308">
        <f>data!CC68</f>
        <v>-67559</v>
      </c>
      <c r="E370" s="313"/>
      <c r="F370" s="313"/>
      <c r="G370" s="313"/>
      <c r="H370" s="313"/>
      <c r="I370" s="308">
        <f>data!CE68</f>
        <v>88123.549999999988</v>
      </c>
    </row>
    <row r="371" spans="1:9" customFormat="1" ht="20.149999999999999" customHeight="1" x14ac:dyDescent="0.35">
      <c r="A371" s="288">
        <v>14</v>
      </c>
      <c r="B371" s="289" t="s">
        <v>1010</v>
      </c>
      <c r="C371" s="308">
        <f>data!CB69</f>
        <v>277.93</v>
      </c>
      <c r="D371" s="308">
        <f>data!CC69</f>
        <v>12688.78</v>
      </c>
      <c r="E371" s="308">
        <f>data!CD69</f>
        <v>291903</v>
      </c>
      <c r="F371" s="313"/>
      <c r="G371" s="313"/>
      <c r="H371" s="313"/>
      <c r="I371" s="308">
        <f>data!CE69</f>
        <v>7840516.3500000006</v>
      </c>
    </row>
    <row r="372" spans="1:9" customFormat="1" ht="20.149999999999999" customHeight="1" x14ac:dyDescent="0.35">
      <c r="A372" s="288">
        <v>15</v>
      </c>
      <c r="B372" s="289" t="s">
        <v>284</v>
      </c>
      <c r="C372" s="289">
        <f>-data!CB84</f>
        <v>0</v>
      </c>
      <c r="D372" s="289">
        <f>-data!CC84</f>
        <v>0</v>
      </c>
      <c r="E372" s="289">
        <f>-data!CD84</f>
        <v>0</v>
      </c>
      <c r="F372" s="299"/>
      <c r="G372" s="299"/>
      <c r="H372" s="299"/>
      <c r="I372" s="289">
        <f>-data!CE84</f>
        <v>0</v>
      </c>
    </row>
    <row r="373" spans="1:9" customFormat="1" ht="20.149999999999999" customHeight="1" x14ac:dyDescent="0.35">
      <c r="A373" s="288">
        <v>16</v>
      </c>
      <c r="B373" s="297" t="s">
        <v>1011</v>
      </c>
      <c r="C373" s="308">
        <f>data!CB85</f>
        <v>45747.7</v>
      </c>
      <c r="D373" s="308">
        <f>data!CC85</f>
        <v>-7267.2199999999993</v>
      </c>
      <c r="E373" s="308">
        <f>data!CD85</f>
        <v>291903</v>
      </c>
      <c r="F373" s="313"/>
      <c r="G373" s="313"/>
      <c r="H373" s="313"/>
      <c r="I373" s="289">
        <f>data!CE85</f>
        <v>41299835.06000001</v>
      </c>
    </row>
    <row r="374" spans="1:9" customFormat="1" ht="20.149999999999999" customHeight="1" x14ac:dyDescent="0.35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989204</v>
      </c>
    </row>
    <row r="375" spans="1:9" customFormat="1" ht="20.149999999999999" customHeight="1" x14ac:dyDescent="0.35">
      <c r="A375" s="288">
        <v>18</v>
      </c>
      <c r="B375" s="289" t="s">
        <v>1012</v>
      </c>
      <c r="C375" s="289"/>
      <c r="D375" s="289"/>
      <c r="E375" s="289"/>
      <c r="F375" s="289"/>
      <c r="G375" s="289"/>
      <c r="H375" s="289"/>
      <c r="I375" s="289"/>
    </row>
    <row r="376" spans="1:9" customFormat="1" ht="20.149999999999999" customHeight="1" x14ac:dyDescent="0.35">
      <c r="A376" s="288">
        <v>19</v>
      </c>
      <c r="B376" s="297" t="s">
        <v>1013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7861782.3799999999</v>
      </c>
    </row>
    <row r="377" spans="1:9" customFormat="1" ht="20.149999999999999" customHeight="1" x14ac:dyDescent="0.35">
      <c r="A377" s="288">
        <v>20</v>
      </c>
      <c r="B377" s="297" t="s">
        <v>1014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60670304.899999999</v>
      </c>
    </row>
    <row r="378" spans="1:9" customFormat="1" ht="20.149999999999999" customHeight="1" x14ac:dyDescent="0.35">
      <c r="A378" s="288">
        <v>21</v>
      </c>
      <c r="B378" s="297" t="s">
        <v>1015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68532087.279999986</v>
      </c>
    </row>
    <row r="379" spans="1:9" customFormat="1" ht="20.149999999999999" customHeight="1" x14ac:dyDescent="0.35">
      <c r="A379" s="288" t="s">
        <v>1016</v>
      </c>
      <c r="B379" s="289"/>
      <c r="C379" s="299"/>
      <c r="D379" s="299"/>
      <c r="E379" s="299"/>
      <c r="F379" s="299"/>
      <c r="G379" s="299"/>
      <c r="H379" s="299"/>
      <c r="I379" s="299"/>
    </row>
    <row r="380" spans="1:9" customFormat="1" ht="20.149999999999999" customHeight="1" x14ac:dyDescent="0.35">
      <c r="A380" s="288">
        <v>22</v>
      </c>
      <c r="B380" s="289" t="s">
        <v>1017</v>
      </c>
      <c r="C380" s="305">
        <f>data!CB90</f>
        <v>109</v>
      </c>
      <c r="D380" s="305">
        <f>data!CC90</f>
        <v>0</v>
      </c>
      <c r="E380" s="299"/>
      <c r="F380" s="299"/>
      <c r="G380" s="299"/>
      <c r="H380" s="299"/>
      <c r="I380" s="289">
        <f>data!CE90</f>
        <v>60206</v>
      </c>
    </row>
    <row r="381" spans="1:9" customFormat="1" ht="20.149999999999999" customHeight="1" x14ac:dyDescent="0.35">
      <c r="A381" s="288">
        <v>23</v>
      </c>
      <c r="B381" s="289" t="s">
        <v>1018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24354</v>
      </c>
    </row>
    <row r="382" spans="1:9" customFormat="1" ht="20.149999999999999" customHeight="1" x14ac:dyDescent="0.35">
      <c r="A382" s="288">
        <v>24</v>
      </c>
      <c r="B382" s="289" t="s">
        <v>1019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14143</v>
      </c>
    </row>
    <row r="383" spans="1:9" customFormat="1" ht="20.149999999999999" customHeight="1" x14ac:dyDescent="0.35">
      <c r="A383" s="288">
        <v>25</v>
      </c>
      <c r="B383" s="289" t="s">
        <v>1020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61156</v>
      </c>
    </row>
    <row r="384" spans="1:9" customFormat="1" ht="20.149999999999999" customHeight="1" x14ac:dyDescent="0.35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27.249999999999996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9055F-3426-4214-900D-BED46ECDA717}">
  <sheetPr syncVertical="1" syncRef="A1" transitionEvaluation="1" transitionEntry="1" codeName="Sheet12">
    <tabColor rgb="FF92D050"/>
    <pageSetUpPr autoPageBreaks="0" fitToPage="1"/>
  </sheetPr>
  <dimension ref="A1:CF717"/>
  <sheetViews>
    <sheetView zoomScaleNormal="100" workbookViewId="0">
      <selection activeCell="AY47" sqref="AY4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9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4" t="s">
        <v>28</v>
      </c>
      <c r="B36" s="265"/>
      <c r="C36" s="266"/>
      <c r="D36" s="265"/>
      <c r="E36" s="265"/>
      <c r="F36" s="265"/>
      <c r="G36" s="267"/>
    </row>
    <row r="37" spans="1:83" x14ac:dyDescent="0.35">
      <c r="A37" s="268" t="s">
        <v>29</v>
      </c>
      <c r="B37" s="269"/>
      <c r="C37" s="270"/>
      <c r="D37" s="271"/>
      <c r="E37" s="271"/>
      <c r="F37" s="271"/>
      <c r="G37" s="272"/>
    </row>
    <row r="38" spans="1:83" x14ac:dyDescent="0.35">
      <c r="A38" s="273" t="s">
        <v>30</v>
      </c>
      <c r="B38" s="269"/>
      <c r="C38" s="270"/>
      <c r="D38" s="271"/>
      <c r="E38" s="271"/>
      <c r="F38" s="271"/>
      <c r="G38" s="272"/>
    </row>
    <row r="39" spans="1:83" x14ac:dyDescent="0.35">
      <c r="A39" s="274" t="s">
        <v>31</v>
      </c>
      <c r="B39" s="271"/>
      <c r="C39" s="270"/>
      <c r="D39" s="271"/>
      <c r="E39" s="271"/>
      <c r="F39" s="271"/>
      <c r="G39" s="272"/>
    </row>
    <row r="40" spans="1:83" x14ac:dyDescent="0.35">
      <c r="A40" s="275" t="s">
        <v>32</v>
      </c>
      <c r="B40" s="276"/>
      <c r="C40" s="277"/>
      <c r="D40" s="276"/>
      <c r="E40" s="276"/>
      <c r="F40" s="276"/>
      <c r="G40" s="27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2">
        <v>5860749</v>
      </c>
      <c r="C48" s="28">
        <v>0</v>
      </c>
      <c r="D48" s="28">
        <v>0</v>
      </c>
      <c r="E48" s="28">
        <v>488039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566452</v>
      </c>
      <c r="L48" s="28">
        <v>82901</v>
      </c>
      <c r="M48" s="28">
        <v>0</v>
      </c>
      <c r="N48" s="28">
        <v>0</v>
      </c>
      <c r="O48" s="28">
        <v>43183</v>
      </c>
      <c r="P48" s="28">
        <v>209713</v>
      </c>
      <c r="Q48" s="28">
        <v>2710</v>
      </c>
      <c r="R48" s="28">
        <v>198154</v>
      </c>
      <c r="S48" s="28">
        <v>23558</v>
      </c>
      <c r="T48" s="28">
        <v>0</v>
      </c>
      <c r="U48" s="28">
        <v>176572</v>
      </c>
      <c r="V48" s="28">
        <v>0</v>
      </c>
      <c r="W48" s="28">
        <v>0</v>
      </c>
      <c r="X48" s="28">
        <v>0</v>
      </c>
      <c r="Y48" s="28">
        <v>364294</v>
      </c>
      <c r="Z48" s="28">
        <v>0</v>
      </c>
      <c r="AA48" s="28">
        <v>0</v>
      </c>
      <c r="AB48" s="28">
        <v>74403</v>
      </c>
      <c r="AC48" s="28">
        <v>26946</v>
      </c>
      <c r="AD48" s="28">
        <v>0</v>
      </c>
      <c r="AE48" s="28">
        <v>200913</v>
      </c>
      <c r="AF48" s="28">
        <v>0</v>
      </c>
      <c r="AG48" s="28">
        <v>166016</v>
      </c>
      <c r="AH48" s="28">
        <v>98225</v>
      </c>
      <c r="AI48" s="28">
        <v>28857</v>
      </c>
      <c r="AJ48" s="28">
        <v>1075211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316402</v>
      </c>
      <c r="AV48" s="28">
        <v>29004</v>
      </c>
      <c r="AW48" s="28">
        <v>0</v>
      </c>
      <c r="AX48" s="28">
        <v>0</v>
      </c>
      <c r="AY48" s="28">
        <v>160126</v>
      </c>
      <c r="AZ48" s="28">
        <v>0</v>
      </c>
      <c r="BA48" s="28">
        <v>1264</v>
      </c>
      <c r="BB48" s="28">
        <v>55993</v>
      </c>
      <c r="BC48" s="28">
        <v>0</v>
      </c>
      <c r="BD48" s="28">
        <v>48368</v>
      </c>
      <c r="BE48" s="28">
        <v>157866</v>
      </c>
      <c r="BF48" s="28">
        <v>182759</v>
      </c>
      <c r="BG48" s="28">
        <v>0</v>
      </c>
      <c r="BH48" s="28">
        <v>92653</v>
      </c>
      <c r="BI48" s="28">
        <v>0</v>
      </c>
      <c r="BJ48" s="28">
        <v>67733</v>
      </c>
      <c r="BK48" s="28">
        <v>253010</v>
      </c>
      <c r="BL48" s="28">
        <v>98822</v>
      </c>
      <c r="BM48" s="28">
        <v>0</v>
      </c>
      <c r="BN48" s="28">
        <v>218607</v>
      </c>
      <c r="BO48" s="28">
        <v>0</v>
      </c>
      <c r="BP48" s="28">
        <v>0</v>
      </c>
      <c r="BQ48" s="28">
        <v>0</v>
      </c>
      <c r="BR48" s="28">
        <v>42977</v>
      </c>
      <c r="BS48" s="28">
        <v>0</v>
      </c>
      <c r="BT48" s="28">
        <v>0</v>
      </c>
      <c r="BU48" s="28">
        <v>0</v>
      </c>
      <c r="BV48" s="28">
        <v>74309</v>
      </c>
      <c r="BW48" s="28">
        <v>0</v>
      </c>
      <c r="BX48" s="28">
        <v>106600</v>
      </c>
      <c r="BY48" s="28">
        <v>63735</v>
      </c>
      <c r="BZ48" s="28">
        <v>0</v>
      </c>
      <c r="CA48" s="28">
        <v>17556</v>
      </c>
      <c r="CB48" s="28">
        <v>9324</v>
      </c>
      <c r="CC48" s="28">
        <v>37494</v>
      </c>
      <c r="CD48" s="28" t="s">
        <v>1057</v>
      </c>
      <c r="CE48" s="28" t="s">
        <v>1057</v>
      </c>
    </row>
    <row r="49" spans="1:83" x14ac:dyDescent="0.35">
      <c r="A49" s="16" t="s">
        <v>233</v>
      </c>
      <c r="B49" s="28">
        <v>5860749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1137762</v>
      </c>
      <c r="C51" s="20">
        <v>0</v>
      </c>
      <c r="D51" s="20">
        <v>0</v>
      </c>
      <c r="E51" s="20">
        <v>279577</v>
      </c>
      <c r="F51" s="20">
        <v>0</v>
      </c>
      <c r="G51" s="20">
        <v>0</v>
      </c>
      <c r="H51" s="20">
        <v>0</v>
      </c>
      <c r="I51" s="20">
        <v>0</v>
      </c>
      <c r="J51" s="20">
        <v>727</v>
      </c>
      <c r="K51" s="20">
        <v>112941</v>
      </c>
      <c r="L51" s="20">
        <v>0</v>
      </c>
      <c r="M51" s="20">
        <v>0</v>
      </c>
      <c r="N51" s="20">
        <v>0</v>
      </c>
      <c r="O51" s="20">
        <v>21539</v>
      </c>
      <c r="P51" s="20">
        <v>156056</v>
      </c>
      <c r="Q51" s="20">
        <v>0</v>
      </c>
      <c r="R51" s="20">
        <v>9890</v>
      </c>
      <c r="S51" s="20">
        <v>0</v>
      </c>
      <c r="T51" s="20">
        <v>0</v>
      </c>
      <c r="U51" s="20">
        <v>90082</v>
      </c>
      <c r="V51" s="20">
        <v>0</v>
      </c>
      <c r="W51" s="20">
        <v>0</v>
      </c>
      <c r="X51" s="20">
        <v>0</v>
      </c>
      <c r="Y51" s="20">
        <v>76853</v>
      </c>
      <c r="Z51" s="20">
        <v>0</v>
      </c>
      <c r="AA51" s="20">
        <v>0</v>
      </c>
      <c r="AB51" s="20">
        <v>2466</v>
      </c>
      <c r="AC51" s="20">
        <v>5542</v>
      </c>
      <c r="AD51" s="20">
        <v>0</v>
      </c>
      <c r="AE51" s="20">
        <v>16520</v>
      </c>
      <c r="AF51" s="20">
        <v>0</v>
      </c>
      <c r="AG51" s="20">
        <v>58970</v>
      </c>
      <c r="AH51" s="20">
        <v>91507</v>
      </c>
      <c r="AI51" s="20">
        <v>0</v>
      </c>
      <c r="AJ51" s="20">
        <v>24395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14</v>
      </c>
      <c r="AV51" s="20">
        <v>37682</v>
      </c>
      <c r="AW51" s="20">
        <v>0</v>
      </c>
      <c r="AX51" s="20">
        <v>0</v>
      </c>
      <c r="AY51" s="20">
        <v>33319</v>
      </c>
      <c r="AZ51" s="20">
        <v>0</v>
      </c>
      <c r="BA51" s="20">
        <v>25902</v>
      </c>
      <c r="BB51" s="20">
        <v>0</v>
      </c>
      <c r="BC51" s="20">
        <v>0</v>
      </c>
      <c r="BD51" s="20">
        <v>0</v>
      </c>
      <c r="BE51" s="20">
        <v>12228</v>
      </c>
      <c r="BF51" s="20">
        <v>660</v>
      </c>
      <c r="BG51" s="20">
        <v>0</v>
      </c>
      <c r="BH51" s="20">
        <v>55796</v>
      </c>
      <c r="BI51" s="20">
        <v>0</v>
      </c>
      <c r="BJ51" s="20">
        <v>0</v>
      </c>
      <c r="BK51" s="20">
        <v>0</v>
      </c>
      <c r="BL51" s="20">
        <v>1498</v>
      </c>
      <c r="BM51" s="20">
        <v>0</v>
      </c>
      <c r="BN51" s="20">
        <v>17866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1482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4250</v>
      </c>
      <c r="CD51" s="16"/>
      <c r="CE51" s="28">
        <v>1137762</v>
      </c>
    </row>
    <row r="52" spans="1:83" x14ac:dyDescent="0.35">
      <c r="A52" s="35" t="s">
        <v>235</v>
      </c>
      <c r="B52" s="243">
        <v>364950</v>
      </c>
      <c r="C52" s="28">
        <v>0</v>
      </c>
      <c r="D52" s="28">
        <v>0</v>
      </c>
      <c r="E52" s="28">
        <v>17215</v>
      </c>
      <c r="F52" s="28">
        <v>0</v>
      </c>
      <c r="G52" s="28">
        <v>0</v>
      </c>
      <c r="H52" s="28">
        <v>0</v>
      </c>
      <c r="I52" s="28">
        <v>0</v>
      </c>
      <c r="J52" s="28">
        <v>1085</v>
      </c>
      <c r="K52" s="28">
        <v>15707</v>
      </c>
      <c r="L52" s="28">
        <v>11282</v>
      </c>
      <c r="M52" s="28">
        <v>0</v>
      </c>
      <c r="N52" s="28">
        <v>0</v>
      </c>
      <c r="O52" s="28">
        <v>3418</v>
      </c>
      <c r="P52" s="28">
        <v>39129</v>
      </c>
      <c r="Q52" s="28">
        <v>0</v>
      </c>
      <c r="R52" s="28">
        <v>0</v>
      </c>
      <c r="S52" s="28">
        <v>9813</v>
      </c>
      <c r="T52" s="28">
        <v>0</v>
      </c>
      <c r="U52" s="28">
        <v>8188</v>
      </c>
      <c r="V52" s="28">
        <v>1534</v>
      </c>
      <c r="W52" s="28">
        <v>0</v>
      </c>
      <c r="X52" s="28">
        <v>0</v>
      </c>
      <c r="Y52" s="28">
        <v>16188</v>
      </c>
      <c r="Z52" s="28">
        <v>0</v>
      </c>
      <c r="AA52" s="28">
        <v>0</v>
      </c>
      <c r="AB52" s="28">
        <v>2561</v>
      </c>
      <c r="AC52" s="28">
        <v>4887</v>
      </c>
      <c r="AD52" s="28">
        <v>0</v>
      </c>
      <c r="AE52" s="28">
        <v>19470</v>
      </c>
      <c r="AF52" s="28">
        <v>0</v>
      </c>
      <c r="AG52" s="28">
        <v>10249</v>
      </c>
      <c r="AH52" s="28">
        <v>10723</v>
      </c>
      <c r="AI52" s="28">
        <v>0</v>
      </c>
      <c r="AJ52" s="28">
        <v>78544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12413</v>
      </c>
      <c r="AV52" s="28">
        <v>5862</v>
      </c>
      <c r="AW52" s="28">
        <v>0</v>
      </c>
      <c r="AX52" s="28">
        <v>0</v>
      </c>
      <c r="AY52" s="28">
        <v>6850</v>
      </c>
      <c r="AZ52" s="28">
        <v>4783</v>
      </c>
      <c r="BA52" s="28">
        <v>4855</v>
      </c>
      <c r="BB52" s="28">
        <v>650</v>
      </c>
      <c r="BC52" s="28">
        <v>0</v>
      </c>
      <c r="BD52" s="28">
        <v>650</v>
      </c>
      <c r="BE52" s="28">
        <v>11464</v>
      </c>
      <c r="BF52" s="28">
        <v>747</v>
      </c>
      <c r="BG52" s="28">
        <v>0</v>
      </c>
      <c r="BH52" s="28">
        <v>2314</v>
      </c>
      <c r="BI52" s="28">
        <v>0</v>
      </c>
      <c r="BJ52" s="28">
        <v>0</v>
      </c>
      <c r="BK52" s="28">
        <v>11984</v>
      </c>
      <c r="BL52" s="28">
        <v>962</v>
      </c>
      <c r="BM52" s="28">
        <v>0</v>
      </c>
      <c r="BN52" s="28">
        <v>43444</v>
      </c>
      <c r="BO52" s="28">
        <v>0</v>
      </c>
      <c r="BP52" s="28">
        <v>0</v>
      </c>
      <c r="BQ52" s="28">
        <v>0</v>
      </c>
      <c r="BR52" s="28">
        <v>2638</v>
      </c>
      <c r="BS52" s="28">
        <v>0</v>
      </c>
      <c r="BT52" s="28">
        <v>0</v>
      </c>
      <c r="BU52" s="28">
        <v>0</v>
      </c>
      <c r="BV52" s="28">
        <v>3977</v>
      </c>
      <c r="BW52" s="28">
        <v>0</v>
      </c>
      <c r="BX52" s="28">
        <v>0</v>
      </c>
      <c r="BY52" s="28">
        <v>1365</v>
      </c>
      <c r="BZ52" s="28">
        <v>0</v>
      </c>
      <c r="CA52" s="28">
        <v>0</v>
      </c>
      <c r="CB52" s="28">
        <v>0</v>
      </c>
      <c r="CC52" s="28">
        <v>0</v>
      </c>
      <c r="CD52" s="28" t="s">
        <v>1057</v>
      </c>
      <c r="CE52" s="28" t="s">
        <v>1057</v>
      </c>
    </row>
    <row r="53" spans="1:83" x14ac:dyDescent="0.35">
      <c r="A53" s="16" t="s">
        <v>233</v>
      </c>
      <c r="B53" s="28">
        <v>1502712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742</v>
      </c>
      <c r="F59" s="20">
        <v>0</v>
      </c>
      <c r="G59" s="20">
        <v>0</v>
      </c>
      <c r="H59" s="20">
        <v>0</v>
      </c>
      <c r="I59" s="20">
        <v>0</v>
      </c>
      <c r="J59" s="20">
        <v>78</v>
      </c>
      <c r="K59" s="20">
        <v>6748</v>
      </c>
      <c r="L59" s="20">
        <v>1067</v>
      </c>
      <c r="M59" s="20">
        <v>0</v>
      </c>
      <c r="N59" s="20">
        <v>0</v>
      </c>
      <c r="O59" s="20">
        <v>85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65713</v>
      </c>
      <c r="V59" s="26">
        <v>0</v>
      </c>
      <c r="W59" s="26">
        <v>4009.71</v>
      </c>
      <c r="X59" s="26">
        <v>11701.46</v>
      </c>
      <c r="Y59" s="26">
        <v>7263.2000000000007</v>
      </c>
      <c r="Z59" s="26">
        <v>0</v>
      </c>
      <c r="AA59" s="26">
        <v>436.35</v>
      </c>
      <c r="AB59" s="244">
        <v>0</v>
      </c>
      <c r="AC59" s="26">
        <v>858</v>
      </c>
      <c r="AD59" s="26">
        <v>0</v>
      </c>
      <c r="AE59" s="26">
        <v>6092</v>
      </c>
      <c r="AF59" s="26">
        <v>0</v>
      </c>
      <c r="AG59" s="26">
        <v>4991</v>
      </c>
      <c r="AH59" s="26">
        <v>960</v>
      </c>
      <c r="AI59" s="26">
        <v>294</v>
      </c>
      <c r="AJ59" s="26">
        <v>15741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6745</v>
      </c>
      <c r="AV59" s="244">
        <v>0</v>
      </c>
      <c r="AW59" s="244">
        <v>0</v>
      </c>
      <c r="AX59" s="244">
        <v>0</v>
      </c>
      <c r="AY59" s="26">
        <v>102663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56157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0</v>
      </c>
      <c r="D60" s="245">
        <v>0</v>
      </c>
      <c r="E60" s="245">
        <v>19.37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29.5</v>
      </c>
      <c r="L60" s="245">
        <v>2.2999999999999998</v>
      </c>
      <c r="M60" s="245">
        <v>0</v>
      </c>
      <c r="N60" s="245">
        <v>0</v>
      </c>
      <c r="O60" s="245">
        <v>0.49</v>
      </c>
      <c r="P60" s="246">
        <v>4.26</v>
      </c>
      <c r="Q60" s="246">
        <v>7.0000000000000007E-2</v>
      </c>
      <c r="R60" s="246">
        <v>1.5</v>
      </c>
      <c r="S60" s="247">
        <v>1.98</v>
      </c>
      <c r="T60" s="247">
        <v>0</v>
      </c>
      <c r="U60" s="248">
        <v>9.1</v>
      </c>
      <c r="V60" s="246">
        <v>0</v>
      </c>
      <c r="W60" s="246">
        <v>0</v>
      </c>
      <c r="X60" s="246">
        <v>0</v>
      </c>
      <c r="Y60" s="246">
        <v>10.32</v>
      </c>
      <c r="Z60" s="246">
        <v>0</v>
      </c>
      <c r="AA60" s="246">
        <v>0</v>
      </c>
      <c r="AB60" s="247">
        <v>2.77</v>
      </c>
      <c r="AC60" s="246">
        <v>0.97</v>
      </c>
      <c r="AD60" s="246">
        <v>0</v>
      </c>
      <c r="AE60" s="246">
        <v>9.4600000000000009</v>
      </c>
      <c r="AF60" s="246">
        <v>0</v>
      </c>
      <c r="AG60" s="246">
        <v>5.62</v>
      </c>
      <c r="AH60" s="246">
        <v>6.17</v>
      </c>
      <c r="AI60" s="246">
        <v>0.83</v>
      </c>
      <c r="AJ60" s="246">
        <v>35.78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17.760000000000002</v>
      </c>
      <c r="AV60" s="247">
        <v>1.17</v>
      </c>
      <c r="AW60" s="247">
        <v>0</v>
      </c>
      <c r="AX60" s="247">
        <v>0</v>
      </c>
      <c r="AY60" s="246">
        <v>10.47</v>
      </c>
      <c r="AZ60" s="246">
        <v>0</v>
      </c>
      <c r="BA60" s="247">
        <v>0</v>
      </c>
      <c r="BB60" s="247">
        <v>1.96</v>
      </c>
      <c r="BC60" s="247">
        <v>0</v>
      </c>
      <c r="BD60" s="247">
        <v>2.44</v>
      </c>
      <c r="BE60" s="246">
        <v>7.94</v>
      </c>
      <c r="BF60" s="247">
        <v>14.21</v>
      </c>
      <c r="BG60" s="247">
        <v>3.85</v>
      </c>
      <c r="BH60" s="247">
        <v>0</v>
      </c>
      <c r="BI60" s="247">
        <v>0</v>
      </c>
      <c r="BJ60" s="247">
        <v>3.44</v>
      </c>
      <c r="BK60" s="247">
        <v>13.96</v>
      </c>
      <c r="BL60" s="247">
        <v>6.42</v>
      </c>
      <c r="BM60" s="247">
        <v>0</v>
      </c>
      <c r="BN60" s="247">
        <v>5.1100000000000003</v>
      </c>
      <c r="BO60" s="247">
        <v>0</v>
      </c>
      <c r="BP60" s="247">
        <v>0</v>
      </c>
      <c r="BQ60" s="247">
        <v>0</v>
      </c>
      <c r="BR60" s="247">
        <v>2.56</v>
      </c>
      <c r="BS60" s="247">
        <v>0</v>
      </c>
      <c r="BT60" s="247">
        <v>0</v>
      </c>
      <c r="BU60" s="247">
        <v>0</v>
      </c>
      <c r="BV60" s="247">
        <v>4.8499999999999996</v>
      </c>
      <c r="BW60" s="247">
        <v>0</v>
      </c>
      <c r="BX60" s="247">
        <v>3.39</v>
      </c>
      <c r="BY60" s="247">
        <v>2.0499999999999998</v>
      </c>
      <c r="BZ60" s="247">
        <v>0</v>
      </c>
      <c r="CA60" s="247">
        <v>0.62</v>
      </c>
      <c r="CB60" s="247">
        <v>0.51</v>
      </c>
      <c r="CC60" s="247">
        <v>2.27</v>
      </c>
      <c r="CD60" s="219" t="s">
        <v>248</v>
      </c>
      <c r="CE60" s="237">
        <v>245.46999999999997</v>
      </c>
    </row>
    <row r="61" spans="1:83" s="210" customFormat="1" x14ac:dyDescent="0.35">
      <c r="A61" s="35" t="s">
        <v>263</v>
      </c>
      <c r="B61" s="16"/>
      <c r="C61" s="20">
        <v>0</v>
      </c>
      <c r="D61" s="20">
        <v>0</v>
      </c>
      <c r="E61" s="20">
        <v>1596909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1853483</v>
      </c>
      <c r="L61" s="20">
        <v>271260</v>
      </c>
      <c r="M61" s="20">
        <v>0</v>
      </c>
      <c r="N61" s="20">
        <v>0</v>
      </c>
      <c r="O61" s="20">
        <v>141300</v>
      </c>
      <c r="P61" s="26">
        <v>686202</v>
      </c>
      <c r="Q61" s="26">
        <v>8866</v>
      </c>
      <c r="R61" s="26">
        <v>648377</v>
      </c>
      <c r="S61" s="249">
        <v>77085</v>
      </c>
      <c r="T61" s="249">
        <v>0</v>
      </c>
      <c r="U61" s="27">
        <v>577760</v>
      </c>
      <c r="V61" s="26">
        <v>0</v>
      </c>
      <c r="W61" s="26">
        <v>0</v>
      </c>
      <c r="X61" s="26">
        <v>0</v>
      </c>
      <c r="Y61" s="26">
        <v>1192003</v>
      </c>
      <c r="Z61" s="26">
        <v>0</v>
      </c>
      <c r="AA61" s="26">
        <v>0</v>
      </c>
      <c r="AB61" s="250">
        <v>243453</v>
      </c>
      <c r="AC61" s="26">
        <v>88170</v>
      </c>
      <c r="AD61" s="26">
        <v>0</v>
      </c>
      <c r="AE61" s="26">
        <v>657405</v>
      </c>
      <c r="AF61" s="26">
        <v>0</v>
      </c>
      <c r="AG61" s="26">
        <v>543221</v>
      </c>
      <c r="AH61" s="26">
        <v>321400</v>
      </c>
      <c r="AI61" s="26">
        <v>94424</v>
      </c>
      <c r="AJ61" s="26">
        <v>3518190.9600000004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1035297</v>
      </c>
      <c r="AV61" s="249">
        <v>94904</v>
      </c>
      <c r="AW61" s="249">
        <v>0</v>
      </c>
      <c r="AX61" s="249">
        <v>0</v>
      </c>
      <c r="AY61" s="26">
        <v>523947</v>
      </c>
      <c r="AZ61" s="26">
        <v>0</v>
      </c>
      <c r="BA61" s="249">
        <v>4137</v>
      </c>
      <c r="BB61" s="249">
        <v>183215</v>
      </c>
      <c r="BC61" s="249">
        <v>0</v>
      </c>
      <c r="BD61" s="249">
        <v>158266</v>
      </c>
      <c r="BE61" s="26">
        <v>516551</v>
      </c>
      <c r="BF61" s="249">
        <v>598006</v>
      </c>
      <c r="BG61" s="249">
        <v>0</v>
      </c>
      <c r="BH61" s="249">
        <v>303170</v>
      </c>
      <c r="BI61" s="249">
        <v>0</v>
      </c>
      <c r="BJ61" s="249">
        <v>221629</v>
      </c>
      <c r="BK61" s="249">
        <v>827871</v>
      </c>
      <c r="BL61" s="249">
        <v>323354</v>
      </c>
      <c r="BM61" s="249">
        <v>0</v>
      </c>
      <c r="BN61" s="249">
        <v>715303</v>
      </c>
      <c r="BO61" s="249">
        <v>0</v>
      </c>
      <c r="BP61" s="249">
        <v>0</v>
      </c>
      <c r="BQ61" s="249">
        <v>0</v>
      </c>
      <c r="BR61" s="249">
        <v>140625</v>
      </c>
      <c r="BS61" s="249">
        <v>0</v>
      </c>
      <c r="BT61" s="249">
        <v>0</v>
      </c>
      <c r="BU61" s="249">
        <v>0</v>
      </c>
      <c r="BV61" s="249">
        <v>243147</v>
      </c>
      <c r="BW61" s="249">
        <v>0</v>
      </c>
      <c r="BX61" s="249">
        <v>348804</v>
      </c>
      <c r="BY61" s="249">
        <v>208547</v>
      </c>
      <c r="BZ61" s="249">
        <v>0</v>
      </c>
      <c r="CA61" s="249">
        <v>57446</v>
      </c>
      <c r="CB61" s="249">
        <v>30509</v>
      </c>
      <c r="CC61" s="249">
        <v>122684</v>
      </c>
      <c r="CD61" s="25" t="s">
        <v>248</v>
      </c>
      <c r="CE61" s="28">
        <v>19176920.960000001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488039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566452</v>
      </c>
      <c r="L62" s="28">
        <v>82901</v>
      </c>
      <c r="M62" s="28">
        <v>0</v>
      </c>
      <c r="N62" s="28">
        <v>0</v>
      </c>
      <c r="O62" s="28">
        <v>43183</v>
      </c>
      <c r="P62" s="28">
        <v>209713</v>
      </c>
      <c r="Q62" s="28">
        <v>2710</v>
      </c>
      <c r="R62" s="28">
        <v>198154</v>
      </c>
      <c r="S62" s="28">
        <v>23558</v>
      </c>
      <c r="T62" s="28">
        <v>0</v>
      </c>
      <c r="U62" s="28">
        <v>176572</v>
      </c>
      <c r="V62" s="28">
        <v>0</v>
      </c>
      <c r="W62" s="28">
        <v>0</v>
      </c>
      <c r="X62" s="28">
        <v>0</v>
      </c>
      <c r="Y62" s="28">
        <v>364294</v>
      </c>
      <c r="Z62" s="28">
        <v>0</v>
      </c>
      <c r="AA62" s="28">
        <v>0</v>
      </c>
      <c r="AB62" s="28">
        <v>74403</v>
      </c>
      <c r="AC62" s="28">
        <v>26946</v>
      </c>
      <c r="AD62" s="28">
        <v>0</v>
      </c>
      <c r="AE62" s="28">
        <v>200913</v>
      </c>
      <c r="AF62" s="28">
        <v>0</v>
      </c>
      <c r="AG62" s="28">
        <v>166016</v>
      </c>
      <c r="AH62" s="28">
        <v>98225</v>
      </c>
      <c r="AI62" s="28">
        <v>28857</v>
      </c>
      <c r="AJ62" s="28">
        <v>1075211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316402</v>
      </c>
      <c r="AV62" s="28">
        <v>29004</v>
      </c>
      <c r="AW62" s="28">
        <v>0</v>
      </c>
      <c r="AX62" s="28">
        <v>0</v>
      </c>
      <c r="AY62" s="28">
        <v>160126</v>
      </c>
      <c r="AZ62" s="28">
        <v>0</v>
      </c>
      <c r="BA62" s="28">
        <v>1264</v>
      </c>
      <c r="BB62" s="28">
        <v>55993</v>
      </c>
      <c r="BC62" s="28">
        <v>0</v>
      </c>
      <c r="BD62" s="28">
        <v>48368</v>
      </c>
      <c r="BE62" s="28">
        <v>157866</v>
      </c>
      <c r="BF62" s="28">
        <v>182759</v>
      </c>
      <c r="BG62" s="28">
        <v>0</v>
      </c>
      <c r="BH62" s="28">
        <v>92653</v>
      </c>
      <c r="BI62" s="28">
        <v>0</v>
      </c>
      <c r="BJ62" s="28">
        <v>67733</v>
      </c>
      <c r="BK62" s="28">
        <v>253010</v>
      </c>
      <c r="BL62" s="28">
        <v>98822</v>
      </c>
      <c r="BM62" s="28">
        <v>0</v>
      </c>
      <c r="BN62" s="28">
        <v>218607</v>
      </c>
      <c r="BO62" s="28">
        <v>0</v>
      </c>
      <c r="BP62" s="28">
        <v>0</v>
      </c>
      <c r="BQ62" s="28">
        <v>0</v>
      </c>
      <c r="BR62" s="28">
        <v>42977</v>
      </c>
      <c r="BS62" s="28">
        <v>0</v>
      </c>
      <c r="BT62" s="28">
        <v>0</v>
      </c>
      <c r="BU62" s="28">
        <v>0</v>
      </c>
      <c r="BV62" s="28">
        <v>74309</v>
      </c>
      <c r="BW62" s="28">
        <v>0</v>
      </c>
      <c r="BX62" s="28">
        <v>106600</v>
      </c>
      <c r="BY62" s="28">
        <v>63735</v>
      </c>
      <c r="BZ62" s="28">
        <v>0</v>
      </c>
      <c r="CA62" s="28">
        <v>17556</v>
      </c>
      <c r="CB62" s="28">
        <v>9324</v>
      </c>
      <c r="CC62" s="28">
        <v>37494</v>
      </c>
      <c r="CD62" s="25" t="s">
        <v>248</v>
      </c>
      <c r="CE62" s="28">
        <v>5860749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1044448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339836</v>
      </c>
      <c r="L63" s="20">
        <v>0</v>
      </c>
      <c r="M63" s="20">
        <v>0</v>
      </c>
      <c r="N63" s="20">
        <v>0</v>
      </c>
      <c r="O63" s="20">
        <v>341277</v>
      </c>
      <c r="P63" s="26">
        <v>518</v>
      </c>
      <c r="Q63" s="26">
        <v>0</v>
      </c>
      <c r="R63" s="26">
        <v>106</v>
      </c>
      <c r="S63" s="249">
        <v>0</v>
      </c>
      <c r="T63" s="249">
        <v>0</v>
      </c>
      <c r="U63" s="27">
        <v>249007</v>
      </c>
      <c r="V63" s="26">
        <v>0</v>
      </c>
      <c r="W63" s="26">
        <v>0</v>
      </c>
      <c r="X63" s="26">
        <v>0</v>
      </c>
      <c r="Y63" s="26">
        <v>218918</v>
      </c>
      <c r="Z63" s="26">
        <v>0</v>
      </c>
      <c r="AA63" s="26">
        <v>71500</v>
      </c>
      <c r="AB63" s="250">
        <v>43620</v>
      </c>
      <c r="AC63" s="26">
        <v>68456</v>
      </c>
      <c r="AD63" s="26">
        <v>0</v>
      </c>
      <c r="AE63" s="26">
        <v>44859</v>
      </c>
      <c r="AF63" s="26">
        <v>0</v>
      </c>
      <c r="AG63" s="26">
        <v>1099801</v>
      </c>
      <c r="AH63" s="26">
        <v>0</v>
      </c>
      <c r="AI63" s="26">
        <v>0</v>
      </c>
      <c r="AJ63" s="26">
        <v>138951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74164</v>
      </c>
      <c r="AW63" s="249">
        <v>0</v>
      </c>
      <c r="AX63" s="249">
        <v>0</v>
      </c>
      <c r="AY63" s="26">
        <v>1806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117347</v>
      </c>
      <c r="BK63" s="249">
        <v>0</v>
      </c>
      <c r="BL63" s="249">
        <v>0</v>
      </c>
      <c r="BM63" s="249">
        <v>0</v>
      </c>
      <c r="BN63" s="249">
        <v>137867</v>
      </c>
      <c r="BO63" s="249">
        <v>0</v>
      </c>
      <c r="BP63" s="249">
        <v>0</v>
      </c>
      <c r="BQ63" s="249">
        <v>0</v>
      </c>
      <c r="BR63" s="249">
        <v>75680</v>
      </c>
      <c r="BS63" s="249">
        <v>0</v>
      </c>
      <c r="BT63" s="249">
        <v>0</v>
      </c>
      <c r="BU63" s="249">
        <v>0</v>
      </c>
      <c r="BV63" s="249">
        <v>38810</v>
      </c>
      <c r="BW63" s="249">
        <v>0</v>
      </c>
      <c r="BX63" s="249">
        <v>9170</v>
      </c>
      <c r="BY63" s="249">
        <v>0</v>
      </c>
      <c r="BZ63" s="249">
        <v>0</v>
      </c>
      <c r="CA63" s="249">
        <v>0</v>
      </c>
      <c r="CB63" s="249">
        <v>0</v>
      </c>
      <c r="CC63" s="249">
        <v>1400</v>
      </c>
      <c r="CD63" s="25" t="s">
        <v>248</v>
      </c>
      <c r="CE63" s="28">
        <v>4117541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64814</v>
      </c>
      <c r="F64" s="20">
        <v>0</v>
      </c>
      <c r="G64" s="20">
        <v>0</v>
      </c>
      <c r="H64" s="20">
        <v>0</v>
      </c>
      <c r="I64" s="20">
        <v>0</v>
      </c>
      <c r="J64" s="20">
        <v>2024</v>
      </c>
      <c r="K64" s="20">
        <v>79364</v>
      </c>
      <c r="L64" s="20">
        <v>0</v>
      </c>
      <c r="M64" s="20">
        <v>0</v>
      </c>
      <c r="N64" s="20">
        <v>0</v>
      </c>
      <c r="O64" s="20">
        <v>5290</v>
      </c>
      <c r="P64" s="26">
        <v>135223</v>
      </c>
      <c r="Q64" s="26">
        <v>0</v>
      </c>
      <c r="R64" s="26">
        <v>19809</v>
      </c>
      <c r="S64" s="249">
        <v>60300</v>
      </c>
      <c r="T64" s="249">
        <v>0</v>
      </c>
      <c r="U64" s="27">
        <v>957726</v>
      </c>
      <c r="V64" s="26">
        <v>0</v>
      </c>
      <c r="W64" s="26">
        <v>0</v>
      </c>
      <c r="X64" s="26">
        <v>0</v>
      </c>
      <c r="Y64" s="26">
        <v>43818</v>
      </c>
      <c r="Z64" s="26">
        <v>0</v>
      </c>
      <c r="AA64" s="26">
        <v>22392</v>
      </c>
      <c r="AB64" s="250">
        <v>912281</v>
      </c>
      <c r="AC64" s="26">
        <v>3795</v>
      </c>
      <c r="AD64" s="26">
        <v>0</v>
      </c>
      <c r="AE64" s="26">
        <v>15819</v>
      </c>
      <c r="AF64" s="26">
        <v>0</v>
      </c>
      <c r="AG64" s="26">
        <v>60650</v>
      </c>
      <c r="AH64" s="26">
        <v>44370</v>
      </c>
      <c r="AI64" s="26">
        <v>0</v>
      </c>
      <c r="AJ64" s="26">
        <v>194234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19850</v>
      </c>
      <c r="AV64" s="249">
        <v>8096</v>
      </c>
      <c r="AW64" s="249">
        <v>0</v>
      </c>
      <c r="AX64" s="249">
        <v>0</v>
      </c>
      <c r="AY64" s="26">
        <v>300449</v>
      </c>
      <c r="AZ64" s="26">
        <v>0</v>
      </c>
      <c r="BA64" s="249">
        <v>18120</v>
      </c>
      <c r="BB64" s="249">
        <v>304</v>
      </c>
      <c r="BC64" s="249">
        <v>0</v>
      </c>
      <c r="BD64" s="249">
        <v>590</v>
      </c>
      <c r="BE64" s="26">
        <v>96147</v>
      </c>
      <c r="BF64" s="249">
        <v>69272</v>
      </c>
      <c r="BG64" s="249">
        <v>14399</v>
      </c>
      <c r="BH64" s="249">
        <v>0</v>
      </c>
      <c r="BI64" s="249">
        <v>0</v>
      </c>
      <c r="BJ64" s="249">
        <v>4163</v>
      </c>
      <c r="BK64" s="249">
        <v>23849</v>
      </c>
      <c r="BL64" s="249">
        <v>4618</v>
      </c>
      <c r="BM64" s="249">
        <v>0</v>
      </c>
      <c r="BN64" s="249">
        <v>42236</v>
      </c>
      <c r="BO64" s="249">
        <v>0</v>
      </c>
      <c r="BP64" s="249">
        <v>0</v>
      </c>
      <c r="BQ64" s="249">
        <v>0</v>
      </c>
      <c r="BR64" s="249">
        <v>3831</v>
      </c>
      <c r="BS64" s="249">
        <v>0</v>
      </c>
      <c r="BT64" s="249">
        <v>0</v>
      </c>
      <c r="BU64" s="249">
        <v>0</v>
      </c>
      <c r="BV64" s="249">
        <v>8891</v>
      </c>
      <c r="BW64" s="249">
        <v>0</v>
      </c>
      <c r="BX64" s="249">
        <v>387</v>
      </c>
      <c r="BY64" s="249">
        <v>3840</v>
      </c>
      <c r="BZ64" s="249">
        <v>0</v>
      </c>
      <c r="CA64" s="249">
        <v>668</v>
      </c>
      <c r="CB64" s="249">
        <v>77</v>
      </c>
      <c r="CC64" s="249">
        <v>499716</v>
      </c>
      <c r="CD64" s="25" t="s">
        <v>248</v>
      </c>
      <c r="CE64" s="28">
        <v>3741412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1507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989</v>
      </c>
      <c r="L65" s="20">
        <v>0</v>
      </c>
      <c r="M65" s="20">
        <v>0</v>
      </c>
      <c r="N65" s="20">
        <v>0</v>
      </c>
      <c r="O65" s="20">
        <v>0</v>
      </c>
      <c r="P65" s="26">
        <v>10829</v>
      </c>
      <c r="Q65" s="26">
        <v>0</v>
      </c>
      <c r="R65" s="26">
        <v>0</v>
      </c>
      <c r="S65" s="249">
        <v>0</v>
      </c>
      <c r="T65" s="249">
        <v>0</v>
      </c>
      <c r="U65" s="27">
        <v>733</v>
      </c>
      <c r="V65" s="26">
        <v>0</v>
      </c>
      <c r="W65" s="26">
        <v>0</v>
      </c>
      <c r="X65" s="26">
        <v>0</v>
      </c>
      <c r="Y65" s="26">
        <v>1555</v>
      </c>
      <c r="Z65" s="26">
        <v>0</v>
      </c>
      <c r="AA65" s="26">
        <v>0</v>
      </c>
      <c r="AB65" s="250">
        <v>2512</v>
      </c>
      <c r="AC65" s="26">
        <v>0</v>
      </c>
      <c r="AD65" s="26">
        <v>0</v>
      </c>
      <c r="AE65" s="26">
        <v>501</v>
      </c>
      <c r="AF65" s="26">
        <v>0</v>
      </c>
      <c r="AG65" s="26">
        <v>1508</v>
      </c>
      <c r="AH65" s="26">
        <v>22114</v>
      </c>
      <c r="AI65" s="26">
        <v>0</v>
      </c>
      <c r="AJ65" s="26">
        <v>74924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17927</v>
      </c>
      <c r="AV65" s="249">
        <v>639</v>
      </c>
      <c r="AW65" s="249">
        <v>0</v>
      </c>
      <c r="AX65" s="249">
        <v>0</v>
      </c>
      <c r="AY65" s="26">
        <v>653</v>
      </c>
      <c r="AZ65" s="26">
        <v>0</v>
      </c>
      <c r="BA65" s="249">
        <v>0</v>
      </c>
      <c r="BB65" s="249">
        <v>927</v>
      </c>
      <c r="BC65" s="249">
        <v>0</v>
      </c>
      <c r="BD65" s="249">
        <v>907</v>
      </c>
      <c r="BE65" s="26">
        <v>349838</v>
      </c>
      <c r="BF65" s="249">
        <v>43</v>
      </c>
      <c r="BG65" s="249">
        <v>7698</v>
      </c>
      <c r="BH65" s="249">
        <v>0</v>
      </c>
      <c r="BI65" s="249">
        <v>0</v>
      </c>
      <c r="BJ65" s="249">
        <v>492</v>
      </c>
      <c r="BK65" s="249">
        <v>1006</v>
      </c>
      <c r="BL65" s="249">
        <v>3087</v>
      </c>
      <c r="BM65" s="249">
        <v>0</v>
      </c>
      <c r="BN65" s="249">
        <v>10859</v>
      </c>
      <c r="BO65" s="249">
        <v>0</v>
      </c>
      <c r="BP65" s="249">
        <v>0</v>
      </c>
      <c r="BQ65" s="249">
        <v>0</v>
      </c>
      <c r="BR65" s="249">
        <v>766</v>
      </c>
      <c r="BS65" s="249">
        <v>0</v>
      </c>
      <c r="BT65" s="249">
        <v>0</v>
      </c>
      <c r="BU65" s="249">
        <v>0</v>
      </c>
      <c r="BV65" s="249">
        <v>592</v>
      </c>
      <c r="BW65" s="249">
        <v>0</v>
      </c>
      <c r="BX65" s="249">
        <v>263</v>
      </c>
      <c r="BY65" s="249">
        <v>128</v>
      </c>
      <c r="BZ65" s="249">
        <v>0</v>
      </c>
      <c r="CA65" s="249">
        <v>60</v>
      </c>
      <c r="CB65" s="249">
        <v>0</v>
      </c>
      <c r="CC65" s="249">
        <v>1068</v>
      </c>
      <c r="CD65" s="25" t="s">
        <v>248</v>
      </c>
      <c r="CE65" s="28">
        <v>514125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47311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13253</v>
      </c>
      <c r="L66" s="20">
        <v>0</v>
      </c>
      <c r="M66" s="20">
        <v>0</v>
      </c>
      <c r="N66" s="20">
        <v>0</v>
      </c>
      <c r="O66" s="20">
        <v>6</v>
      </c>
      <c r="P66" s="26">
        <v>24430</v>
      </c>
      <c r="Q66" s="26">
        <v>0</v>
      </c>
      <c r="R66" s="26">
        <v>20554</v>
      </c>
      <c r="S66" s="249">
        <v>0</v>
      </c>
      <c r="T66" s="249">
        <v>0</v>
      </c>
      <c r="U66" s="27">
        <v>107607</v>
      </c>
      <c r="V66" s="26">
        <v>0</v>
      </c>
      <c r="W66" s="26">
        <v>0</v>
      </c>
      <c r="X66" s="26">
        <v>0</v>
      </c>
      <c r="Y66" s="26">
        <v>303831</v>
      </c>
      <c r="Z66" s="26">
        <v>0</v>
      </c>
      <c r="AA66" s="26">
        <v>0</v>
      </c>
      <c r="AB66" s="250">
        <v>101679</v>
      </c>
      <c r="AC66" s="26">
        <v>1406</v>
      </c>
      <c r="AD66" s="26">
        <v>0</v>
      </c>
      <c r="AE66" s="26">
        <v>3283</v>
      </c>
      <c r="AF66" s="26">
        <v>0</v>
      </c>
      <c r="AG66" s="26">
        <v>36457</v>
      </c>
      <c r="AH66" s="26">
        <v>47509</v>
      </c>
      <c r="AI66" s="26">
        <v>0</v>
      </c>
      <c r="AJ66" s="26">
        <v>42410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56531</v>
      </c>
      <c r="AV66" s="249">
        <v>18043</v>
      </c>
      <c r="AW66" s="249">
        <v>0</v>
      </c>
      <c r="AX66" s="249">
        <v>0</v>
      </c>
      <c r="AY66" s="26">
        <v>1488</v>
      </c>
      <c r="AZ66" s="26">
        <v>0</v>
      </c>
      <c r="BA66" s="249">
        <v>64415</v>
      </c>
      <c r="BB66" s="249">
        <v>212</v>
      </c>
      <c r="BC66" s="249">
        <v>0</v>
      </c>
      <c r="BD66" s="249">
        <v>-8576</v>
      </c>
      <c r="BE66" s="26">
        <v>174295</v>
      </c>
      <c r="BF66" s="249">
        <v>12283</v>
      </c>
      <c r="BG66" s="249">
        <v>458501</v>
      </c>
      <c r="BH66" s="249">
        <v>0</v>
      </c>
      <c r="BI66" s="249">
        <v>0</v>
      </c>
      <c r="BJ66" s="249">
        <v>63379</v>
      </c>
      <c r="BK66" s="249">
        <v>178331</v>
      </c>
      <c r="BL66" s="249">
        <v>3556</v>
      </c>
      <c r="BM66" s="249">
        <v>0</v>
      </c>
      <c r="BN66" s="249">
        <v>106113</v>
      </c>
      <c r="BO66" s="249">
        <v>0</v>
      </c>
      <c r="BP66" s="249">
        <v>0</v>
      </c>
      <c r="BQ66" s="249">
        <v>0</v>
      </c>
      <c r="BR66" s="249">
        <v>33941</v>
      </c>
      <c r="BS66" s="249">
        <v>0</v>
      </c>
      <c r="BT66" s="249">
        <v>0</v>
      </c>
      <c r="BU66" s="249">
        <v>0</v>
      </c>
      <c r="BV66" s="249">
        <v>9381</v>
      </c>
      <c r="BW66" s="249">
        <v>0</v>
      </c>
      <c r="BX66" s="249">
        <v>96280</v>
      </c>
      <c r="BY66" s="249">
        <v>0</v>
      </c>
      <c r="BZ66" s="249">
        <v>0</v>
      </c>
      <c r="CA66" s="249">
        <v>0</v>
      </c>
      <c r="CB66" s="249">
        <v>0</v>
      </c>
      <c r="CC66" s="249">
        <v>53829</v>
      </c>
      <c r="CD66" s="25" t="s">
        <v>248</v>
      </c>
      <c r="CE66" s="28">
        <v>2071738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296792</v>
      </c>
      <c r="F67" s="28">
        <v>0</v>
      </c>
      <c r="G67" s="28">
        <v>0</v>
      </c>
      <c r="H67" s="28">
        <v>0</v>
      </c>
      <c r="I67" s="28">
        <v>0</v>
      </c>
      <c r="J67" s="28">
        <v>1812</v>
      </c>
      <c r="K67" s="28">
        <v>128648</v>
      </c>
      <c r="L67" s="28">
        <v>11282</v>
      </c>
      <c r="M67" s="28">
        <v>0</v>
      </c>
      <c r="N67" s="28">
        <v>0</v>
      </c>
      <c r="O67" s="28">
        <v>24957</v>
      </c>
      <c r="P67" s="28">
        <v>195185</v>
      </c>
      <c r="Q67" s="28">
        <v>0</v>
      </c>
      <c r="R67" s="28">
        <v>9890</v>
      </c>
      <c r="S67" s="28">
        <v>9813</v>
      </c>
      <c r="T67" s="28">
        <v>0</v>
      </c>
      <c r="U67" s="28">
        <v>98270</v>
      </c>
      <c r="V67" s="28">
        <v>1534</v>
      </c>
      <c r="W67" s="28">
        <v>0</v>
      </c>
      <c r="X67" s="28">
        <v>0</v>
      </c>
      <c r="Y67" s="28">
        <v>93041</v>
      </c>
      <c r="Z67" s="28">
        <v>0</v>
      </c>
      <c r="AA67" s="28">
        <v>0</v>
      </c>
      <c r="AB67" s="28">
        <v>5027</v>
      </c>
      <c r="AC67" s="28">
        <v>10429</v>
      </c>
      <c r="AD67" s="28">
        <v>0</v>
      </c>
      <c r="AE67" s="28">
        <v>35990</v>
      </c>
      <c r="AF67" s="28">
        <v>0</v>
      </c>
      <c r="AG67" s="28">
        <v>69219</v>
      </c>
      <c r="AH67" s="28">
        <v>102230</v>
      </c>
      <c r="AI67" s="28">
        <v>0</v>
      </c>
      <c r="AJ67" s="28">
        <v>102939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12427</v>
      </c>
      <c r="AV67" s="28">
        <v>43544</v>
      </c>
      <c r="AW67" s="28">
        <v>0</v>
      </c>
      <c r="AX67" s="28">
        <v>0</v>
      </c>
      <c r="AY67" s="28">
        <v>40169</v>
      </c>
      <c r="AZ67" s="28">
        <v>4783</v>
      </c>
      <c r="BA67" s="28">
        <v>30757</v>
      </c>
      <c r="BB67" s="28">
        <v>650</v>
      </c>
      <c r="BC67" s="28">
        <v>0</v>
      </c>
      <c r="BD67" s="28">
        <v>650</v>
      </c>
      <c r="BE67" s="28">
        <v>23692</v>
      </c>
      <c r="BF67" s="28">
        <v>1407</v>
      </c>
      <c r="BG67" s="28">
        <v>0</v>
      </c>
      <c r="BH67" s="28">
        <v>58110</v>
      </c>
      <c r="BI67" s="28">
        <v>0</v>
      </c>
      <c r="BJ67" s="28">
        <v>0</v>
      </c>
      <c r="BK67" s="28">
        <v>11984</v>
      </c>
      <c r="BL67" s="28">
        <v>2460</v>
      </c>
      <c r="BM67" s="28">
        <v>0</v>
      </c>
      <c r="BN67" s="28">
        <v>61310</v>
      </c>
      <c r="BO67" s="28">
        <v>0</v>
      </c>
      <c r="BP67" s="28">
        <v>0</v>
      </c>
      <c r="BQ67" s="28">
        <v>0</v>
      </c>
      <c r="BR67" s="28">
        <v>2638</v>
      </c>
      <c r="BS67" s="28">
        <v>0</v>
      </c>
      <c r="BT67" s="28">
        <v>0</v>
      </c>
      <c r="BU67" s="28">
        <v>0</v>
      </c>
      <c r="BV67" s="28">
        <v>5459</v>
      </c>
      <c r="BW67" s="28">
        <v>0</v>
      </c>
      <c r="BX67" s="28">
        <v>0</v>
      </c>
      <c r="BY67" s="28">
        <v>1365</v>
      </c>
      <c r="BZ67" s="28">
        <v>0</v>
      </c>
      <c r="CA67" s="28">
        <v>0</v>
      </c>
      <c r="CB67" s="28">
        <v>0</v>
      </c>
      <c r="CC67" s="28">
        <v>4250</v>
      </c>
      <c r="CD67" s="25" t="s">
        <v>248</v>
      </c>
      <c r="CE67" s="28">
        <v>1502713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19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2880</v>
      </c>
      <c r="L68" s="20">
        <v>0</v>
      </c>
      <c r="M68" s="20">
        <v>0</v>
      </c>
      <c r="N68" s="20">
        <v>0</v>
      </c>
      <c r="O68" s="20">
        <v>0</v>
      </c>
      <c r="P68" s="26">
        <v>428</v>
      </c>
      <c r="Q68" s="26">
        <v>0</v>
      </c>
      <c r="R68" s="26">
        <v>3255</v>
      </c>
      <c r="S68" s="249">
        <v>0</v>
      </c>
      <c r="T68" s="249">
        <v>0</v>
      </c>
      <c r="U68" s="27">
        <v>23148</v>
      </c>
      <c r="V68" s="26">
        <v>0</v>
      </c>
      <c r="W68" s="26">
        <v>0</v>
      </c>
      <c r="X68" s="26">
        <v>0</v>
      </c>
      <c r="Y68" s="26">
        <v>14968</v>
      </c>
      <c r="Z68" s="26">
        <v>0</v>
      </c>
      <c r="AA68" s="26">
        <v>0</v>
      </c>
      <c r="AB68" s="250">
        <v>46354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4788</v>
      </c>
      <c r="AI68" s="26">
        <v>0</v>
      </c>
      <c r="AJ68" s="26">
        <v>428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120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20521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3834</v>
      </c>
      <c r="BM68" s="249">
        <v>0</v>
      </c>
      <c r="BN68" s="249">
        <v>76784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1370</v>
      </c>
      <c r="CD68" s="25" t="s">
        <v>248</v>
      </c>
      <c r="CE68" s="28">
        <v>198897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17667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3950</v>
      </c>
      <c r="L69" s="28">
        <v>0</v>
      </c>
      <c r="M69" s="28">
        <v>0</v>
      </c>
      <c r="N69" s="28">
        <v>0</v>
      </c>
      <c r="O69" s="28">
        <v>77794</v>
      </c>
      <c r="P69" s="28">
        <v>20253</v>
      </c>
      <c r="Q69" s="28">
        <v>140</v>
      </c>
      <c r="R69" s="28">
        <v>17080</v>
      </c>
      <c r="S69" s="28">
        <v>548</v>
      </c>
      <c r="T69" s="28">
        <v>0</v>
      </c>
      <c r="U69" s="28">
        <v>6506</v>
      </c>
      <c r="V69" s="28">
        <v>0</v>
      </c>
      <c r="W69" s="28">
        <v>0</v>
      </c>
      <c r="X69" s="28">
        <v>0</v>
      </c>
      <c r="Y69" s="28">
        <v>44154</v>
      </c>
      <c r="Z69" s="28">
        <v>0</v>
      </c>
      <c r="AA69" s="28">
        <v>268</v>
      </c>
      <c r="AB69" s="28">
        <v>32898</v>
      </c>
      <c r="AC69" s="28">
        <v>0</v>
      </c>
      <c r="AD69" s="28">
        <v>0</v>
      </c>
      <c r="AE69" s="28">
        <v>6150</v>
      </c>
      <c r="AF69" s="28">
        <v>0</v>
      </c>
      <c r="AG69" s="28">
        <v>46139</v>
      </c>
      <c r="AH69" s="28">
        <v>17211</v>
      </c>
      <c r="AI69" s="28">
        <v>0</v>
      </c>
      <c r="AJ69" s="28">
        <v>118635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15728</v>
      </c>
      <c r="AV69" s="28">
        <v>696</v>
      </c>
      <c r="AW69" s="28">
        <v>0</v>
      </c>
      <c r="AX69" s="28">
        <v>0</v>
      </c>
      <c r="AY69" s="28">
        <v>2438</v>
      </c>
      <c r="AZ69" s="28">
        <v>0</v>
      </c>
      <c r="BA69" s="28">
        <v>86</v>
      </c>
      <c r="BB69" s="28">
        <v>512</v>
      </c>
      <c r="BC69" s="28">
        <v>0</v>
      </c>
      <c r="BD69" s="28">
        <v>-882</v>
      </c>
      <c r="BE69" s="28">
        <v>3990</v>
      </c>
      <c r="BF69" s="28">
        <v>400</v>
      </c>
      <c r="BG69" s="28">
        <v>76496</v>
      </c>
      <c r="BH69" s="28">
        <v>0</v>
      </c>
      <c r="BI69" s="28">
        <v>0</v>
      </c>
      <c r="BJ69" s="28">
        <v>33825</v>
      </c>
      <c r="BK69" s="28">
        <v>20532</v>
      </c>
      <c r="BL69" s="28">
        <v>759</v>
      </c>
      <c r="BM69" s="28">
        <v>0</v>
      </c>
      <c r="BN69" s="28">
        <v>59495</v>
      </c>
      <c r="BO69" s="28">
        <v>0</v>
      </c>
      <c r="BP69" s="28">
        <v>0</v>
      </c>
      <c r="BQ69" s="28">
        <v>0</v>
      </c>
      <c r="BR69" s="28">
        <v>15360</v>
      </c>
      <c r="BS69" s="28">
        <v>0</v>
      </c>
      <c r="BT69" s="28">
        <v>0</v>
      </c>
      <c r="BU69" s="28">
        <v>0</v>
      </c>
      <c r="BV69" s="28">
        <v>27512</v>
      </c>
      <c r="BW69" s="28">
        <v>0</v>
      </c>
      <c r="BX69" s="28">
        <v>14115</v>
      </c>
      <c r="BY69" s="28">
        <v>5011</v>
      </c>
      <c r="BZ69" s="28">
        <v>0</v>
      </c>
      <c r="CA69" s="28">
        <v>13211</v>
      </c>
      <c r="CB69" s="28">
        <v>19</v>
      </c>
      <c r="CC69" s="28">
        <v>20460</v>
      </c>
      <c r="CD69" s="28">
        <v>1390151</v>
      </c>
      <c r="CE69" s="28">
        <v>2109307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17667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3950</v>
      </c>
      <c r="L83" s="26">
        <v>0</v>
      </c>
      <c r="M83" s="20">
        <v>0</v>
      </c>
      <c r="N83" s="20">
        <v>0</v>
      </c>
      <c r="O83" s="20">
        <v>77794</v>
      </c>
      <c r="P83" s="26">
        <v>20253</v>
      </c>
      <c r="Q83" s="26">
        <v>140</v>
      </c>
      <c r="R83" s="27">
        <v>17080</v>
      </c>
      <c r="S83" s="26">
        <v>548</v>
      </c>
      <c r="T83" s="20">
        <v>0</v>
      </c>
      <c r="U83" s="26">
        <v>6506</v>
      </c>
      <c r="V83" s="26">
        <v>0</v>
      </c>
      <c r="W83" s="20">
        <v>0</v>
      </c>
      <c r="X83" s="26">
        <v>0</v>
      </c>
      <c r="Y83" s="26">
        <v>44154</v>
      </c>
      <c r="Z83" s="26">
        <v>0</v>
      </c>
      <c r="AA83" s="26">
        <v>268</v>
      </c>
      <c r="AB83" s="26">
        <v>32898</v>
      </c>
      <c r="AC83" s="26">
        <v>0</v>
      </c>
      <c r="AD83" s="26">
        <v>0</v>
      </c>
      <c r="AE83" s="26">
        <v>6150</v>
      </c>
      <c r="AF83" s="26">
        <v>0</v>
      </c>
      <c r="AG83" s="26">
        <v>46139</v>
      </c>
      <c r="AH83" s="26">
        <v>17211</v>
      </c>
      <c r="AI83" s="26">
        <v>0</v>
      </c>
      <c r="AJ83" s="26">
        <v>118635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15728</v>
      </c>
      <c r="AV83" s="26">
        <v>696</v>
      </c>
      <c r="AW83" s="26">
        <v>0</v>
      </c>
      <c r="AX83" s="26">
        <v>0</v>
      </c>
      <c r="AY83" s="26">
        <v>2438</v>
      </c>
      <c r="AZ83" s="26">
        <v>0</v>
      </c>
      <c r="BA83" s="26">
        <v>86</v>
      </c>
      <c r="BB83" s="26">
        <v>512</v>
      </c>
      <c r="BC83" s="26">
        <v>0</v>
      </c>
      <c r="BD83" s="26">
        <v>-882</v>
      </c>
      <c r="BE83" s="26">
        <v>3990</v>
      </c>
      <c r="BF83" s="26">
        <v>400</v>
      </c>
      <c r="BG83" s="26">
        <v>76496</v>
      </c>
      <c r="BH83" s="27">
        <v>0</v>
      </c>
      <c r="BI83" s="26">
        <v>0</v>
      </c>
      <c r="BJ83" s="26">
        <v>33825</v>
      </c>
      <c r="BK83" s="26">
        <v>20532</v>
      </c>
      <c r="BL83" s="26">
        <v>759</v>
      </c>
      <c r="BM83" s="26">
        <v>0</v>
      </c>
      <c r="BN83" s="26">
        <v>59495</v>
      </c>
      <c r="BO83" s="26">
        <v>0</v>
      </c>
      <c r="BP83" s="26">
        <v>0</v>
      </c>
      <c r="BQ83" s="26">
        <v>0</v>
      </c>
      <c r="BR83" s="26">
        <v>15360</v>
      </c>
      <c r="BS83" s="26">
        <v>0</v>
      </c>
      <c r="BT83" s="26">
        <v>0</v>
      </c>
      <c r="BU83" s="26">
        <v>0</v>
      </c>
      <c r="BV83" s="26">
        <v>27512</v>
      </c>
      <c r="BW83" s="26">
        <v>0</v>
      </c>
      <c r="BX83" s="26">
        <v>14115</v>
      </c>
      <c r="BY83" s="26">
        <v>5011</v>
      </c>
      <c r="BZ83" s="26">
        <v>0</v>
      </c>
      <c r="CA83" s="26">
        <v>13211</v>
      </c>
      <c r="CB83" s="26">
        <v>19</v>
      </c>
      <c r="CC83" s="26">
        <v>20460</v>
      </c>
      <c r="CD83" s="31">
        <v>1390151</v>
      </c>
      <c r="CE83" s="28">
        <v>2109307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2336085.81</v>
      </c>
      <c r="CE84" s="28">
        <v>2336085.81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3557506</v>
      </c>
      <c r="F85" s="28">
        <v>0</v>
      </c>
      <c r="G85" s="28">
        <v>0</v>
      </c>
      <c r="H85" s="28">
        <v>0</v>
      </c>
      <c r="I85" s="28">
        <v>0</v>
      </c>
      <c r="J85" s="28">
        <v>3836</v>
      </c>
      <c r="K85" s="28">
        <v>2988855</v>
      </c>
      <c r="L85" s="28">
        <v>365443</v>
      </c>
      <c r="M85" s="28">
        <v>0</v>
      </c>
      <c r="N85" s="28">
        <v>0</v>
      </c>
      <c r="O85" s="28">
        <v>633807</v>
      </c>
      <c r="P85" s="28">
        <v>1282781</v>
      </c>
      <c r="Q85" s="28">
        <v>11716</v>
      </c>
      <c r="R85" s="28">
        <v>917225</v>
      </c>
      <c r="S85" s="28">
        <v>171304</v>
      </c>
      <c r="T85" s="28">
        <v>0</v>
      </c>
      <c r="U85" s="28">
        <v>2197329</v>
      </c>
      <c r="V85" s="28">
        <v>1534</v>
      </c>
      <c r="W85" s="28">
        <v>0</v>
      </c>
      <c r="X85" s="28">
        <v>0</v>
      </c>
      <c r="Y85" s="28">
        <v>2276582</v>
      </c>
      <c r="Z85" s="28">
        <v>0</v>
      </c>
      <c r="AA85" s="28">
        <v>94160</v>
      </c>
      <c r="AB85" s="28">
        <v>1462227</v>
      </c>
      <c r="AC85" s="28">
        <v>199202</v>
      </c>
      <c r="AD85" s="28">
        <v>0</v>
      </c>
      <c r="AE85" s="28">
        <v>964920</v>
      </c>
      <c r="AF85" s="28">
        <v>0</v>
      </c>
      <c r="AG85" s="28">
        <v>2023011</v>
      </c>
      <c r="AH85" s="28">
        <v>657847</v>
      </c>
      <c r="AI85" s="28">
        <v>123281</v>
      </c>
      <c r="AJ85" s="28">
        <v>5265922.9600000009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1474282</v>
      </c>
      <c r="AV85" s="28">
        <v>269090</v>
      </c>
      <c r="AW85" s="28">
        <v>0</v>
      </c>
      <c r="AX85" s="28">
        <v>0</v>
      </c>
      <c r="AY85" s="28">
        <v>1031076</v>
      </c>
      <c r="AZ85" s="28">
        <v>4783</v>
      </c>
      <c r="BA85" s="28">
        <v>118779</v>
      </c>
      <c r="BB85" s="28">
        <v>241813</v>
      </c>
      <c r="BC85" s="28">
        <v>0</v>
      </c>
      <c r="BD85" s="28">
        <v>199323</v>
      </c>
      <c r="BE85" s="28">
        <v>1342900</v>
      </c>
      <c r="BF85" s="28">
        <v>864170</v>
      </c>
      <c r="BG85" s="28">
        <v>557094</v>
      </c>
      <c r="BH85" s="28">
        <v>453933</v>
      </c>
      <c r="BI85" s="28">
        <v>0</v>
      </c>
      <c r="BJ85" s="28">
        <v>508568</v>
      </c>
      <c r="BK85" s="28">
        <v>1316583</v>
      </c>
      <c r="BL85" s="28">
        <v>440490</v>
      </c>
      <c r="BM85" s="28">
        <v>0</v>
      </c>
      <c r="BN85" s="28">
        <v>1428574</v>
      </c>
      <c r="BO85" s="28">
        <v>0</v>
      </c>
      <c r="BP85" s="28">
        <v>0</v>
      </c>
      <c r="BQ85" s="28">
        <v>0</v>
      </c>
      <c r="BR85" s="28">
        <v>315818</v>
      </c>
      <c r="BS85" s="28">
        <v>0</v>
      </c>
      <c r="BT85" s="28">
        <v>0</v>
      </c>
      <c r="BU85" s="28">
        <v>0</v>
      </c>
      <c r="BV85" s="28">
        <v>408101</v>
      </c>
      <c r="BW85" s="28">
        <v>0</v>
      </c>
      <c r="BX85" s="28">
        <v>575619</v>
      </c>
      <c r="BY85" s="28">
        <v>282626</v>
      </c>
      <c r="BZ85" s="28">
        <v>0</v>
      </c>
      <c r="CA85" s="28">
        <v>88941</v>
      </c>
      <c r="CB85" s="28">
        <v>39929</v>
      </c>
      <c r="CC85" s="28">
        <v>742271</v>
      </c>
      <c r="CD85" s="28">
        <v>-945934.81</v>
      </c>
      <c r="CE85" s="28">
        <v>36957317.149999999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868177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3023136</v>
      </c>
      <c r="F87" s="20">
        <v>0</v>
      </c>
      <c r="G87" s="20">
        <v>0</v>
      </c>
      <c r="H87" s="20">
        <v>0</v>
      </c>
      <c r="I87" s="20">
        <v>0</v>
      </c>
      <c r="J87" s="20">
        <v>76347</v>
      </c>
      <c r="K87" s="20">
        <v>2166425</v>
      </c>
      <c r="L87" s="20">
        <v>1918362</v>
      </c>
      <c r="M87" s="20">
        <v>0</v>
      </c>
      <c r="N87" s="20">
        <v>0</v>
      </c>
      <c r="O87" s="20">
        <v>182508</v>
      </c>
      <c r="P87" s="20">
        <v>125379</v>
      </c>
      <c r="Q87" s="20">
        <v>5114</v>
      </c>
      <c r="R87" s="20">
        <v>105434</v>
      </c>
      <c r="S87" s="20">
        <v>85572</v>
      </c>
      <c r="T87" s="20">
        <v>0</v>
      </c>
      <c r="U87" s="20">
        <v>727920</v>
      </c>
      <c r="V87" s="20">
        <v>0</v>
      </c>
      <c r="W87" s="20">
        <v>64066</v>
      </c>
      <c r="X87" s="20">
        <v>391039</v>
      </c>
      <c r="Y87" s="20">
        <v>200427</v>
      </c>
      <c r="Z87" s="20">
        <v>0</v>
      </c>
      <c r="AA87" s="20">
        <v>0</v>
      </c>
      <c r="AB87" s="20">
        <v>809886</v>
      </c>
      <c r="AC87" s="20">
        <v>160052</v>
      </c>
      <c r="AD87" s="20">
        <v>0</v>
      </c>
      <c r="AE87" s="20">
        <v>240503</v>
      </c>
      <c r="AF87" s="20">
        <v>0</v>
      </c>
      <c r="AG87" s="20">
        <v>0</v>
      </c>
      <c r="AH87" s="20">
        <v>100637</v>
      </c>
      <c r="AI87" s="20">
        <v>99262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54417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10536486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526121</v>
      </c>
      <c r="F88" s="20">
        <v>0</v>
      </c>
      <c r="G88" s="20">
        <v>0</v>
      </c>
      <c r="H88" s="20">
        <v>0</v>
      </c>
      <c r="I88" s="20">
        <v>0</v>
      </c>
      <c r="J88" s="20">
        <v>551</v>
      </c>
      <c r="K88" s="20">
        <v>0</v>
      </c>
      <c r="L88" s="20">
        <v>203313</v>
      </c>
      <c r="M88" s="20">
        <v>0</v>
      </c>
      <c r="N88" s="20">
        <v>0</v>
      </c>
      <c r="O88" s="20">
        <v>30570</v>
      </c>
      <c r="P88" s="20">
        <v>1719222</v>
      </c>
      <c r="Q88" s="20">
        <v>162189</v>
      </c>
      <c r="R88" s="20">
        <v>1276871</v>
      </c>
      <c r="S88" s="20">
        <v>324544</v>
      </c>
      <c r="T88" s="20">
        <v>0</v>
      </c>
      <c r="U88" s="20">
        <v>8509256</v>
      </c>
      <c r="V88" s="20">
        <v>0</v>
      </c>
      <c r="W88" s="20">
        <v>1367782</v>
      </c>
      <c r="X88" s="20">
        <v>5369369</v>
      </c>
      <c r="Y88" s="20">
        <v>5637123</v>
      </c>
      <c r="Z88" s="20">
        <v>0</v>
      </c>
      <c r="AA88" s="20">
        <v>336569</v>
      </c>
      <c r="AB88" s="20">
        <v>3332188</v>
      </c>
      <c r="AC88" s="20">
        <v>198907</v>
      </c>
      <c r="AD88" s="20">
        <v>0</v>
      </c>
      <c r="AE88" s="20">
        <v>3359422</v>
      </c>
      <c r="AF88" s="20">
        <v>0</v>
      </c>
      <c r="AG88" s="20">
        <v>10964525</v>
      </c>
      <c r="AH88" s="20">
        <v>753263</v>
      </c>
      <c r="AI88" s="20">
        <v>990855</v>
      </c>
      <c r="AJ88" s="20">
        <v>6095146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898825</v>
      </c>
      <c r="AV88" s="20">
        <v>2479415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54536026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3549257</v>
      </c>
      <c r="F89" s="28">
        <v>0</v>
      </c>
      <c r="G89" s="28">
        <v>0</v>
      </c>
      <c r="H89" s="28">
        <v>0</v>
      </c>
      <c r="I89" s="28">
        <v>0</v>
      </c>
      <c r="J89" s="28">
        <v>76898</v>
      </c>
      <c r="K89" s="28">
        <v>2166425</v>
      </c>
      <c r="L89" s="28">
        <v>2121675</v>
      </c>
      <c r="M89" s="28">
        <v>0</v>
      </c>
      <c r="N89" s="28">
        <v>0</v>
      </c>
      <c r="O89" s="28">
        <v>213078</v>
      </c>
      <c r="P89" s="28">
        <v>1844601</v>
      </c>
      <c r="Q89" s="28">
        <v>167303</v>
      </c>
      <c r="R89" s="28">
        <v>1382305</v>
      </c>
      <c r="S89" s="28">
        <v>410116</v>
      </c>
      <c r="T89" s="28">
        <v>0</v>
      </c>
      <c r="U89" s="28">
        <v>9237176</v>
      </c>
      <c r="V89" s="28">
        <v>0</v>
      </c>
      <c r="W89" s="28">
        <v>1431848</v>
      </c>
      <c r="X89" s="28">
        <v>5760408</v>
      </c>
      <c r="Y89" s="28">
        <v>5837550</v>
      </c>
      <c r="Z89" s="28">
        <v>0</v>
      </c>
      <c r="AA89" s="28">
        <v>336569</v>
      </c>
      <c r="AB89" s="28">
        <v>4142074</v>
      </c>
      <c r="AC89" s="28">
        <v>358959</v>
      </c>
      <c r="AD89" s="28">
        <v>0</v>
      </c>
      <c r="AE89" s="28">
        <v>3599925</v>
      </c>
      <c r="AF89" s="28">
        <v>0</v>
      </c>
      <c r="AG89" s="28">
        <v>10964525</v>
      </c>
      <c r="AH89" s="28">
        <v>853900</v>
      </c>
      <c r="AI89" s="28">
        <v>1090117</v>
      </c>
      <c r="AJ89" s="28">
        <v>6095146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898825</v>
      </c>
      <c r="AV89" s="28">
        <v>2533832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65072512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2649</v>
      </c>
      <c r="F90" s="20">
        <v>0</v>
      </c>
      <c r="G90" s="20">
        <v>0</v>
      </c>
      <c r="H90" s="20">
        <v>0</v>
      </c>
      <c r="I90" s="20">
        <v>0</v>
      </c>
      <c r="J90" s="20">
        <v>167</v>
      </c>
      <c r="K90" s="20">
        <v>2417</v>
      </c>
      <c r="L90" s="20">
        <v>1736</v>
      </c>
      <c r="M90" s="20">
        <v>0</v>
      </c>
      <c r="N90" s="20">
        <v>0</v>
      </c>
      <c r="O90" s="20">
        <v>526</v>
      </c>
      <c r="P90" s="20">
        <v>6021</v>
      </c>
      <c r="Q90" s="20">
        <v>0</v>
      </c>
      <c r="R90" s="20">
        <v>0</v>
      </c>
      <c r="S90" s="20">
        <v>1510</v>
      </c>
      <c r="T90" s="20">
        <v>0</v>
      </c>
      <c r="U90" s="20">
        <v>1260</v>
      </c>
      <c r="V90" s="20">
        <v>236</v>
      </c>
      <c r="W90" s="20">
        <v>0</v>
      </c>
      <c r="X90" s="20">
        <v>0</v>
      </c>
      <c r="Y90" s="20">
        <v>2491</v>
      </c>
      <c r="Z90" s="20">
        <v>0</v>
      </c>
      <c r="AA90" s="20">
        <v>0</v>
      </c>
      <c r="AB90" s="20">
        <v>394</v>
      </c>
      <c r="AC90" s="20">
        <v>752</v>
      </c>
      <c r="AD90" s="20">
        <v>0</v>
      </c>
      <c r="AE90" s="20">
        <v>2996</v>
      </c>
      <c r="AF90" s="20">
        <v>0</v>
      </c>
      <c r="AG90" s="20">
        <v>1577</v>
      </c>
      <c r="AH90" s="20">
        <v>1650</v>
      </c>
      <c r="AI90" s="20">
        <v>0</v>
      </c>
      <c r="AJ90" s="20">
        <v>12086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1910</v>
      </c>
      <c r="AV90" s="20">
        <v>902</v>
      </c>
      <c r="AW90" s="20">
        <v>0</v>
      </c>
      <c r="AX90" s="20">
        <v>0</v>
      </c>
      <c r="AY90" s="20">
        <v>1054</v>
      </c>
      <c r="AZ90" s="20">
        <v>736</v>
      </c>
      <c r="BA90" s="20">
        <v>747</v>
      </c>
      <c r="BB90" s="20">
        <v>100</v>
      </c>
      <c r="BC90" s="20">
        <v>0</v>
      </c>
      <c r="BD90" s="20">
        <v>100</v>
      </c>
      <c r="BE90" s="20">
        <v>1764</v>
      </c>
      <c r="BF90" s="20">
        <v>115</v>
      </c>
      <c r="BG90" s="20">
        <v>0</v>
      </c>
      <c r="BH90" s="20">
        <v>356</v>
      </c>
      <c r="BI90" s="20">
        <v>0</v>
      </c>
      <c r="BJ90" s="20">
        <v>0</v>
      </c>
      <c r="BK90" s="20">
        <v>1844</v>
      </c>
      <c r="BL90" s="20">
        <v>148</v>
      </c>
      <c r="BM90" s="20">
        <v>0</v>
      </c>
      <c r="BN90" s="20">
        <v>6685</v>
      </c>
      <c r="BO90" s="20">
        <v>0</v>
      </c>
      <c r="BP90" s="20">
        <v>0</v>
      </c>
      <c r="BQ90" s="20">
        <v>0</v>
      </c>
      <c r="BR90" s="20">
        <v>406</v>
      </c>
      <c r="BS90" s="20">
        <v>0</v>
      </c>
      <c r="BT90" s="20">
        <v>0</v>
      </c>
      <c r="BU90" s="20">
        <v>0</v>
      </c>
      <c r="BV90" s="20">
        <v>612</v>
      </c>
      <c r="BW90" s="20">
        <v>0</v>
      </c>
      <c r="BX90" s="20">
        <v>0</v>
      </c>
      <c r="BY90" s="20">
        <v>210</v>
      </c>
      <c r="BZ90" s="20">
        <v>0</v>
      </c>
      <c r="CA90" s="20">
        <v>0</v>
      </c>
      <c r="CB90" s="20">
        <v>0</v>
      </c>
      <c r="CC90" s="20">
        <v>0</v>
      </c>
      <c r="CD90" s="234" t="s">
        <v>248</v>
      </c>
      <c r="CE90" s="28">
        <v>56157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6109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19946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26055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3720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5244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145</v>
      </c>
      <c r="T92" s="20">
        <v>0</v>
      </c>
      <c r="U92" s="20">
        <v>468</v>
      </c>
      <c r="V92" s="20">
        <v>0</v>
      </c>
      <c r="W92" s="20">
        <v>0</v>
      </c>
      <c r="X92" s="20">
        <v>187.2</v>
      </c>
      <c r="Y92" s="20">
        <v>1416</v>
      </c>
      <c r="Z92" s="20">
        <v>0</v>
      </c>
      <c r="AA92" s="20">
        <v>0</v>
      </c>
      <c r="AB92" s="20">
        <v>143</v>
      </c>
      <c r="AC92" s="20">
        <v>182</v>
      </c>
      <c r="AD92" s="20">
        <v>0</v>
      </c>
      <c r="AE92" s="20">
        <v>385.55</v>
      </c>
      <c r="AF92" s="20">
        <v>0</v>
      </c>
      <c r="AG92" s="20">
        <v>2184</v>
      </c>
      <c r="AH92" s="20">
        <v>156</v>
      </c>
      <c r="AI92" s="20">
        <v>0</v>
      </c>
      <c r="AJ92" s="20">
        <v>3874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364</v>
      </c>
      <c r="AV92" s="20">
        <v>142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2912</v>
      </c>
      <c r="BB92" s="20">
        <v>78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416</v>
      </c>
      <c r="BL92" s="20">
        <v>312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93.6</v>
      </c>
      <c r="BW92" s="20">
        <v>0</v>
      </c>
      <c r="BX92" s="20">
        <v>0</v>
      </c>
      <c r="BY92" s="20">
        <v>208</v>
      </c>
      <c r="BZ92" s="20">
        <v>0</v>
      </c>
      <c r="CA92" s="20">
        <v>0</v>
      </c>
      <c r="CB92" s="20">
        <v>70.2</v>
      </c>
      <c r="CC92" s="25" t="s">
        <v>248</v>
      </c>
      <c r="CD92" s="25" t="s">
        <v>248</v>
      </c>
      <c r="CE92" s="28">
        <v>22700.55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13993</v>
      </c>
      <c r="F93" s="20">
        <v>0</v>
      </c>
      <c r="G93" s="20">
        <v>0</v>
      </c>
      <c r="H93" s="20">
        <v>0</v>
      </c>
      <c r="I93" s="20">
        <v>0</v>
      </c>
      <c r="J93" s="20">
        <v>96</v>
      </c>
      <c r="K93" s="20">
        <v>81312</v>
      </c>
      <c r="L93" s="20">
        <v>15778</v>
      </c>
      <c r="M93" s="20">
        <v>0</v>
      </c>
      <c r="N93" s="20">
        <v>0</v>
      </c>
      <c r="O93" s="20">
        <v>2290</v>
      </c>
      <c r="P93" s="20">
        <v>4066</v>
      </c>
      <c r="Q93" s="20">
        <v>579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8</v>
      </c>
      <c r="X93" s="20">
        <v>907</v>
      </c>
      <c r="Y93" s="20">
        <v>737</v>
      </c>
      <c r="Z93" s="20">
        <v>0</v>
      </c>
      <c r="AA93" s="20">
        <v>0</v>
      </c>
      <c r="AB93" s="20">
        <v>0</v>
      </c>
      <c r="AC93" s="20">
        <v>194</v>
      </c>
      <c r="AD93" s="20">
        <v>0</v>
      </c>
      <c r="AE93" s="20">
        <v>6631</v>
      </c>
      <c r="AF93" s="20">
        <v>0</v>
      </c>
      <c r="AG93" s="20">
        <v>20019</v>
      </c>
      <c r="AH93" s="20">
        <v>6049</v>
      </c>
      <c r="AI93" s="20">
        <v>0</v>
      </c>
      <c r="AJ93" s="20">
        <v>800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153459</v>
      </c>
      <c r="CF93" s="28">
        <v>0</v>
      </c>
    </row>
    <row r="94" spans="1:84" x14ac:dyDescent="0.35">
      <c r="A94" s="22" t="s">
        <v>294</v>
      </c>
      <c r="B94" s="16"/>
      <c r="C94" s="245">
        <v>0</v>
      </c>
      <c r="D94" s="245">
        <v>0</v>
      </c>
      <c r="E94" s="245">
        <v>8.2100000000000009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7.09</v>
      </c>
      <c r="L94" s="245">
        <v>2</v>
      </c>
      <c r="M94" s="245">
        <v>0</v>
      </c>
      <c r="N94" s="245">
        <v>0</v>
      </c>
      <c r="O94" s="245">
        <v>0.43000000000000005</v>
      </c>
      <c r="P94" s="246">
        <v>1.3</v>
      </c>
      <c r="Q94" s="246">
        <v>7.0000000000000007E-2</v>
      </c>
      <c r="R94" s="246">
        <v>1.08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1.1200000000000001</v>
      </c>
      <c r="AH94" s="246">
        <v>0</v>
      </c>
      <c r="AI94" s="246">
        <v>0.73</v>
      </c>
      <c r="AJ94" s="246">
        <v>8.1199999999999992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0.13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30.279999999999998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11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98331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4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4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315</v>
      </c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58" t="s">
        <v>324</v>
      </c>
      <c r="D110" s="38"/>
      <c r="E110" s="39"/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43">
        <v>0</v>
      </c>
      <c r="D127" s="46">
        <v>742</v>
      </c>
      <c r="E127" s="16"/>
    </row>
    <row r="128" spans="1:5" x14ac:dyDescent="0.35">
      <c r="A128" s="16" t="s">
        <v>338</v>
      </c>
      <c r="B128" s="42" t="s">
        <v>299</v>
      </c>
      <c r="C128" s="43">
        <v>0</v>
      </c>
      <c r="D128" s="46">
        <v>7815</v>
      </c>
      <c r="E128" s="16"/>
    </row>
    <row r="129" spans="1:5" x14ac:dyDescent="0.3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340</v>
      </c>
      <c r="B130" s="42" t="s">
        <v>299</v>
      </c>
      <c r="C130" s="43">
        <v>39</v>
      </c>
      <c r="D130" s="46">
        <v>78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343</v>
      </c>
      <c r="B133" s="42" t="s">
        <v>299</v>
      </c>
      <c r="C133" s="43">
        <v>17</v>
      </c>
      <c r="D133" s="16"/>
      <c r="E133" s="16"/>
    </row>
    <row r="134" spans="1:5" x14ac:dyDescent="0.35">
      <c r="A134" s="16" t="s">
        <v>344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346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43">
        <v>20</v>
      </c>
      <c r="D139" s="16"/>
      <c r="E139" s="16"/>
    </row>
    <row r="140" spans="1:5" x14ac:dyDescent="0.35">
      <c r="A140" s="16" t="s">
        <v>349</v>
      </c>
      <c r="B140" s="42"/>
      <c r="C140" s="43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v>37</v>
      </c>
    </row>
    <row r="144" spans="1:5" x14ac:dyDescent="0.35">
      <c r="A144" s="16" t="s">
        <v>352</v>
      </c>
      <c r="B144" s="42" t="s">
        <v>299</v>
      </c>
      <c r="C144" s="43">
        <v>37</v>
      </c>
      <c r="D144" s="16"/>
      <c r="E144" s="16"/>
    </row>
    <row r="145" spans="1:6" x14ac:dyDescent="0.35">
      <c r="A145" s="16" t="s">
        <v>353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0</v>
      </c>
      <c r="C154" s="46">
        <v>0</v>
      </c>
      <c r="D154" s="46">
        <v>0</v>
      </c>
      <c r="E154" s="28">
        <v>0</v>
      </c>
    </row>
    <row r="155" spans="1:6" x14ac:dyDescent="0.35">
      <c r="A155" s="16" t="s">
        <v>242</v>
      </c>
      <c r="B155" s="46">
        <v>475</v>
      </c>
      <c r="C155" s="46">
        <v>89</v>
      </c>
      <c r="D155" s="46">
        <v>178</v>
      </c>
      <c r="E155" s="28">
        <v>742</v>
      </c>
    </row>
    <row r="156" spans="1:6" x14ac:dyDescent="0.35">
      <c r="A156" s="16" t="s">
        <v>359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2679176.5299999998</v>
      </c>
      <c r="C157" s="46">
        <v>1373258.23</v>
      </c>
      <c r="D157" s="46">
        <v>1624720.02</v>
      </c>
      <c r="E157" s="28">
        <v>5677154.7799999993</v>
      </c>
      <c r="F157" s="14"/>
    </row>
    <row r="158" spans="1:6" x14ac:dyDescent="0.35">
      <c r="A158" s="16" t="s">
        <v>288</v>
      </c>
      <c r="B158" s="46">
        <v>18715484.25</v>
      </c>
      <c r="C158" s="46">
        <v>13897559.359999999</v>
      </c>
      <c r="D158" s="46">
        <v>21922981.899999999</v>
      </c>
      <c r="E158" s="28">
        <v>54536025.509999998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1124</v>
      </c>
      <c r="C161" s="46">
        <v>4585</v>
      </c>
      <c r="D161" s="46">
        <v>2106</v>
      </c>
      <c r="E161" s="28">
        <v>7815</v>
      </c>
    </row>
    <row r="162" spans="1:5" x14ac:dyDescent="0.35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2150630.04</v>
      </c>
      <c r="C163" s="46">
        <v>1867330.68</v>
      </c>
      <c r="D163" s="46">
        <v>841369.79</v>
      </c>
      <c r="E163" s="28">
        <v>4859330.51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43">
        <v>271094.98</v>
      </c>
      <c r="D181" s="16"/>
      <c r="E181" s="16"/>
    </row>
    <row r="182" spans="1:5" x14ac:dyDescent="0.35">
      <c r="A182" s="16" t="s">
        <v>369</v>
      </c>
      <c r="B182" s="42" t="s">
        <v>299</v>
      </c>
      <c r="C182" s="43">
        <v>32315</v>
      </c>
      <c r="D182" s="16"/>
      <c r="E182" s="16"/>
    </row>
    <row r="183" spans="1:5" x14ac:dyDescent="0.35">
      <c r="A183" s="21" t="s">
        <v>370</v>
      </c>
      <c r="B183" s="42" t="s">
        <v>299</v>
      </c>
      <c r="C183" s="43">
        <v>196529.13</v>
      </c>
      <c r="D183" s="16"/>
      <c r="E183" s="16"/>
    </row>
    <row r="184" spans="1:5" x14ac:dyDescent="0.35">
      <c r="A184" s="16" t="s">
        <v>371</v>
      </c>
      <c r="B184" s="42" t="s">
        <v>299</v>
      </c>
      <c r="C184" s="43">
        <v>3370173</v>
      </c>
      <c r="D184" s="16"/>
      <c r="E184" s="16"/>
    </row>
    <row r="185" spans="1:5" x14ac:dyDescent="0.35">
      <c r="A185" s="16" t="s">
        <v>372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373</v>
      </c>
      <c r="B186" s="42" t="s">
        <v>299</v>
      </c>
      <c r="C186" s="43">
        <v>1615240</v>
      </c>
      <c r="D186" s="16"/>
      <c r="E186" s="16"/>
    </row>
    <row r="187" spans="1:5" x14ac:dyDescent="0.35">
      <c r="A187" s="16" t="s">
        <v>374</v>
      </c>
      <c r="B187" s="42" t="s">
        <v>299</v>
      </c>
      <c r="C187" s="43">
        <v>57271</v>
      </c>
      <c r="D187" s="16"/>
      <c r="E187" s="16"/>
    </row>
    <row r="188" spans="1:5" x14ac:dyDescent="0.35">
      <c r="A188" s="16" t="s">
        <v>374</v>
      </c>
      <c r="B188" s="42" t="s">
        <v>299</v>
      </c>
      <c r="C188" s="43">
        <v>318118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5860741.1099999994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43">
        <v>85214</v>
      </c>
      <c r="D191" s="16"/>
      <c r="E191" s="16"/>
    </row>
    <row r="192" spans="1:5" x14ac:dyDescent="0.35">
      <c r="A192" s="16" t="s">
        <v>377</v>
      </c>
      <c r="B192" s="42" t="s">
        <v>299</v>
      </c>
      <c r="C192" s="43">
        <v>113683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198897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43">
        <v>228583</v>
      </c>
      <c r="D195" s="16"/>
      <c r="E195" s="16"/>
    </row>
    <row r="196" spans="1:5" x14ac:dyDescent="0.35">
      <c r="A196" s="16" t="s">
        <v>380</v>
      </c>
      <c r="B196" s="42" t="s">
        <v>299</v>
      </c>
      <c r="C196" s="43">
        <v>264101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492684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43">
        <v>91913</v>
      </c>
      <c r="D199" s="16"/>
      <c r="E199" s="16"/>
    </row>
    <row r="200" spans="1:5" x14ac:dyDescent="0.35">
      <c r="A200" s="16" t="s">
        <v>383</v>
      </c>
      <c r="B200" s="42" t="s">
        <v>299</v>
      </c>
      <c r="C200" s="43">
        <v>310147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402060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43">
        <v>39254</v>
      </c>
      <c r="D204" s="16"/>
      <c r="E204" s="16"/>
    </row>
    <row r="205" spans="1:5" x14ac:dyDescent="0.35">
      <c r="A205" s="16" t="s">
        <v>386</v>
      </c>
      <c r="B205" s="42" t="s">
        <v>299</v>
      </c>
      <c r="C205" s="43">
        <v>456153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495407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46">
        <v>510757.18</v>
      </c>
      <c r="C211" s="43">
        <v>0</v>
      </c>
      <c r="D211" s="46">
        <v>0</v>
      </c>
      <c r="E211" s="28">
        <v>510757.18</v>
      </c>
    </row>
    <row r="212" spans="1:5" x14ac:dyDescent="0.35">
      <c r="A212" s="16" t="s">
        <v>394</v>
      </c>
      <c r="B212" s="46">
        <v>935265.77</v>
      </c>
      <c r="C212" s="43">
        <v>16507.2</v>
      </c>
      <c r="D212" s="46">
        <v>0</v>
      </c>
      <c r="E212" s="28">
        <v>951772.97</v>
      </c>
    </row>
    <row r="213" spans="1:5" x14ac:dyDescent="0.35">
      <c r="A213" s="16" t="s">
        <v>395</v>
      </c>
      <c r="B213" s="46">
        <v>20302409.509999998</v>
      </c>
      <c r="C213" s="43">
        <v>238207</v>
      </c>
      <c r="D213" s="46">
        <v>0</v>
      </c>
      <c r="E213" s="28">
        <v>20540616.509999998</v>
      </c>
    </row>
    <row r="214" spans="1:5" x14ac:dyDescent="0.35">
      <c r="A214" s="16" t="s">
        <v>396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397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398</v>
      </c>
      <c r="B216" s="46">
        <v>17456880.190000001</v>
      </c>
      <c r="C216" s="43">
        <v>597420.63</v>
      </c>
      <c r="D216" s="46">
        <v>334234.56</v>
      </c>
      <c r="E216" s="28">
        <v>17720066.260000002</v>
      </c>
    </row>
    <row r="217" spans="1:5" x14ac:dyDescent="0.35">
      <c r="A217" s="16" t="s">
        <v>399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400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401</v>
      </c>
      <c r="B219" s="46">
        <v>1005980.39</v>
      </c>
      <c r="C219" s="43">
        <v>8516318</v>
      </c>
      <c r="D219" s="46">
        <v>2783220</v>
      </c>
      <c r="E219" s="28">
        <v>6739078.3900000006</v>
      </c>
    </row>
    <row r="220" spans="1:5" x14ac:dyDescent="0.35">
      <c r="A220" s="16" t="s">
        <v>230</v>
      </c>
      <c r="B220" s="28">
        <v>40211293.039999999</v>
      </c>
      <c r="C220" s="235">
        <v>9368452.8300000001</v>
      </c>
      <c r="D220" s="28">
        <v>3117454.56</v>
      </c>
      <c r="E220" s="28">
        <v>46462291.310000002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46">
        <v>867597.73</v>
      </c>
      <c r="C225" s="43">
        <v>27579.119999999999</v>
      </c>
      <c r="D225" s="46">
        <v>0</v>
      </c>
      <c r="E225" s="28">
        <v>895176.85</v>
      </c>
    </row>
    <row r="226" spans="1:6" x14ac:dyDescent="0.35">
      <c r="A226" s="16" t="s">
        <v>395</v>
      </c>
      <c r="B226" s="46">
        <v>12760308.82</v>
      </c>
      <c r="C226" s="43">
        <v>671232.2300000001</v>
      </c>
      <c r="D226" s="46">
        <v>333861.82</v>
      </c>
      <c r="E226" s="28">
        <v>13097679.23</v>
      </c>
    </row>
    <row r="227" spans="1:6" x14ac:dyDescent="0.35">
      <c r="A227" s="16" t="s">
        <v>396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397</v>
      </c>
      <c r="B228" s="46">
        <v>0</v>
      </c>
      <c r="C228" s="43">
        <v>0</v>
      </c>
      <c r="D228" s="46">
        <v>0</v>
      </c>
      <c r="E228" s="28">
        <v>0</v>
      </c>
    </row>
    <row r="229" spans="1:6" x14ac:dyDescent="0.35">
      <c r="A229" s="16" t="s">
        <v>398</v>
      </c>
      <c r="B229" s="46">
        <v>14843572.949999999</v>
      </c>
      <c r="C229" s="43">
        <v>803897.25</v>
      </c>
      <c r="D229" s="46">
        <v>0</v>
      </c>
      <c r="E229" s="28">
        <v>15647470.199999999</v>
      </c>
    </row>
    <row r="230" spans="1:6" x14ac:dyDescent="0.35">
      <c r="A230" s="16" t="s">
        <v>399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400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401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28471479.5</v>
      </c>
      <c r="C233" s="235">
        <v>1502708.6</v>
      </c>
      <c r="D233" s="28">
        <v>333861.82</v>
      </c>
      <c r="E233" s="28">
        <v>29640326.280000001</v>
      </c>
    </row>
    <row r="234" spans="1:6" x14ac:dyDescent="0.35">
      <c r="A234" s="16"/>
      <c r="B234" s="16"/>
      <c r="C234" s="23"/>
      <c r="D234" s="16"/>
      <c r="E234" s="16"/>
      <c r="F234" s="11">
        <v>16821965.030000001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50" t="s">
        <v>404</v>
      </c>
      <c r="C236" s="350"/>
      <c r="D236" s="34"/>
      <c r="E236" s="34"/>
    </row>
    <row r="237" spans="1:6" x14ac:dyDescent="0.35">
      <c r="A237" s="52" t="s">
        <v>404</v>
      </c>
      <c r="B237" s="34"/>
      <c r="C237" s="43">
        <v>1622783</v>
      </c>
      <c r="D237" s="36">
        <v>1622783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43">
        <v>12196365</v>
      </c>
      <c r="D239" s="16"/>
      <c r="E239" s="16"/>
    </row>
    <row r="240" spans="1:6" x14ac:dyDescent="0.35">
      <c r="A240" s="16" t="s">
        <v>407</v>
      </c>
      <c r="B240" s="42" t="s">
        <v>299</v>
      </c>
      <c r="C240" s="43">
        <v>10097572</v>
      </c>
      <c r="D240" s="16"/>
      <c r="E240" s="16"/>
    </row>
    <row r="241" spans="1:5" x14ac:dyDescent="0.35">
      <c r="A241" s="16" t="s">
        <v>408</v>
      </c>
      <c r="B241" s="42" t="s">
        <v>299</v>
      </c>
      <c r="C241" s="43">
        <v>670061</v>
      </c>
      <c r="D241" s="16"/>
      <c r="E241" s="16"/>
    </row>
    <row r="242" spans="1:5" x14ac:dyDescent="0.35">
      <c r="A242" s="16" t="s">
        <v>409</v>
      </c>
      <c r="B242" s="42" t="s">
        <v>299</v>
      </c>
      <c r="C242" s="43">
        <v>194027</v>
      </c>
      <c r="D242" s="16"/>
      <c r="E242" s="16"/>
    </row>
    <row r="243" spans="1:5" x14ac:dyDescent="0.35">
      <c r="A243" s="16" t="s">
        <v>410</v>
      </c>
      <c r="B243" s="42" t="s">
        <v>299</v>
      </c>
      <c r="C243" s="43">
        <v>5694832</v>
      </c>
      <c r="D243" s="16"/>
      <c r="E243" s="16"/>
    </row>
    <row r="244" spans="1:5" x14ac:dyDescent="0.35">
      <c r="A244" s="16" t="s">
        <v>411</v>
      </c>
      <c r="B244" s="42" t="s">
        <v>299</v>
      </c>
      <c r="C244" s="43">
        <v>-111268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v>28741589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43">
        <v>0</v>
      </c>
      <c r="D249" s="16"/>
      <c r="E249" s="16"/>
    </row>
    <row r="250" spans="1:5" x14ac:dyDescent="0.35">
      <c r="A250" s="22" t="s">
        <v>416</v>
      </c>
      <c r="B250" s="42" t="s">
        <v>299</v>
      </c>
      <c r="C250" s="43">
        <v>503989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v>503989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43">
        <v>80037</v>
      </c>
      <c r="D254" s="16"/>
      <c r="E254" s="16"/>
    </row>
    <row r="255" spans="1:5" x14ac:dyDescent="0.35">
      <c r="A255" s="16" t="s">
        <v>418</v>
      </c>
      <c r="B255" s="42" t="s">
        <v>299</v>
      </c>
      <c r="C255" s="43">
        <v>447768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v>527805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v>31396166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43">
        <v>10559101.439999999</v>
      </c>
      <c r="D266" s="16"/>
      <c r="E266" s="16"/>
    </row>
    <row r="267" spans="1:5" x14ac:dyDescent="0.3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43">
        <v>17765323.710000001</v>
      </c>
      <c r="D268" s="16"/>
      <c r="E268" s="16"/>
    </row>
    <row r="269" spans="1:5" x14ac:dyDescent="0.35">
      <c r="A269" s="16" t="s">
        <v>427</v>
      </c>
      <c r="B269" s="42" t="s">
        <v>299</v>
      </c>
      <c r="C269" s="43">
        <v>9851885.8900000006</v>
      </c>
      <c r="D269" s="16"/>
      <c r="E269" s="16"/>
    </row>
    <row r="270" spans="1:5" x14ac:dyDescent="0.35">
      <c r="A270" s="16" t="s">
        <v>428</v>
      </c>
      <c r="B270" s="42" t="s">
        <v>299</v>
      </c>
      <c r="C270" s="43">
        <v>3587</v>
      </c>
      <c r="D270" s="16"/>
      <c r="E270" s="16"/>
    </row>
    <row r="271" spans="1:5" x14ac:dyDescent="0.35">
      <c r="A271" s="16" t="s">
        <v>429</v>
      </c>
      <c r="B271" s="42" t="s">
        <v>299</v>
      </c>
      <c r="C271" s="43">
        <v>0</v>
      </c>
      <c r="D271" s="16"/>
      <c r="E271" s="16"/>
    </row>
    <row r="272" spans="1:5" x14ac:dyDescent="0.3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431</v>
      </c>
      <c r="B273" s="42" t="s">
        <v>299</v>
      </c>
      <c r="C273" s="43">
        <v>807994</v>
      </c>
      <c r="D273" s="16"/>
      <c r="E273" s="16"/>
    </row>
    <row r="274" spans="1:5" x14ac:dyDescent="0.35">
      <c r="A274" s="16" t="s">
        <v>432</v>
      </c>
      <c r="B274" s="42" t="s">
        <v>299</v>
      </c>
      <c r="C274" s="43">
        <v>232385</v>
      </c>
      <c r="D274" s="16"/>
      <c r="E274" s="16"/>
    </row>
    <row r="275" spans="1:5" x14ac:dyDescent="0.3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v>19516505.259999998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43">
        <v>2405970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v>2405970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43">
        <v>510757</v>
      </c>
      <c r="D283" s="16"/>
      <c r="E283" s="16"/>
    </row>
    <row r="284" spans="1:5" x14ac:dyDescent="0.35">
      <c r="A284" s="16" t="s">
        <v>394</v>
      </c>
      <c r="B284" s="42" t="s">
        <v>299</v>
      </c>
      <c r="C284" s="43">
        <v>951773</v>
      </c>
      <c r="D284" s="16"/>
      <c r="E284" s="16"/>
    </row>
    <row r="285" spans="1:5" x14ac:dyDescent="0.35">
      <c r="A285" s="16" t="s">
        <v>395</v>
      </c>
      <c r="B285" s="42" t="s">
        <v>299</v>
      </c>
      <c r="C285" s="43">
        <v>24966811.789999999</v>
      </c>
      <c r="D285" s="16"/>
      <c r="E285" s="16"/>
    </row>
    <row r="286" spans="1:5" x14ac:dyDescent="0.35">
      <c r="A286" s="16" t="s">
        <v>439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441</v>
      </c>
      <c r="B288" s="42" t="s">
        <v>299</v>
      </c>
      <c r="C288" s="43">
        <v>17720066.260000002</v>
      </c>
      <c r="D288" s="16"/>
      <c r="E288" s="16"/>
    </row>
    <row r="289" spans="1:5" x14ac:dyDescent="0.35">
      <c r="A289" s="16" t="s">
        <v>400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401</v>
      </c>
      <c r="B290" s="42" t="s">
        <v>299</v>
      </c>
      <c r="C290" s="43">
        <v>1390056.85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v>45539464.899999999</v>
      </c>
      <c r="E291" s="16"/>
    </row>
    <row r="292" spans="1:5" x14ac:dyDescent="0.35">
      <c r="A292" s="16" t="s">
        <v>443</v>
      </c>
      <c r="B292" s="42" t="s">
        <v>299</v>
      </c>
      <c r="C292" s="43">
        <v>29640326.27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v>15899138.629999999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43">
        <v>103360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v>103360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v>37924973.890000001</v>
      </c>
      <c r="E308" s="16"/>
    </row>
    <row r="309" spans="1:6" x14ac:dyDescent="0.35">
      <c r="A309" s="16"/>
      <c r="B309" s="16"/>
      <c r="C309" s="23"/>
      <c r="D309" s="16"/>
      <c r="E309" s="16"/>
      <c r="F309" s="11">
        <v>37924973.890000001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43">
        <v>1258319.83</v>
      </c>
      <c r="D314" s="16"/>
      <c r="E314" s="16"/>
    </row>
    <row r="315" spans="1:6" x14ac:dyDescent="0.35">
      <c r="A315" s="16" t="s">
        <v>460</v>
      </c>
      <c r="B315" s="42" t="s">
        <v>299</v>
      </c>
      <c r="C315" s="43">
        <v>534509.41</v>
      </c>
      <c r="D315" s="16"/>
      <c r="E315" s="16"/>
    </row>
    <row r="316" spans="1:6" x14ac:dyDescent="0.35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43">
        <v>230790</v>
      </c>
      <c r="D322" s="16"/>
      <c r="E322" s="16"/>
    </row>
    <row r="323" spans="1:5" x14ac:dyDescent="0.35">
      <c r="A323" s="16" t="s">
        <v>468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v>7373306.2400000002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43">
        <v>814101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v>814101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280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484</v>
      </c>
      <c r="B340" s="16"/>
      <c r="C340" s="23"/>
      <c r="D340" s="28">
        <v>0</v>
      </c>
      <c r="E340" s="16"/>
    </row>
    <row r="341" spans="1:5" x14ac:dyDescent="0.35">
      <c r="A341" s="16" t="s">
        <v>485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257">
        <v>9620146.5299999993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v>25600611.77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v>37924973.890000001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213">
        <v>10536485.689999999</v>
      </c>
      <c r="D358" s="16"/>
      <c r="E358" s="16"/>
    </row>
    <row r="359" spans="1:5" x14ac:dyDescent="0.35">
      <c r="A359" s="16" t="s">
        <v>497</v>
      </c>
      <c r="B359" s="42" t="s">
        <v>299</v>
      </c>
      <c r="C359" s="213">
        <v>54536027.459999993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v>65072513.149999991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43">
        <v>1622783.16</v>
      </c>
      <c r="D362" s="16"/>
      <c r="E362" s="41"/>
    </row>
    <row r="363" spans="1:5" x14ac:dyDescent="0.35">
      <c r="A363" s="16" t="s">
        <v>500</v>
      </c>
      <c r="B363" s="42" t="s">
        <v>299</v>
      </c>
      <c r="C363" s="43">
        <v>28741589</v>
      </c>
      <c r="D363" s="16"/>
      <c r="E363" s="16"/>
    </row>
    <row r="364" spans="1:5" x14ac:dyDescent="0.35">
      <c r="A364" s="16" t="s">
        <v>501</v>
      </c>
      <c r="B364" s="42" t="s">
        <v>299</v>
      </c>
      <c r="C364" s="43">
        <v>503989.02</v>
      </c>
      <c r="D364" s="16"/>
      <c r="E364" s="16"/>
    </row>
    <row r="365" spans="1:5" x14ac:dyDescent="0.35">
      <c r="A365" s="16" t="s">
        <v>502</v>
      </c>
      <c r="B365" s="42" t="s">
        <v>299</v>
      </c>
      <c r="C365" s="43">
        <v>527805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v>31396166.18</v>
      </c>
      <c r="E366" s="16"/>
    </row>
    <row r="367" spans="1:5" x14ac:dyDescent="0.35">
      <c r="A367" s="16" t="s">
        <v>503</v>
      </c>
      <c r="B367" s="16"/>
      <c r="C367" s="23"/>
      <c r="D367" s="28">
        <v>33676346.969999991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214">
        <v>2336085.81</v>
      </c>
      <c r="D380" s="28">
        <v>0</v>
      </c>
      <c r="E380" s="215" t="s">
        <v>1058</v>
      </c>
      <c r="F380" s="56"/>
    </row>
    <row r="381" spans="1:6" x14ac:dyDescent="0.35">
      <c r="A381" s="57" t="s">
        <v>517</v>
      </c>
      <c r="B381" s="42"/>
      <c r="C381" s="42"/>
      <c r="D381" s="28">
        <v>2336085.81</v>
      </c>
      <c r="E381" s="28"/>
      <c r="F381" s="56"/>
    </row>
    <row r="382" spans="1:6" x14ac:dyDescent="0.35">
      <c r="A382" s="52" t="s">
        <v>518</v>
      </c>
      <c r="B382" s="42" t="s">
        <v>299</v>
      </c>
      <c r="C382" s="43">
        <v>868176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v>3204261.81</v>
      </c>
      <c r="E383" s="16"/>
    </row>
    <row r="384" spans="1:6" x14ac:dyDescent="0.35">
      <c r="A384" s="16" t="s">
        <v>520</v>
      </c>
      <c r="B384" s="16"/>
      <c r="C384" s="23"/>
      <c r="D384" s="28">
        <v>36880608.779999994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43">
        <v>19176923.379999999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5860749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4117540.87</v>
      </c>
      <c r="D391" s="16"/>
      <c r="E391" s="16"/>
    </row>
    <row r="392" spans="1:5" x14ac:dyDescent="0.35">
      <c r="A392" s="16" t="s">
        <v>523</v>
      </c>
      <c r="B392" s="42" t="s">
        <v>299</v>
      </c>
      <c r="C392" s="43">
        <v>3741410</v>
      </c>
      <c r="D392" s="16"/>
      <c r="E392" s="16"/>
    </row>
    <row r="393" spans="1:5" x14ac:dyDescent="0.35">
      <c r="A393" s="16" t="s">
        <v>524</v>
      </c>
      <c r="B393" s="42" t="s">
        <v>299</v>
      </c>
      <c r="C393" s="43">
        <v>514126</v>
      </c>
      <c r="D393" s="16"/>
      <c r="E393" s="16"/>
    </row>
    <row r="394" spans="1:5" x14ac:dyDescent="0.35">
      <c r="A394" s="16" t="s">
        <v>525</v>
      </c>
      <c r="B394" s="42" t="s">
        <v>299</v>
      </c>
      <c r="C394" s="43">
        <v>2071739.73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1502709.4</v>
      </c>
      <c r="D395" s="16"/>
      <c r="E395" s="16"/>
    </row>
    <row r="396" spans="1:5" x14ac:dyDescent="0.35">
      <c r="A396" s="16" t="s">
        <v>526</v>
      </c>
      <c r="B396" s="42" t="s">
        <v>299</v>
      </c>
      <c r="C396" s="43">
        <v>198892.64</v>
      </c>
      <c r="D396" s="16"/>
      <c r="E396" s="16"/>
    </row>
    <row r="397" spans="1:5" x14ac:dyDescent="0.35">
      <c r="A397" s="16" t="s">
        <v>527</v>
      </c>
      <c r="B397" s="42" t="s">
        <v>299</v>
      </c>
      <c r="C397" s="43">
        <v>492684</v>
      </c>
      <c r="D397" s="16"/>
      <c r="E397" s="16"/>
    </row>
    <row r="398" spans="1:5" x14ac:dyDescent="0.35">
      <c r="A398" s="16" t="s">
        <v>528</v>
      </c>
      <c r="B398" s="42" t="s">
        <v>299</v>
      </c>
      <c r="C398" s="43">
        <v>402060</v>
      </c>
      <c r="D398" s="16"/>
      <c r="E398" s="16"/>
    </row>
    <row r="399" spans="1:5" x14ac:dyDescent="0.35">
      <c r="A399" s="16" t="s">
        <v>529</v>
      </c>
      <c r="B399" s="42" t="s">
        <v>299</v>
      </c>
      <c r="C399" s="43">
        <v>495407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719156</v>
      </c>
      <c r="D414" s="28">
        <v>0</v>
      </c>
      <c r="E414" s="215" t="s">
        <v>1058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v>719156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v>39293398.019999996</v>
      </c>
      <c r="E416" s="28"/>
    </row>
    <row r="417" spans="1:13" x14ac:dyDescent="0.35">
      <c r="A417" s="28" t="s">
        <v>534</v>
      </c>
      <c r="B417" s="16"/>
      <c r="C417" s="23"/>
      <c r="D417" s="28">
        <v>-2412789.2400000021</v>
      </c>
      <c r="E417" s="28"/>
    </row>
    <row r="418" spans="1:13" x14ac:dyDescent="0.35">
      <c r="A418" s="28" t="s">
        <v>535</v>
      </c>
      <c r="B418" s="16"/>
      <c r="C418" s="214">
        <v>845022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v>845022</v>
      </c>
      <c r="E420" s="28"/>
      <c r="F420" s="11">
        <v>349615</v>
      </c>
    </row>
    <row r="421" spans="1:13" x14ac:dyDescent="0.35">
      <c r="A421" s="28" t="s">
        <v>538</v>
      </c>
      <c r="B421" s="16"/>
      <c r="C421" s="23"/>
      <c r="D421" s="28">
        <v>-1567767.2400000021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v>-1567767.2400000021</v>
      </c>
      <c r="E424" s="16"/>
    </row>
    <row r="425" spans="1:13" x14ac:dyDescent="0.35">
      <c r="A425" s="16" t="s">
        <v>541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542</v>
      </c>
      <c r="D613" s="227">
        <f>CE91-(BE91+CD91)</f>
        <v>26055</v>
      </c>
      <c r="E613" s="229">
        <f>SUM(C625:D648)+SUM(C669:D714)</f>
        <v>945934.81000000017</v>
      </c>
      <c r="F613" s="229">
        <f>CE65-(AX65+BD65+BE65+BG65+BJ65+BN65+BP65+BQ65+CB65+CC65+CD65)</f>
        <v>143263</v>
      </c>
      <c r="G613" s="227">
        <f>CE92-(AX92+AY92+BD92+BE92+BG92+BJ92+BN92+BP92+BQ92+CB92+CC92+CD92)</f>
        <v>22630.35</v>
      </c>
      <c r="H613" s="232">
        <f>CE61-(AX61+AY61+AZ61+BD61+BE61+BG61+BJ61+BN61+BO61+BP61+BQ61+BR61+CB61+CC61+CD61)</f>
        <v>16747406.960000001</v>
      </c>
      <c r="I613" s="227">
        <f>CE93-(AX93+AY93+AZ93+BD93+BE93+BF93+BG93+BJ93+BN93+BO93+BP93+BQ93+BR93+CB93+CC93+CD93)</f>
        <v>153459</v>
      </c>
      <c r="J613" s="227">
        <f>CE94-(AX94+AY94+AZ94+BA94+BD94+BE94+BF94+BG94+BJ94+BN94+BO94+BP94+BQ94+BR94+CB94+CC94+CD94)</f>
        <v>30.279999999999998</v>
      </c>
      <c r="K613" s="227">
        <f>CE90-(AW90+AX90+AY90+AZ90+BA90+BB90+BC90+BD90+BE90+BF90+BG90+BH90+BI90+BJ90+BK90+BL90+BM90+BN90+BO90+BP90+BQ90+BR90+BS90+BT90+BU90+BV90+BW90+BX90+CB90+CC90+CD90)</f>
        <v>41490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543</v>
      </c>
      <c r="D614" s="228" t="s">
        <v>544</v>
      </c>
      <c r="E614" s="230" t="s">
        <v>545</v>
      </c>
      <c r="F614" s="231" t="s">
        <v>546</v>
      </c>
      <c r="G614" s="228" t="s">
        <v>547</v>
      </c>
      <c r="H614" s="231" t="s">
        <v>548</v>
      </c>
      <c r="I614" s="228" t="s">
        <v>549</v>
      </c>
      <c r="J614" s="228" t="s">
        <v>550</v>
      </c>
      <c r="K614" s="220" t="s">
        <v>551</v>
      </c>
      <c r="L614" s="221" t="s">
        <v>552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553</v>
      </c>
    </row>
    <row r="616" spans="1:14" s="211" customFormat="1" ht="12.65" customHeight="1" x14ac:dyDescent="0.3">
      <c r="A616" s="222"/>
      <c r="B616" s="221" t="s">
        <v>554</v>
      </c>
      <c r="C616" s="227">
        <f>CD70-CD85</f>
        <v>945934.81</v>
      </c>
      <c r="D616" s="227">
        <f>SUM(C615:C616)</f>
        <v>945934.81</v>
      </c>
      <c r="E616" s="229"/>
      <c r="F616" s="229"/>
      <c r="G616" s="227"/>
      <c r="H616" s="229"/>
      <c r="I616" s="227"/>
      <c r="J616" s="227"/>
      <c r="N616" s="223" t="s">
        <v>555</v>
      </c>
    </row>
    <row r="617" spans="1:14" s="211" customFormat="1" ht="12.65" customHeight="1" x14ac:dyDescent="0.3">
      <c r="A617" s="222">
        <v>8310</v>
      </c>
      <c r="B617" s="226" t="s">
        <v>556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558</v>
      </c>
    </row>
    <row r="619" spans="1:14" s="211" customFormat="1" ht="12.65" customHeight="1" x14ac:dyDescent="0.3">
      <c r="A619" s="222">
        <v>8470</v>
      </c>
      <c r="B619" s="226" t="s">
        <v>559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560</v>
      </c>
    </row>
    <row r="620" spans="1:14" s="211" customFormat="1" ht="12.65" customHeight="1" x14ac:dyDescent="0.3">
      <c r="A620" s="222">
        <v>8610</v>
      </c>
      <c r="B620" s="226" t="s">
        <v>561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562</v>
      </c>
    </row>
    <row r="621" spans="1:14" s="211" customFormat="1" ht="12.65" customHeight="1" x14ac:dyDescent="0.3">
      <c r="A621" s="222">
        <v>8790</v>
      </c>
      <c r="B621" s="226" t="s">
        <v>563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564</v>
      </c>
    </row>
    <row r="622" spans="1:14" s="211" customFormat="1" ht="12.65" customHeight="1" x14ac:dyDescent="0.3">
      <c r="A622" s="222">
        <v>8630</v>
      </c>
      <c r="B622" s="226" t="s">
        <v>565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566</v>
      </c>
    </row>
    <row r="623" spans="1:14" s="211" customFormat="1" ht="12.65" customHeight="1" x14ac:dyDescent="0.3">
      <c r="A623" s="222">
        <v>8770</v>
      </c>
      <c r="B623" s="221" t="s">
        <v>567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568</v>
      </c>
    </row>
    <row r="624" spans="1:14" s="211" customFormat="1" ht="12.65" customHeight="1" x14ac:dyDescent="0.3">
      <c r="A624" s="222">
        <v>8640</v>
      </c>
      <c r="B624" s="226" t="s">
        <v>569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570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>
        <f>(E624/E613)*SUM(C625:D625)</f>
        <v>0</v>
      </c>
      <c r="F625" s="229">
        <f>SUM(C625:E625)</f>
        <v>0</v>
      </c>
      <c r="G625" s="227"/>
      <c r="H625" s="229"/>
      <c r="I625" s="227"/>
      <c r="J625" s="227"/>
      <c r="N625" s="223" t="s">
        <v>571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>
        <f>(E624/E613)*SUM(C626:D626)</f>
        <v>0</v>
      </c>
      <c r="F626" s="229">
        <f>(F625/F613)*AY65</f>
        <v>0</v>
      </c>
      <c r="G626" s="227">
        <f>SUM(C626:F626)</f>
        <v>0</v>
      </c>
      <c r="H626" s="229"/>
      <c r="I626" s="227"/>
      <c r="J626" s="227"/>
      <c r="N626" s="223" t="s">
        <v>572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>
        <f>(E624/E613)*SUM(C627:D627)</f>
        <v>0</v>
      </c>
      <c r="F627" s="229">
        <f>(F625/F613)*BR65</f>
        <v>0</v>
      </c>
      <c r="G627" s="227">
        <f>(G626/G613)*BR92</f>
        <v>0</v>
      </c>
      <c r="H627" s="229"/>
      <c r="I627" s="227"/>
      <c r="J627" s="227"/>
      <c r="N627" s="223" t="s">
        <v>573</v>
      </c>
    </row>
    <row r="628" spans="1:14" s="211" customFormat="1" ht="12.65" customHeight="1" x14ac:dyDescent="0.3">
      <c r="A628" s="222">
        <v>8620</v>
      </c>
      <c r="B628" s="221" t="s">
        <v>574</v>
      </c>
      <c r="C628" s="227" t="str">
        <f>BO86</f>
        <v>x</v>
      </c>
      <c r="D628" s="227">
        <f>(D616/D613)*BO91</f>
        <v>0</v>
      </c>
      <c r="E628" s="229">
        <f>(E624/E613)*SUM(C628:D628)</f>
        <v>0</v>
      </c>
      <c r="F628" s="229">
        <f>(F625/F613)*BO65</f>
        <v>0</v>
      </c>
      <c r="G628" s="227">
        <f>(G626/G613)*BO92</f>
        <v>0</v>
      </c>
      <c r="H628" s="229"/>
      <c r="I628" s="227"/>
      <c r="J628" s="227"/>
      <c r="N628" s="223" t="s">
        <v>575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>
        <f>(E624/E613)*SUM(C629:D629)</f>
        <v>0</v>
      </c>
      <c r="F629" s="229">
        <f>(F625/F613)*AZ65</f>
        <v>0</v>
      </c>
      <c r="G629" s="227">
        <f>(G626/G613)*AZ92</f>
        <v>0</v>
      </c>
      <c r="H629" s="229">
        <f>SUM(C627:G629)</f>
        <v>0</v>
      </c>
      <c r="I629" s="227"/>
      <c r="J629" s="227"/>
      <c r="N629" s="223" t="s">
        <v>576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>
        <f>(E624/E613)*SUM(C630:D630)</f>
        <v>0</v>
      </c>
      <c r="F630" s="229">
        <f>(F625/F613)*BF65</f>
        <v>0</v>
      </c>
      <c r="G630" s="227">
        <f>(G626/G613)*BF92</f>
        <v>0</v>
      </c>
      <c r="H630" s="229">
        <f>(H629/H613)*BF61</f>
        <v>0</v>
      </c>
      <c r="I630" s="227">
        <f>SUM(C630:H630)</f>
        <v>0</v>
      </c>
      <c r="J630" s="227"/>
      <c r="N630" s="223" t="s">
        <v>577</v>
      </c>
    </row>
    <row r="631" spans="1:14" s="211" customFormat="1" ht="12.65" customHeight="1" x14ac:dyDescent="0.3">
      <c r="A631" s="222">
        <v>8350</v>
      </c>
      <c r="B631" s="226" t="s">
        <v>578</v>
      </c>
      <c r="C631" s="227" t="str">
        <f>BA86</f>
        <v>x</v>
      </c>
      <c r="D631" s="227">
        <f>(D616/D613)*BA91</f>
        <v>0</v>
      </c>
      <c r="E631" s="229">
        <f>(E624/E613)*SUM(C631:D631)</f>
        <v>0</v>
      </c>
      <c r="F631" s="229">
        <f>(F625/F613)*BA65</f>
        <v>0</v>
      </c>
      <c r="G631" s="227">
        <f>(G626/G613)*BA92</f>
        <v>0</v>
      </c>
      <c r="H631" s="229">
        <f>(H629/H613)*BA61</f>
        <v>0</v>
      </c>
      <c r="I631" s="227">
        <f>(I630/I613)*BA93</f>
        <v>0</v>
      </c>
      <c r="J631" s="227">
        <f>SUM(C631:I631)</f>
        <v>0</v>
      </c>
      <c r="N631" s="223" t="s">
        <v>579</v>
      </c>
    </row>
    <row r="632" spans="1:14" s="211" customFormat="1" ht="12.65" customHeight="1" x14ac:dyDescent="0.3">
      <c r="A632" s="222">
        <v>8200</v>
      </c>
      <c r="B632" s="226" t="s">
        <v>580</v>
      </c>
      <c r="C632" s="227" t="str">
        <f>AW86</f>
        <v>x</v>
      </c>
      <c r="D632" s="227">
        <f>(D616/D613)*AW91</f>
        <v>0</v>
      </c>
      <c r="E632" s="229">
        <f>(E624/E613)*SUM(C632:D632)</f>
        <v>0</v>
      </c>
      <c r="F632" s="229">
        <f>(F625/F613)*AW65</f>
        <v>0</v>
      </c>
      <c r="G632" s="227">
        <f>(G626/G613)*AW92</f>
        <v>0</v>
      </c>
      <c r="H632" s="229">
        <f>(H629/H613)*AW61</f>
        <v>0</v>
      </c>
      <c r="I632" s="227">
        <f>(I630/I613)*AW93</f>
        <v>0</v>
      </c>
      <c r="J632" s="227">
        <f>(J631/J613)*AW94</f>
        <v>0</v>
      </c>
      <c r="N632" s="223" t="s">
        <v>581</v>
      </c>
    </row>
    <row r="633" spans="1:14" s="211" customFormat="1" ht="12.65" customHeight="1" x14ac:dyDescent="0.3">
      <c r="A633" s="222">
        <v>8360</v>
      </c>
      <c r="B633" s="226" t="s">
        <v>582</v>
      </c>
      <c r="C633" s="227" t="str">
        <f>BB86</f>
        <v>x</v>
      </c>
      <c r="D633" s="227">
        <f>(D616/D613)*BB91</f>
        <v>0</v>
      </c>
      <c r="E633" s="229">
        <f>(E624/E613)*SUM(C633:D633)</f>
        <v>0</v>
      </c>
      <c r="F633" s="229">
        <f>(F625/F613)*BB65</f>
        <v>0</v>
      </c>
      <c r="G633" s="227">
        <f>(G626/G613)*BB92</f>
        <v>0</v>
      </c>
      <c r="H633" s="229">
        <f>(H629/H613)*BB61</f>
        <v>0</v>
      </c>
      <c r="I633" s="227">
        <f>(I630/I613)*BB93</f>
        <v>0</v>
      </c>
      <c r="J633" s="227">
        <f>(J631/J613)*BB94</f>
        <v>0</v>
      </c>
      <c r="N633" s="223" t="s">
        <v>583</v>
      </c>
    </row>
    <row r="634" spans="1:14" s="211" customFormat="1" ht="12.65" customHeight="1" x14ac:dyDescent="0.3">
      <c r="A634" s="222">
        <v>8370</v>
      </c>
      <c r="B634" s="226" t="s">
        <v>584</v>
      </c>
      <c r="C634" s="227" t="str">
        <f>BC86</f>
        <v>x</v>
      </c>
      <c r="D634" s="227">
        <f>(D616/D613)*BC91</f>
        <v>0</v>
      </c>
      <c r="E634" s="229">
        <f>(E624/E613)*SUM(C634:D634)</f>
        <v>0</v>
      </c>
      <c r="F634" s="229">
        <f>(F625/F613)*BC65</f>
        <v>0</v>
      </c>
      <c r="G634" s="227">
        <f>(G626/G613)*BC92</f>
        <v>0</v>
      </c>
      <c r="H634" s="229">
        <f>(H629/H613)*BC61</f>
        <v>0</v>
      </c>
      <c r="I634" s="227">
        <f>(I630/I613)*BC93</f>
        <v>0</v>
      </c>
      <c r="J634" s="227">
        <f>(J631/J613)*BC94</f>
        <v>0</v>
      </c>
      <c r="N634" s="223" t="s">
        <v>585</v>
      </c>
    </row>
    <row r="635" spans="1:14" s="211" customFormat="1" ht="12.65" customHeight="1" x14ac:dyDescent="0.3">
      <c r="A635" s="222">
        <v>8490</v>
      </c>
      <c r="B635" s="226" t="s">
        <v>586</v>
      </c>
      <c r="C635" s="227" t="str">
        <f>BI86</f>
        <v>x</v>
      </c>
      <c r="D635" s="227">
        <f>(D616/D613)*BI91</f>
        <v>0</v>
      </c>
      <c r="E635" s="229">
        <f>(E624/E613)*SUM(C635:D635)</f>
        <v>0</v>
      </c>
      <c r="F635" s="229">
        <f>(F625/F613)*BI65</f>
        <v>0</v>
      </c>
      <c r="G635" s="227">
        <f>(G626/G613)*BI92</f>
        <v>0</v>
      </c>
      <c r="H635" s="229">
        <f>(H629/H613)*BI61</f>
        <v>0</v>
      </c>
      <c r="I635" s="227">
        <f>(I630/I613)*BI93</f>
        <v>0</v>
      </c>
      <c r="J635" s="227">
        <f>(J631/J613)*BI94</f>
        <v>0</v>
      </c>
      <c r="N635" s="223" t="s">
        <v>587</v>
      </c>
    </row>
    <row r="636" spans="1:14" s="211" customFormat="1" ht="12.65" customHeight="1" x14ac:dyDescent="0.3">
      <c r="A636" s="222">
        <v>8530</v>
      </c>
      <c r="B636" s="226" t="s">
        <v>588</v>
      </c>
      <c r="C636" s="227" t="str">
        <f>BK86</f>
        <v>x</v>
      </c>
      <c r="D636" s="227">
        <f>(D616/D613)*BK91</f>
        <v>0</v>
      </c>
      <c r="E636" s="229">
        <f>(E624/E613)*SUM(C636:D636)</f>
        <v>0</v>
      </c>
      <c r="F636" s="229">
        <f>(F625/F613)*BK65</f>
        <v>0</v>
      </c>
      <c r="G636" s="227">
        <f>(G626/G613)*BK92</f>
        <v>0</v>
      </c>
      <c r="H636" s="229">
        <f>(H629/H613)*BK61</f>
        <v>0</v>
      </c>
      <c r="I636" s="227">
        <f>(I630/I613)*BK93</f>
        <v>0</v>
      </c>
      <c r="J636" s="227">
        <f>(J631/J613)*BK94</f>
        <v>0</v>
      </c>
      <c r="N636" s="223" t="s">
        <v>589</v>
      </c>
    </row>
    <row r="637" spans="1:14" s="211" customFormat="1" ht="12.65" customHeight="1" x14ac:dyDescent="0.3">
      <c r="A637" s="222">
        <v>8480</v>
      </c>
      <c r="B637" s="226" t="s">
        <v>590</v>
      </c>
      <c r="C637" s="227" t="str">
        <f>BH86</f>
        <v>x</v>
      </c>
      <c r="D637" s="227">
        <f>(D616/D613)*BH91</f>
        <v>0</v>
      </c>
      <c r="E637" s="229">
        <f>(E624/E613)*SUM(C637:D637)</f>
        <v>0</v>
      </c>
      <c r="F637" s="229">
        <f>(F625/F613)*BH65</f>
        <v>0</v>
      </c>
      <c r="G637" s="227">
        <f>(G626/G613)*BH92</f>
        <v>0</v>
      </c>
      <c r="H637" s="229">
        <f>(H629/H613)*BH61</f>
        <v>0</v>
      </c>
      <c r="I637" s="227">
        <f>(I630/I613)*BH93</f>
        <v>0</v>
      </c>
      <c r="J637" s="227">
        <f>(J631/J613)*BH94</f>
        <v>0</v>
      </c>
      <c r="N637" s="223" t="s">
        <v>591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>
        <f>(E624/E613)*SUM(C638:D638)</f>
        <v>0</v>
      </c>
      <c r="F638" s="229">
        <f>(F625/F613)*BL65</f>
        <v>0</v>
      </c>
      <c r="G638" s="227">
        <f>(G626/G613)*BL92</f>
        <v>0</v>
      </c>
      <c r="H638" s="229">
        <f>(H629/H613)*BL61</f>
        <v>0</v>
      </c>
      <c r="I638" s="227">
        <f>(I630/I613)*BL93</f>
        <v>0</v>
      </c>
      <c r="J638" s="227">
        <f>(J631/J613)*BL94</f>
        <v>0</v>
      </c>
      <c r="N638" s="223" t="s">
        <v>592</v>
      </c>
    </row>
    <row r="639" spans="1:14" s="211" customFormat="1" ht="12.65" customHeight="1" x14ac:dyDescent="0.3">
      <c r="A639" s="222">
        <v>8590</v>
      </c>
      <c r="B639" s="226" t="s">
        <v>593</v>
      </c>
      <c r="C639" s="227" t="str">
        <f>BM86</f>
        <v>x</v>
      </c>
      <c r="D639" s="227">
        <f>(D616/D613)*BM91</f>
        <v>0</v>
      </c>
      <c r="E639" s="229">
        <f>(E624/E613)*SUM(C639:D639)</f>
        <v>0</v>
      </c>
      <c r="F639" s="229">
        <f>(F625/F613)*BM65</f>
        <v>0</v>
      </c>
      <c r="G639" s="227">
        <f>(G626/G613)*BM92</f>
        <v>0</v>
      </c>
      <c r="H639" s="229">
        <f>(H629/H613)*BM61</f>
        <v>0</v>
      </c>
      <c r="I639" s="227">
        <f>(I630/I613)*BM93</f>
        <v>0</v>
      </c>
      <c r="J639" s="227">
        <f>(J631/J613)*BM94</f>
        <v>0</v>
      </c>
      <c r="N639" s="223" t="s">
        <v>594</v>
      </c>
    </row>
    <row r="640" spans="1:14" s="211" customFormat="1" ht="12.65" customHeight="1" x14ac:dyDescent="0.3">
      <c r="A640" s="222">
        <v>8660</v>
      </c>
      <c r="B640" s="226" t="s">
        <v>595</v>
      </c>
      <c r="C640" s="227" t="str">
        <f>BS86</f>
        <v>x</v>
      </c>
      <c r="D640" s="227">
        <f>(D616/D613)*BS91</f>
        <v>0</v>
      </c>
      <c r="E640" s="229">
        <f>(E624/E613)*SUM(C640:D640)</f>
        <v>0</v>
      </c>
      <c r="F640" s="229">
        <f>(F625/F613)*BS65</f>
        <v>0</v>
      </c>
      <c r="G640" s="227">
        <f>(G626/G613)*BS92</f>
        <v>0</v>
      </c>
      <c r="H640" s="229">
        <f>(H629/H613)*BS61</f>
        <v>0</v>
      </c>
      <c r="I640" s="227">
        <f>(I630/I613)*BS93</f>
        <v>0</v>
      </c>
      <c r="J640" s="227">
        <f>(J631/J613)*BS94</f>
        <v>0</v>
      </c>
      <c r="N640" s="223" t="s">
        <v>596</v>
      </c>
    </row>
    <row r="641" spans="1:14" s="211" customFormat="1" ht="12.65" customHeight="1" x14ac:dyDescent="0.3">
      <c r="A641" s="222">
        <v>8670</v>
      </c>
      <c r="B641" s="226" t="s">
        <v>597</v>
      </c>
      <c r="C641" s="227" t="str">
        <f>BT86</f>
        <v>x</v>
      </c>
      <c r="D641" s="227">
        <f>(D616/D613)*BT91</f>
        <v>0</v>
      </c>
      <c r="E641" s="229">
        <f>(E624/E613)*SUM(C641:D641)</f>
        <v>0</v>
      </c>
      <c r="F641" s="229">
        <f>(F625/F613)*BT65</f>
        <v>0</v>
      </c>
      <c r="G641" s="227">
        <f>(G626/G613)*BT92</f>
        <v>0</v>
      </c>
      <c r="H641" s="229">
        <f>(H629/H613)*BT61</f>
        <v>0</v>
      </c>
      <c r="I641" s="227">
        <f>(I630/I613)*BT93</f>
        <v>0</v>
      </c>
      <c r="J641" s="227">
        <f>(J631/J613)*BT94</f>
        <v>0</v>
      </c>
      <c r="N641" s="223" t="s">
        <v>598</v>
      </c>
    </row>
    <row r="642" spans="1:14" s="211" customFormat="1" ht="12.65" customHeight="1" x14ac:dyDescent="0.3">
      <c r="A642" s="222">
        <v>8680</v>
      </c>
      <c r="B642" s="226" t="s">
        <v>599</v>
      </c>
      <c r="C642" s="227" t="str">
        <f>BU86</f>
        <v>x</v>
      </c>
      <c r="D642" s="227">
        <f>(D616/D613)*BU91</f>
        <v>0</v>
      </c>
      <c r="E642" s="229">
        <f>(E624/E613)*SUM(C642:D642)</f>
        <v>0</v>
      </c>
      <c r="F642" s="229">
        <f>(F625/F613)*BU65</f>
        <v>0</v>
      </c>
      <c r="G642" s="227">
        <f>(G626/G613)*BU92</f>
        <v>0</v>
      </c>
      <c r="H642" s="229">
        <f>(H629/H613)*BU61</f>
        <v>0</v>
      </c>
      <c r="I642" s="227">
        <f>(I630/I613)*BU93</f>
        <v>0</v>
      </c>
      <c r="J642" s="227">
        <f>(J631/J613)*BU94</f>
        <v>0</v>
      </c>
      <c r="N642" s="223" t="s">
        <v>600</v>
      </c>
    </row>
    <row r="643" spans="1:14" s="211" customFormat="1" ht="12.65" customHeight="1" x14ac:dyDescent="0.3">
      <c r="A643" s="222">
        <v>8690</v>
      </c>
      <c r="B643" s="226" t="s">
        <v>601</v>
      </c>
      <c r="C643" s="227" t="str">
        <f>BV86</f>
        <v>x</v>
      </c>
      <c r="D643" s="227">
        <f>(D616/D613)*BV91</f>
        <v>0</v>
      </c>
      <c r="E643" s="229">
        <f>(E624/E613)*SUM(C643:D643)</f>
        <v>0</v>
      </c>
      <c r="F643" s="229">
        <f>(F625/F613)*BV65</f>
        <v>0</v>
      </c>
      <c r="G643" s="227">
        <f>(G626/G613)*BV92</f>
        <v>0</v>
      </c>
      <c r="H643" s="229">
        <f>(H629/H613)*BV61</f>
        <v>0</v>
      </c>
      <c r="I643" s="227">
        <f>(I630/I613)*BV93</f>
        <v>0</v>
      </c>
      <c r="J643" s="227">
        <f>(J631/J613)*BV94</f>
        <v>0</v>
      </c>
      <c r="N643" s="223" t="s">
        <v>602</v>
      </c>
    </row>
    <row r="644" spans="1:14" s="211" customFormat="1" ht="12.65" customHeight="1" x14ac:dyDescent="0.3">
      <c r="A644" s="222">
        <v>8700</v>
      </c>
      <c r="B644" s="226" t="s">
        <v>603</v>
      </c>
      <c r="C644" s="227" t="str">
        <f>BW86</f>
        <v>x</v>
      </c>
      <c r="D644" s="227">
        <f>(D616/D613)*BW91</f>
        <v>0</v>
      </c>
      <c r="E644" s="229">
        <f>(E624/E613)*SUM(C644:D644)</f>
        <v>0</v>
      </c>
      <c r="F644" s="229">
        <f>(F625/F613)*BW65</f>
        <v>0</v>
      </c>
      <c r="G644" s="227">
        <f>(G626/G613)*BW92</f>
        <v>0</v>
      </c>
      <c r="H644" s="229">
        <f>(H629/H613)*BW61</f>
        <v>0</v>
      </c>
      <c r="I644" s="227">
        <f>(I630/I613)*BW93</f>
        <v>0</v>
      </c>
      <c r="J644" s="227">
        <f>(J631/J613)*BW94</f>
        <v>0</v>
      </c>
      <c r="N644" s="223" t="s">
        <v>604</v>
      </c>
    </row>
    <row r="645" spans="1:14" s="211" customFormat="1" ht="12.65" customHeight="1" x14ac:dyDescent="0.3">
      <c r="A645" s="222">
        <v>8710</v>
      </c>
      <c r="B645" s="226" t="s">
        <v>605</v>
      </c>
      <c r="C645" s="227" t="str">
        <f>BX86</f>
        <v>x</v>
      </c>
      <c r="D645" s="227">
        <f>(D616/D613)*BX91</f>
        <v>0</v>
      </c>
      <c r="E645" s="229">
        <f>(E624/E613)*SUM(C645:D645)</f>
        <v>0</v>
      </c>
      <c r="F645" s="229">
        <f>(F625/F613)*BX65</f>
        <v>0</v>
      </c>
      <c r="G645" s="227">
        <f>(G626/G613)*BX92</f>
        <v>0</v>
      </c>
      <c r="H645" s="229">
        <f>(H629/H613)*BX61</f>
        <v>0</v>
      </c>
      <c r="I645" s="227">
        <f>(I630/I613)*BX93</f>
        <v>0</v>
      </c>
      <c r="J645" s="227">
        <f>(J631/J613)*BX94</f>
        <v>0</v>
      </c>
      <c r="K645" s="229">
        <f>SUM(C632:J645)</f>
        <v>0</v>
      </c>
      <c r="L645" s="229"/>
      <c r="N645" s="223" t="s">
        <v>606</v>
      </c>
    </row>
    <row r="646" spans="1:14" s="211" customFormat="1" ht="12.65" customHeight="1" x14ac:dyDescent="0.3">
      <c r="A646" s="222">
        <v>8720</v>
      </c>
      <c r="B646" s="226" t="s">
        <v>607</v>
      </c>
      <c r="C646" s="227" t="str">
        <f>BY86</f>
        <v>x</v>
      </c>
      <c r="D646" s="227">
        <f>(D616/D613)*BY91</f>
        <v>0</v>
      </c>
      <c r="E646" s="229">
        <f>(E624/E613)*SUM(C646:D646)</f>
        <v>0</v>
      </c>
      <c r="F646" s="229">
        <f>(F625/F613)*BY65</f>
        <v>0</v>
      </c>
      <c r="G646" s="227">
        <f>(G626/G613)*BY92</f>
        <v>0</v>
      </c>
      <c r="H646" s="229">
        <f>(H629/H613)*BY61</f>
        <v>0</v>
      </c>
      <c r="I646" s="227">
        <f>(I630/I613)*BY93</f>
        <v>0</v>
      </c>
      <c r="J646" s="227">
        <f>(J631/J613)*BY94</f>
        <v>0</v>
      </c>
      <c r="K646" s="229">
        <v>0</v>
      </c>
      <c r="L646" s="229"/>
      <c r="N646" s="223" t="s">
        <v>608</v>
      </c>
    </row>
    <row r="647" spans="1:14" s="211" customFormat="1" ht="12.65" customHeight="1" x14ac:dyDescent="0.3">
      <c r="A647" s="222">
        <v>8730</v>
      </c>
      <c r="B647" s="226" t="s">
        <v>609</v>
      </c>
      <c r="C647" s="227" t="str">
        <f>BZ86</f>
        <v>x</v>
      </c>
      <c r="D647" s="227">
        <f>(D616/D613)*BZ91</f>
        <v>0</v>
      </c>
      <c r="E647" s="229">
        <f>(E624/E613)*SUM(C647:D647)</f>
        <v>0</v>
      </c>
      <c r="F647" s="229">
        <f>(F625/F613)*BZ65</f>
        <v>0</v>
      </c>
      <c r="G647" s="227">
        <f>(G626/G613)*BZ92</f>
        <v>0</v>
      </c>
      <c r="H647" s="229">
        <f>(H629/H613)*BZ61</f>
        <v>0</v>
      </c>
      <c r="I647" s="227">
        <f>(I630/I613)*BZ93</f>
        <v>0</v>
      </c>
      <c r="J647" s="227">
        <f>(J631/J613)*BZ94</f>
        <v>0</v>
      </c>
      <c r="K647" s="229">
        <v>0</v>
      </c>
      <c r="L647" s="229"/>
      <c r="N647" s="223" t="s">
        <v>610</v>
      </c>
    </row>
    <row r="648" spans="1:14" s="211" customFormat="1" ht="12.65" customHeight="1" x14ac:dyDescent="0.3">
      <c r="A648" s="222">
        <v>8740</v>
      </c>
      <c r="B648" s="226" t="s">
        <v>611</v>
      </c>
      <c r="C648" s="227" t="str">
        <f>CA86</f>
        <v>x</v>
      </c>
      <c r="D648" s="227">
        <f>(D616/D613)*CA91</f>
        <v>0</v>
      </c>
      <c r="E648" s="229">
        <f>(E624/E613)*SUM(C648:D648)</f>
        <v>0</v>
      </c>
      <c r="F648" s="229">
        <f>(F625/F613)*CA65</f>
        <v>0</v>
      </c>
      <c r="G648" s="227">
        <f>(G626/G613)*CA92</f>
        <v>0</v>
      </c>
      <c r="H648" s="229">
        <f>(H629/H613)*CA61</f>
        <v>0</v>
      </c>
      <c r="I648" s="227">
        <f>(I630/I613)*CA93</f>
        <v>0</v>
      </c>
      <c r="J648" s="227">
        <f>(J631/J613)*CA94</f>
        <v>0</v>
      </c>
      <c r="K648" s="229">
        <v>0</v>
      </c>
      <c r="L648" s="229">
        <f>SUM(C646:K648)</f>
        <v>0</v>
      </c>
      <c r="N648" s="223" t="s">
        <v>612</v>
      </c>
    </row>
    <row r="649" spans="1:14" s="211" customFormat="1" ht="12.65" customHeight="1" x14ac:dyDescent="0.3">
      <c r="A649" s="222"/>
      <c r="B649" s="222"/>
      <c r="C649" s="211">
        <f>SUM(C615:C648)</f>
        <v>945934.81</v>
      </c>
      <c r="L649" s="225"/>
    </row>
    <row r="667" spans="1:14" s="211" customFormat="1" ht="12.65" customHeight="1" x14ac:dyDescent="0.3">
      <c r="C667" s="220" t="s">
        <v>613</v>
      </c>
      <c r="M667" s="220" t="s">
        <v>614</v>
      </c>
    </row>
    <row r="668" spans="1:14" s="211" customFormat="1" ht="12.65" customHeight="1" x14ac:dyDescent="0.3">
      <c r="C668" s="220" t="s">
        <v>543</v>
      </c>
      <c r="D668" s="220" t="s">
        <v>544</v>
      </c>
      <c r="E668" s="221" t="s">
        <v>545</v>
      </c>
      <c r="F668" s="220" t="s">
        <v>546</v>
      </c>
      <c r="G668" s="220" t="s">
        <v>547</v>
      </c>
      <c r="H668" s="220" t="s">
        <v>548</v>
      </c>
      <c r="I668" s="220" t="s">
        <v>549</v>
      </c>
      <c r="J668" s="220" t="s">
        <v>550</v>
      </c>
      <c r="K668" s="220" t="s">
        <v>551</v>
      </c>
      <c r="L668" s="221" t="s">
        <v>552</v>
      </c>
      <c r="M668" s="220" t="s">
        <v>615</v>
      </c>
    </row>
    <row r="669" spans="1:14" s="211" customFormat="1" ht="12.65" customHeight="1" x14ac:dyDescent="0.3">
      <c r="A669" s="222">
        <v>6010</v>
      </c>
      <c r="B669" s="221" t="s">
        <v>342</v>
      </c>
      <c r="C669" s="227" t="str">
        <f>C86</f>
        <v>x</v>
      </c>
      <c r="D669" s="227">
        <f>(D616/D613)*C91</f>
        <v>0</v>
      </c>
      <c r="E669" s="229">
        <f>(E624/E613)*SUM(C669:D669)</f>
        <v>0</v>
      </c>
      <c r="F669" s="229">
        <f>(F625/F613)*C65</f>
        <v>0</v>
      </c>
      <c r="G669" s="227">
        <f>(G626/G613)*C92</f>
        <v>0</v>
      </c>
      <c r="H669" s="229">
        <f>(H629/H613)*C61</f>
        <v>0</v>
      </c>
      <c r="I669" s="227">
        <f>(I630/I613)*C93</f>
        <v>0</v>
      </c>
      <c r="J669" s="227">
        <f>(J631/J613)*C94</f>
        <v>0</v>
      </c>
      <c r="K669" s="227">
        <f>(K645/K613)*C90</f>
        <v>0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616</v>
      </c>
    </row>
    <row r="670" spans="1:14" s="211" customFormat="1" ht="12.65" customHeight="1" x14ac:dyDescent="0.3">
      <c r="A670" s="222">
        <v>6030</v>
      </c>
      <c r="B670" s="221" t="s">
        <v>343</v>
      </c>
      <c r="C670" s="227" t="str">
        <f>D86</f>
        <v>x</v>
      </c>
      <c r="D670" s="227">
        <f>(D616/D613)*D91</f>
        <v>0</v>
      </c>
      <c r="E670" s="229">
        <f>(E624/E613)*SUM(C670:D670)</f>
        <v>0</v>
      </c>
      <c r="F670" s="229">
        <f>(F625/F613)*D65</f>
        <v>0</v>
      </c>
      <c r="G670" s="227">
        <f>(G626/G613)*D92</f>
        <v>0</v>
      </c>
      <c r="H670" s="229">
        <f>(H629/H613)*D61</f>
        <v>0</v>
      </c>
      <c r="I670" s="227">
        <f>(I630/I613)*D93</f>
        <v>0</v>
      </c>
      <c r="J670" s="227">
        <f>(J631/J613)*D94</f>
        <v>0</v>
      </c>
      <c r="K670" s="227">
        <f>(K645/K613)*D90</f>
        <v>0</v>
      </c>
      <c r="L670" s="227" t="e">
        <f>(L648/L613)*D95</f>
        <v>#DIV/0!</v>
      </c>
      <c r="M670" s="211" t="e">
        <f t="shared" si="0"/>
        <v>#DIV/0!</v>
      </c>
      <c r="N670" s="221" t="s">
        <v>617</v>
      </c>
    </row>
    <row r="671" spans="1:14" s="211" customFormat="1" ht="12.65" customHeight="1" x14ac:dyDescent="0.3">
      <c r="A671" s="222">
        <v>6070</v>
      </c>
      <c r="B671" s="221" t="s">
        <v>618</v>
      </c>
      <c r="C671" s="227" t="str">
        <f>E86</f>
        <v>x</v>
      </c>
      <c r="D671" s="227">
        <f>(D616/D613)*E91</f>
        <v>221789.1289307235</v>
      </c>
      <c r="E671" s="229">
        <f>(E624/E613)*SUM(C671:D671)</f>
        <v>0</v>
      </c>
      <c r="F671" s="229">
        <f>(F625/F613)*E65</f>
        <v>0</v>
      </c>
      <c r="G671" s="227">
        <f>(G626/G613)*E92</f>
        <v>0</v>
      </c>
      <c r="H671" s="229">
        <f>(H629/H613)*E61</f>
        <v>0</v>
      </c>
      <c r="I671" s="227">
        <f>(I630/I613)*E93</f>
        <v>0</v>
      </c>
      <c r="J671" s="227">
        <f>(J631/J613)*E94</f>
        <v>0</v>
      </c>
      <c r="K671" s="227">
        <f>(K645/K613)*E90</f>
        <v>0</v>
      </c>
      <c r="L671" s="227" t="e">
        <f>(L648/L613)*E95</f>
        <v>#DIV/0!</v>
      </c>
      <c r="M671" s="211" t="e">
        <f t="shared" si="0"/>
        <v>#DIV/0!</v>
      </c>
      <c r="N671" s="221" t="s">
        <v>619</v>
      </c>
    </row>
    <row r="672" spans="1:14" s="211" customFormat="1" ht="12.65" customHeight="1" x14ac:dyDescent="0.3">
      <c r="A672" s="222">
        <v>6100</v>
      </c>
      <c r="B672" s="221" t="s">
        <v>620</v>
      </c>
      <c r="C672" s="227" t="str">
        <f>F86</f>
        <v>x</v>
      </c>
      <c r="D672" s="227">
        <f>(D616/D613)*F91</f>
        <v>0</v>
      </c>
      <c r="E672" s="229">
        <f>(E624/E613)*SUM(C672:D672)</f>
        <v>0</v>
      </c>
      <c r="F672" s="229">
        <f>(F625/F613)*F65</f>
        <v>0</v>
      </c>
      <c r="G672" s="227">
        <f>(G626/G613)*F92</f>
        <v>0</v>
      </c>
      <c r="H672" s="229">
        <f>(H629/H613)*F61</f>
        <v>0</v>
      </c>
      <c r="I672" s="227">
        <f>(I630/I613)*F93</f>
        <v>0</v>
      </c>
      <c r="J672" s="227">
        <f>(J631/J613)*F94</f>
        <v>0</v>
      </c>
      <c r="K672" s="227">
        <f>(K645/K613)*F90</f>
        <v>0</v>
      </c>
      <c r="L672" s="227" t="e">
        <f>(L648/L613)*F95</f>
        <v>#DIV/0!</v>
      </c>
      <c r="M672" s="211" t="e">
        <f t="shared" si="0"/>
        <v>#DIV/0!</v>
      </c>
      <c r="N672" s="221" t="s">
        <v>621</v>
      </c>
    </row>
    <row r="673" spans="1:14" s="211" customFormat="1" ht="12.65" customHeight="1" x14ac:dyDescent="0.3">
      <c r="A673" s="222">
        <v>6120</v>
      </c>
      <c r="B673" s="221" t="s">
        <v>622</v>
      </c>
      <c r="C673" s="227" t="str">
        <f>G86</f>
        <v>x</v>
      </c>
      <c r="D673" s="227">
        <f>(D616/D613)*G91</f>
        <v>0</v>
      </c>
      <c r="E673" s="229">
        <f>(E624/E613)*SUM(C673:D673)</f>
        <v>0</v>
      </c>
      <c r="F673" s="229">
        <f>(F625/F613)*G65</f>
        <v>0</v>
      </c>
      <c r="G673" s="227">
        <f>(G626/G613)*G92</f>
        <v>0</v>
      </c>
      <c r="H673" s="229">
        <f>(H629/H613)*G61</f>
        <v>0</v>
      </c>
      <c r="I673" s="227">
        <f>(I630/I613)*G93</f>
        <v>0</v>
      </c>
      <c r="J673" s="227">
        <f>(J631/J613)*G94</f>
        <v>0</v>
      </c>
      <c r="K673" s="227">
        <f>(K645/K613)*G90</f>
        <v>0</v>
      </c>
      <c r="L673" s="227" t="e">
        <f>(L648/L613)*G95</f>
        <v>#DIV/0!</v>
      </c>
      <c r="M673" s="211" t="e">
        <f t="shared" si="0"/>
        <v>#DIV/0!</v>
      </c>
      <c r="N673" s="221" t="s">
        <v>623</v>
      </c>
    </row>
    <row r="674" spans="1:14" s="211" customFormat="1" ht="12.65" customHeight="1" x14ac:dyDescent="0.3">
      <c r="A674" s="222">
        <v>6140</v>
      </c>
      <c r="B674" s="221" t="s">
        <v>624</v>
      </c>
      <c r="C674" s="227" t="str">
        <f>H86</f>
        <v>x</v>
      </c>
      <c r="D674" s="227">
        <f>(D616/D613)*H91</f>
        <v>0</v>
      </c>
      <c r="E674" s="229">
        <f>(E624/E613)*SUM(C674:D674)</f>
        <v>0</v>
      </c>
      <c r="F674" s="229">
        <f>(F625/F613)*H65</f>
        <v>0</v>
      </c>
      <c r="G674" s="227">
        <f>(G626/G613)*H92</f>
        <v>0</v>
      </c>
      <c r="H674" s="229">
        <f>(H629/H613)*H61</f>
        <v>0</v>
      </c>
      <c r="I674" s="227">
        <f>(I630/I613)*H93</f>
        <v>0</v>
      </c>
      <c r="J674" s="227">
        <f>(J631/J613)*H94</f>
        <v>0</v>
      </c>
      <c r="K674" s="227">
        <f>(K645/K613)*H90</f>
        <v>0</v>
      </c>
      <c r="L674" s="227" t="e">
        <f>(L648/L613)*H95</f>
        <v>#DIV/0!</v>
      </c>
      <c r="M674" s="211" t="e">
        <f t="shared" si="0"/>
        <v>#DIV/0!</v>
      </c>
      <c r="N674" s="221" t="s">
        <v>625</v>
      </c>
    </row>
    <row r="675" spans="1:14" s="211" customFormat="1" ht="12.65" customHeight="1" x14ac:dyDescent="0.3">
      <c r="A675" s="222">
        <v>6150</v>
      </c>
      <c r="B675" s="221" t="s">
        <v>626</v>
      </c>
      <c r="C675" s="227" t="str">
        <f>I86</f>
        <v>x</v>
      </c>
      <c r="D675" s="227">
        <f>(D616/D613)*I91</f>
        <v>0</v>
      </c>
      <c r="E675" s="229">
        <f>(E624/E613)*SUM(C675:D675)</f>
        <v>0</v>
      </c>
      <c r="F675" s="229">
        <f>(F625/F613)*I65</f>
        <v>0</v>
      </c>
      <c r="G675" s="227">
        <f>(G626/G613)*I92</f>
        <v>0</v>
      </c>
      <c r="H675" s="229">
        <f>(H629/H613)*I61</f>
        <v>0</v>
      </c>
      <c r="I675" s="227">
        <f>(I630/I613)*I93</f>
        <v>0</v>
      </c>
      <c r="J675" s="227">
        <f>(J631/J613)*I94</f>
        <v>0</v>
      </c>
      <c r="K675" s="227">
        <f>(K645/K613)*I90</f>
        <v>0</v>
      </c>
      <c r="L675" s="227" t="e">
        <f>(L648/L613)*I95</f>
        <v>#DIV/0!</v>
      </c>
      <c r="M675" s="211" t="e">
        <f t="shared" si="0"/>
        <v>#DIV/0!</v>
      </c>
      <c r="N675" s="221" t="s">
        <v>627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>
        <f>(E624/E613)*SUM(C676:D676)</f>
        <v>0</v>
      </c>
      <c r="F676" s="229">
        <f>(F625/F613)*J65</f>
        <v>0</v>
      </c>
      <c r="G676" s="227">
        <f>(G626/G613)*J92</f>
        <v>0</v>
      </c>
      <c r="H676" s="229">
        <f>(H629/H613)*J61</f>
        <v>0</v>
      </c>
      <c r="I676" s="227">
        <f>(I630/I613)*J93</f>
        <v>0</v>
      </c>
      <c r="J676" s="227">
        <f>(J631/J613)*J94</f>
        <v>0</v>
      </c>
      <c r="K676" s="227">
        <f>(K645/K613)*J90</f>
        <v>0</v>
      </c>
      <c r="L676" s="227" t="e">
        <f>(L648/L613)*J95</f>
        <v>#DIV/0!</v>
      </c>
      <c r="M676" s="211" t="e">
        <f t="shared" si="0"/>
        <v>#DIV/0!</v>
      </c>
      <c r="N676" s="221" t="s">
        <v>628</v>
      </c>
    </row>
    <row r="677" spans="1:14" s="211" customFormat="1" ht="12.65" customHeight="1" x14ac:dyDescent="0.3">
      <c r="A677" s="222">
        <v>6200</v>
      </c>
      <c r="B677" s="221" t="s">
        <v>348</v>
      </c>
      <c r="C677" s="227" t="str">
        <f>K86</f>
        <v>x</v>
      </c>
      <c r="D677" s="227">
        <f>(D616/D613)*K91</f>
        <v>724145.68106927664</v>
      </c>
      <c r="E677" s="229">
        <f>(E624/E613)*SUM(C677:D677)</f>
        <v>0</v>
      </c>
      <c r="F677" s="229">
        <f>(F625/F613)*K65</f>
        <v>0</v>
      </c>
      <c r="G677" s="227">
        <f>(G626/G613)*K92</f>
        <v>0</v>
      </c>
      <c r="H677" s="229">
        <f>(H629/H613)*K61</f>
        <v>0</v>
      </c>
      <c r="I677" s="227">
        <f>(I630/I613)*K93</f>
        <v>0</v>
      </c>
      <c r="J677" s="227">
        <f>(J631/J613)*K94</f>
        <v>0</v>
      </c>
      <c r="K677" s="227">
        <f>(K645/K613)*K90</f>
        <v>0</v>
      </c>
      <c r="L677" s="227" t="e">
        <f>(L648/L613)*K95</f>
        <v>#DIV/0!</v>
      </c>
      <c r="M677" s="211" t="e">
        <f t="shared" si="0"/>
        <v>#DIV/0!</v>
      </c>
      <c r="N677" s="221" t="s">
        <v>629</v>
      </c>
    </row>
    <row r="678" spans="1:14" s="211" customFormat="1" ht="12.65" customHeight="1" x14ac:dyDescent="0.3">
      <c r="A678" s="222">
        <v>6210</v>
      </c>
      <c r="B678" s="221" t="s">
        <v>349</v>
      </c>
      <c r="C678" s="227" t="str">
        <f>L86</f>
        <v>x</v>
      </c>
      <c r="D678" s="227">
        <f>(D616/D613)*L91</f>
        <v>0</v>
      </c>
      <c r="E678" s="229">
        <f>(E624/E613)*SUM(C678:D678)</f>
        <v>0</v>
      </c>
      <c r="F678" s="229">
        <f>(F625/F613)*L65</f>
        <v>0</v>
      </c>
      <c r="G678" s="227">
        <f>(G626/G613)*L92</f>
        <v>0</v>
      </c>
      <c r="H678" s="229">
        <f>(H629/H613)*L61</f>
        <v>0</v>
      </c>
      <c r="I678" s="227">
        <f>(I630/I613)*L93</f>
        <v>0</v>
      </c>
      <c r="J678" s="227">
        <f>(J631/J613)*L94</f>
        <v>0</v>
      </c>
      <c r="K678" s="227">
        <f>(K645/K613)*L90</f>
        <v>0</v>
      </c>
      <c r="L678" s="227" t="e">
        <f>(L648/L613)*L95</f>
        <v>#DIV/0!</v>
      </c>
      <c r="M678" s="211" t="e">
        <f t="shared" si="0"/>
        <v>#DIV/0!</v>
      </c>
      <c r="N678" s="221" t="s">
        <v>630</v>
      </c>
    </row>
    <row r="679" spans="1:14" s="211" customFormat="1" ht="12.65" customHeight="1" x14ac:dyDescent="0.3">
      <c r="A679" s="222">
        <v>6330</v>
      </c>
      <c r="B679" s="221" t="s">
        <v>631</v>
      </c>
      <c r="C679" s="227" t="str">
        <f>M86</f>
        <v>x</v>
      </c>
      <c r="D679" s="227">
        <f>(D616/D613)*M91</f>
        <v>0</v>
      </c>
      <c r="E679" s="229">
        <f>(E624/E613)*SUM(C679:D679)</f>
        <v>0</v>
      </c>
      <c r="F679" s="229">
        <f>(F625/F613)*M65</f>
        <v>0</v>
      </c>
      <c r="G679" s="227">
        <f>(G626/G613)*M92</f>
        <v>0</v>
      </c>
      <c r="H679" s="229">
        <f>(H629/H613)*M61</f>
        <v>0</v>
      </c>
      <c r="I679" s="227">
        <f>(I630/I613)*M93</f>
        <v>0</v>
      </c>
      <c r="J679" s="227">
        <f>(J631/J613)*M94</f>
        <v>0</v>
      </c>
      <c r="K679" s="227">
        <f>(K645/K613)*M90</f>
        <v>0</v>
      </c>
      <c r="L679" s="227" t="e">
        <f>(L648/L613)*M95</f>
        <v>#DIV/0!</v>
      </c>
      <c r="M679" s="211" t="e">
        <f t="shared" si="0"/>
        <v>#DIV/0!</v>
      </c>
      <c r="N679" s="221" t="s">
        <v>632</v>
      </c>
    </row>
    <row r="680" spans="1:14" s="211" customFormat="1" ht="12.65" customHeight="1" x14ac:dyDescent="0.3">
      <c r="A680" s="222">
        <v>6400</v>
      </c>
      <c r="B680" s="221" t="s">
        <v>633</v>
      </c>
      <c r="C680" s="227" t="str">
        <f>N86</f>
        <v>x</v>
      </c>
      <c r="D680" s="227">
        <f>(D616/D613)*N91</f>
        <v>0</v>
      </c>
      <c r="E680" s="229">
        <f>(E624/E613)*SUM(C680:D680)</f>
        <v>0</v>
      </c>
      <c r="F680" s="229">
        <f>(F625/F613)*N65</f>
        <v>0</v>
      </c>
      <c r="G680" s="227">
        <f>(G626/G613)*N92</f>
        <v>0</v>
      </c>
      <c r="H680" s="229">
        <f>(H629/H613)*N61</f>
        <v>0</v>
      </c>
      <c r="I680" s="227">
        <f>(I630/I613)*N93</f>
        <v>0</v>
      </c>
      <c r="J680" s="227">
        <f>(J631/J613)*N94</f>
        <v>0</v>
      </c>
      <c r="K680" s="227">
        <f>(K645/K613)*N90</f>
        <v>0</v>
      </c>
      <c r="L680" s="227" t="e">
        <f>(L648/L613)*N95</f>
        <v>#DIV/0!</v>
      </c>
      <c r="M680" s="211" t="e">
        <f t="shared" si="0"/>
        <v>#DIV/0!</v>
      </c>
      <c r="N680" s="221" t="s">
        <v>634</v>
      </c>
    </row>
    <row r="681" spans="1:14" s="211" customFormat="1" ht="12.65" customHeight="1" x14ac:dyDescent="0.3">
      <c r="A681" s="222">
        <v>7010</v>
      </c>
      <c r="B681" s="221" t="s">
        <v>635</v>
      </c>
      <c r="C681" s="227" t="str">
        <f>O86</f>
        <v>x</v>
      </c>
      <c r="D681" s="227">
        <f>(D616/D613)*O91</f>
        <v>0</v>
      </c>
      <c r="E681" s="229">
        <f>(E624/E613)*SUM(C681:D681)</f>
        <v>0</v>
      </c>
      <c r="F681" s="229">
        <f>(F625/F613)*O65</f>
        <v>0</v>
      </c>
      <c r="G681" s="227">
        <f>(G626/G613)*O92</f>
        <v>0</v>
      </c>
      <c r="H681" s="229">
        <f>(H629/H613)*O61</f>
        <v>0</v>
      </c>
      <c r="I681" s="227">
        <f>(I630/I613)*O93</f>
        <v>0</v>
      </c>
      <c r="J681" s="227">
        <f>(J631/J613)*O94</f>
        <v>0</v>
      </c>
      <c r="K681" s="227">
        <f>(K645/K613)*O90</f>
        <v>0</v>
      </c>
      <c r="L681" s="227" t="e">
        <f>(L648/L613)*O95</f>
        <v>#DIV/0!</v>
      </c>
      <c r="M681" s="211" t="e">
        <f t="shared" si="0"/>
        <v>#DIV/0!</v>
      </c>
      <c r="N681" s="221" t="s">
        <v>636</v>
      </c>
    </row>
    <row r="682" spans="1:14" s="211" customFormat="1" ht="12.65" customHeight="1" x14ac:dyDescent="0.3">
      <c r="A682" s="222">
        <v>7020</v>
      </c>
      <c r="B682" s="221" t="s">
        <v>637</v>
      </c>
      <c r="C682" s="227" t="str">
        <f>P86</f>
        <v>x</v>
      </c>
      <c r="D682" s="227">
        <f>(D616/D613)*P91</f>
        <v>0</v>
      </c>
      <c r="E682" s="229">
        <f>(E624/E613)*SUM(C682:D682)</f>
        <v>0</v>
      </c>
      <c r="F682" s="229">
        <f>(F625/F613)*P65</f>
        <v>0</v>
      </c>
      <c r="G682" s="227">
        <f>(G626/G613)*P92</f>
        <v>0</v>
      </c>
      <c r="H682" s="229">
        <f>(H629/H613)*P61</f>
        <v>0</v>
      </c>
      <c r="I682" s="227">
        <f>(I630/I613)*P93</f>
        <v>0</v>
      </c>
      <c r="J682" s="227">
        <f>(J631/J613)*P94</f>
        <v>0</v>
      </c>
      <c r="K682" s="227">
        <f>(K645/K613)*P90</f>
        <v>0</v>
      </c>
      <c r="L682" s="227" t="e">
        <f>(L648/L613)*P95</f>
        <v>#DIV/0!</v>
      </c>
      <c r="M682" s="211" t="e">
        <f t="shared" si="0"/>
        <v>#DIV/0!</v>
      </c>
      <c r="N682" s="221" t="s">
        <v>638</v>
      </c>
    </row>
    <row r="683" spans="1:14" s="211" customFormat="1" ht="12.65" customHeight="1" x14ac:dyDescent="0.3">
      <c r="A683" s="222">
        <v>7030</v>
      </c>
      <c r="B683" s="221" t="s">
        <v>639</v>
      </c>
      <c r="C683" s="227" t="str">
        <f>Q86</f>
        <v>x</v>
      </c>
      <c r="D683" s="227">
        <f>(D616/D613)*Q91</f>
        <v>0</v>
      </c>
      <c r="E683" s="229">
        <f>(E624/E613)*SUM(C683:D683)</f>
        <v>0</v>
      </c>
      <c r="F683" s="229">
        <f>(F625/F613)*Q65</f>
        <v>0</v>
      </c>
      <c r="G683" s="227">
        <f>(G626/G613)*Q92</f>
        <v>0</v>
      </c>
      <c r="H683" s="229">
        <f>(H629/H613)*Q61</f>
        <v>0</v>
      </c>
      <c r="I683" s="227">
        <f>(I630/I613)*Q93</f>
        <v>0</v>
      </c>
      <c r="J683" s="227">
        <f>(J631/J613)*Q94</f>
        <v>0</v>
      </c>
      <c r="K683" s="227">
        <f>(K645/K613)*Q90</f>
        <v>0</v>
      </c>
      <c r="L683" s="227" t="e">
        <f>(L648/L613)*Q95</f>
        <v>#DIV/0!</v>
      </c>
      <c r="M683" s="211" t="e">
        <f t="shared" si="0"/>
        <v>#DIV/0!</v>
      </c>
      <c r="N683" s="221" t="s">
        <v>640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>
        <f>(E624/E613)*SUM(C684:D684)</f>
        <v>0</v>
      </c>
      <c r="F684" s="229">
        <f>(F625/F613)*R65</f>
        <v>0</v>
      </c>
      <c r="G684" s="227">
        <f>(G626/G613)*R92</f>
        <v>0</v>
      </c>
      <c r="H684" s="229">
        <f>(H629/H613)*R61</f>
        <v>0</v>
      </c>
      <c r="I684" s="227">
        <f>(I630/I613)*R93</f>
        <v>0</v>
      </c>
      <c r="J684" s="227">
        <f>(J631/J613)*R94</f>
        <v>0</v>
      </c>
      <c r="K684" s="227">
        <f>(K645/K613)*R90</f>
        <v>0</v>
      </c>
      <c r="L684" s="227" t="e">
        <f>(L648/L613)*R95</f>
        <v>#DIV/0!</v>
      </c>
      <c r="M684" s="211" t="e">
        <f t="shared" si="0"/>
        <v>#DIV/0!</v>
      </c>
      <c r="N684" s="221" t="s">
        <v>641</v>
      </c>
    </row>
    <row r="685" spans="1:14" s="211" customFormat="1" ht="12.65" customHeight="1" x14ac:dyDescent="0.3">
      <c r="A685" s="222">
        <v>7050</v>
      </c>
      <c r="B685" s="221" t="s">
        <v>642</v>
      </c>
      <c r="C685" s="227" t="str">
        <f>S86</f>
        <v>x</v>
      </c>
      <c r="D685" s="227">
        <f>(D616/D613)*S91</f>
        <v>0</v>
      </c>
      <c r="E685" s="229">
        <f>(E624/E613)*SUM(C685:D685)</f>
        <v>0</v>
      </c>
      <c r="F685" s="229">
        <f>(F625/F613)*S65</f>
        <v>0</v>
      </c>
      <c r="G685" s="227">
        <f>(G626/G613)*S92</f>
        <v>0</v>
      </c>
      <c r="H685" s="229">
        <f>(H629/H613)*S61</f>
        <v>0</v>
      </c>
      <c r="I685" s="227">
        <f>(I630/I613)*S93</f>
        <v>0</v>
      </c>
      <c r="J685" s="227">
        <f>(J631/J613)*S94</f>
        <v>0</v>
      </c>
      <c r="K685" s="227">
        <f>(K645/K613)*S90</f>
        <v>0</v>
      </c>
      <c r="L685" s="227" t="e">
        <f>(L648/L613)*S95</f>
        <v>#DIV/0!</v>
      </c>
      <c r="M685" s="211" t="e">
        <f t="shared" si="0"/>
        <v>#DIV/0!</v>
      </c>
      <c r="N685" s="221" t="s">
        <v>643</v>
      </c>
    </row>
    <row r="686" spans="1:14" s="211" customFormat="1" ht="12.65" customHeight="1" x14ac:dyDescent="0.3">
      <c r="A686" s="222">
        <v>7060</v>
      </c>
      <c r="B686" s="221" t="s">
        <v>644</v>
      </c>
      <c r="C686" s="227" t="str">
        <f>T86</f>
        <v>x</v>
      </c>
      <c r="D686" s="227">
        <f>(D616/D613)*T91</f>
        <v>0</v>
      </c>
      <c r="E686" s="229">
        <f>(E624/E613)*SUM(C686:D686)</f>
        <v>0</v>
      </c>
      <c r="F686" s="229">
        <f>(F625/F613)*T65</f>
        <v>0</v>
      </c>
      <c r="G686" s="227">
        <f>(G626/G613)*T92</f>
        <v>0</v>
      </c>
      <c r="H686" s="229">
        <f>(H629/H613)*T61</f>
        <v>0</v>
      </c>
      <c r="I686" s="227">
        <f>(I630/I613)*T93</f>
        <v>0</v>
      </c>
      <c r="J686" s="227">
        <f>(J631/J613)*T94</f>
        <v>0</v>
      </c>
      <c r="K686" s="227">
        <f>(K645/K613)*T90</f>
        <v>0</v>
      </c>
      <c r="L686" s="227" t="e">
        <f>(L648/L613)*T95</f>
        <v>#DIV/0!</v>
      </c>
      <c r="M686" s="211" t="e">
        <f t="shared" si="0"/>
        <v>#DIV/0!</v>
      </c>
      <c r="N686" s="221" t="s">
        <v>645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>
        <f>(E624/E613)*SUM(C687:D687)</f>
        <v>0</v>
      </c>
      <c r="F687" s="229">
        <f>(F625/F613)*U65</f>
        <v>0</v>
      </c>
      <c r="G687" s="227">
        <f>(G626/G613)*U92</f>
        <v>0</v>
      </c>
      <c r="H687" s="229">
        <f>(H629/H613)*U61</f>
        <v>0</v>
      </c>
      <c r="I687" s="227">
        <f>(I630/I613)*U93</f>
        <v>0</v>
      </c>
      <c r="J687" s="227">
        <f>(J631/J613)*U94</f>
        <v>0</v>
      </c>
      <c r="K687" s="227">
        <f>(K645/K613)*U90</f>
        <v>0</v>
      </c>
      <c r="L687" s="227" t="e">
        <f>(L648/L613)*U95</f>
        <v>#DIV/0!</v>
      </c>
      <c r="M687" s="211" t="e">
        <f t="shared" si="0"/>
        <v>#DIV/0!</v>
      </c>
      <c r="N687" s="221" t="s">
        <v>646</v>
      </c>
    </row>
    <row r="688" spans="1:14" s="211" customFormat="1" ht="12.65" customHeight="1" x14ac:dyDescent="0.3">
      <c r="A688" s="222">
        <v>7110</v>
      </c>
      <c r="B688" s="221" t="s">
        <v>647</v>
      </c>
      <c r="C688" s="227" t="str">
        <f>V86</f>
        <v>x</v>
      </c>
      <c r="D688" s="227">
        <f>(D616/D613)*V91</f>
        <v>0</v>
      </c>
      <c r="E688" s="229">
        <f>(E624/E613)*SUM(C688:D688)</f>
        <v>0</v>
      </c>
      <c r="F688" s="229">
        <f>(F625/F613)*V65</f>
        <v>0</v>
      </c>
      <c r="G688" s="227">
        <f>(G626/G613)*V92</f>
        <v>0</v>
      </c>
      <c r="H688" s="229">
        <f>(H629/H613)*V61</f>
        <v>0</v>
      </c>
      <c r="I688" s="227">
        <f>(I630/I613)*V93</f>
        <v>0</v>
      </c>
      <c r="J688" s="227">
        <f>(J631/J613)*V94</f>
        <v>0</v>
      </c>
      <c r="K688" s="227">
        <f>(K645/K613)*V90</f>
        <v>0</v>
      </c>
      <c r="L688" s="227" t="e">
        <f>(L648/L613)*V95</f>
        <v>#DIV/0!</v>
      </c>
      <c r="M688" s="211" t="e">
        <f t="shared" si="0"/>
        <v>#DIV/0!</v>
      </c>
      <c r="N688" s="221" t="s">
        <v>648</v>
      </c>
    </row>
    <row r="689" spans="1:14" s="211" customFormat="1" ht="12.65" customHeight="1" x14ac:dyDescent="0.3">
      <c r="A689" s="222">
        <v>7120</v>
      </c>
      <c r="B689" s="221" t="s">
        <v>649</v>
      </c>
      <c r="C689" s="227" t="str">
        <f>W86</f>
        <v>x</v>
      </c>
      <c r="D689" s="227">
        <f>(D616/D613)*W91</f>
        <v>0</v>
      </c>
      <c r="E689" s="229">
        <f>(E624/E613)*SUM(C689:D689)</f>
        <v>0</v>
      </c>
      <c r="F689" s="229">
        <f>(F625/F613)*W65</f>
        <v>0</v>
      </c>
      <c r="G689" s="227">
        <f>(G626/G613)*W92</f>
        <v>0</v>
      </c>
      <c r="H689" s="229">
        <f>(H629/H613)*W61</f>
        <v>0</v>
      </c>
      <c r="I689" s="227">
        <f>(I630/I613)*W93</f>
        <v>0</v>
      </c>
      <c r="J689" s="227">
        <f>(J631/J613)*W94</f>
        <v>0</v>
      </c>
      <c r="K689" s="227">
        <f>(K645/K613)*W90</f>
        <v>0</v>
      </c>
      <c r="L689" s="227" t="e">
        <f>(L648/L613)*W95</f>
        <v>#DIV/0!</v>
      </c>
      <c r="M689" s="211" t="e">
        <f t="shared" si="0"/>
        <v>#DIV/0!</v>
      </c>
      <c r="N689" s="221" t="s">
        <v>650</v>
      </c>
    </row>
    <row r="690" spans="1:14" s="211" customFormat="1" ht="12.65" customHeight="1" x14ac:dyDescent="0.3">
      <c r="A690" s="222">
        <v>7130</v>
      </c>
      <c r="B690" s="221" t="s">
        <v>651</v>
      </c>
      <c r="C690" s="227" t="str">
        <f>X86</f>
        <v>x</v>
      </c>
      <c r="D690" s="227">
        <f>(D616/D613)*X91</f>
        <v>0</v>
      </c>
      <c r="E690" s="229">
        <f>(E624/E613)*SUM(C690:D690)</f>
        <v>0</v>
      </c>
      <c r="F690" s="229">
        <f>(F625/F613)*X65</f>
        <v>0</v>
      </c>
      <c r="G690" s="227">
        <f>(G626/G613)*X92</f>
        <v>0</v>
      </c>
      <c r="H690" s="229">
        <f>(H629/H613)*X61</f>
        <v>0</v>
      </c>
      <c r="I690" s="227">
        <f>(I630/I613)*X93</f>
        <v>0</v>
      </c>
      <c r="J690" s="227">
        <f>(J631/J613)*X94</f>
        <v>0</v>
      </c>
      <c r="K690" s="227">
        <f>(K645/K613)*X90</f>
        <v>0</v>
      </c>
      <c r="L690" s="227" t="e">
        <f>(L648/L613)*X95</f>
        <v>#DIV/0!</v>
      </c>
      <c r="M690" s="211" t="e">
        <f t="shared" si="0"/>
        <v>#DIV/0!</v>
      </c>
      <c r="N690" s="221" t="s">
        <v>652</v>
      </c>
    </row>
    <row r="691" spans="1:14" s="211" customFormat="1" ht="12.65" customHeight="1" x14ac:dyDescent="0.3">
      <c r="A691" s="222">
        <v>7140</v>
      </c>
      <c r="B691" s="221" t="s">
        <v>653</v>
      </c>
      <c r="C691" s="227" t="str">
        <f>Y86</f>
        <v>x</v>
      </c>
      <c r="D691" s="227">
        <f>(D616/D613)*Y91</f>
        <v>0</v>
      </c>
      <c r="E691" s="229">
        <f>(E624/E613)*SUM(C691:D691)</f>
        <v>0</v>
      </c>
      <c r="F691" s="229">
        <f>(F625/F613)*Y65</f>
        <v>0</v>
      </c>
      <c r="G691" s="227">
        <f>(G626/G613)*Y92</f>
        <v>0</v>
      </c>
      <c r="H691" s="229">
        <f>(H629/H613)*Y61</f>
        <v>0</v>
      </c>
      <c r="I691" s="227">
        <f>(I630/I613)*Y93</f>
        <v>0</v>
      </c>
      <c r="J691" s="227">
        <f>(J631/J613)*Y94</f>
        <v>0</v>
      </c>
      <c r="K691" s="227">
        <f>(K645/K613)*Y90</f>
        <v>0</v>
      </c>
      <c r="L691" s="227" t="e">
        <f>(L648/L613)*Y95</f>
        <v>#DIV/0!</v>
      </c>
      <c r="M691" s="211" t="e">
        <f t="shared" si="0"/>
        <v>#DIV/0!</v>
      </c>
      <c r="N691" s="221" t="s">
        <v>654</v>
      </c>
    </row>
    <row r="692" spans="1:14" s="211" customFormat="1" ht="12.65" customHeight="1" x14ac:dyDescent="0.3">
      <c r="A692" s="222">
        <v>7150</v>
      </c>
      <c r="B692" s="221" t="s">
        <v>655</v>
      </c>
      <c r="C692" s="227" t="str">
        <f>Z86</f>
        <v>x</v>
      </c>
      <c r="D692" s="227">
        <f>(D616/D613)*Z91</f>
        <v>0</v>
      </c>
      <c r="E692" s="229">
        <f>(E624/E613)*SUM(C692:D692)</f>
        <v>0</v>
      </c>
      <c r="F692" s="229">
        <f>(F625/F613)*Z65</f>
        <v>0</v>
      </c>
      <c r="G692" s="227">
        <f>(G626/G613)*Z92</f>
        <v>0</v>
      </c>
      <c r="H692" s="229">
        <f>(H629/H613)*Z61</f>
        <v>0</v>
      </c>
      <c r="I692" s="227">
        <f>(I630/I613)*Z93</f>
        <v>0</v>
      </c>
      <c r="J692" s="227">
        <f>(J631/J613)*Z94</f>
        <v>0</v>
      </c>
      <c r="K692" s="227">
        <f>(K645/K613)*Z90</f>
        <v>0</v>
      </c>
      <c r="L692" s="227" t="e">
        <f>(L648/L613)*Z95</f>
        <v>#DIV/0!</v>
      </c>
      <c r="M692" s="211" t="e">
        <f t="shared" si="0"/>
        <v>#DIV/0!</v>
      </c>
      <c r="N692" s="221" t="s">
        <v>656</v>
      </c>
    </row>
    <row r="693" spans="1:14" s="211" customFormat="1" ht="12.65" customHeight="1" x14ac:dyDescent="0.3">
      <c r="A693" s="222">
        <v>7160</v>
      </c>
      <c r="B693" s="221" t="s">
        <v>657</v>
      </c>
      <c r="C693" s="227" t="str">
        <f>AA86</f>
        <v>x</v>
      </c>
      <c r="D693" s="227">
        <f>(D616/D613)*AA91</f>
        <v>0</v>
      </c>
      <c r="E693" s="229">
        <f>(E624/E613)*SUM(C693:D693)</f>
        <v>0</v>
      </c>
      <c r="F693" s="229">
        <f>(F625/F613)*AA65</f>
        <v>0</v>
      </c>
      <c r="G693" s="227">
        <f>(G626/G613)*AA92</f>
        <v>0</v>
      </c>
      <c r="H693" s="229">
        <f>(H629/H613)*AA61</f>
        <v>0</v>
      </c>
      <c r="I693" s="227">
        <f>(I630/I613)*AA93</f>
        <v>0</v>
      </c>
      <c r="J693" s="227">
        <f>(J631/J613)*AA94</f>
        <v>0</v>
      </c>
      <c r="K693" s="227">
        <f>(K645/K613)*AA90</f>
        <v>0</v>
      </c>
      <c r="L693" s="227" t="e">
        <f>(L648/L613)*AA95</f>
        <v>#DIV/0!</v>
      </c>
      <c r="M693" s="211" t="e">
        <f t="shared" si="0"/>
        <v>#DIV/0!</v>
      </c>
      <c r="N693" s="221" t="s">
        <v>658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>
        <f>(E624/E613)*SUM(C694:D694)</f>
        <v>0</v>
      </c>
      <c r="F694" s="229">
        <f>(F625/F613)*AB65</f>
        <v>0</v>
      </c>
      <c r="G694" s="227">
        <f>(G626/G613)*AB92</f>
        <v>0</v>
      </c>
      <c r="H694" s="229">
        <f>(H629/H613)*AB61</f>
        <v>0</v>
      </c>
      <c r="I694" s="227">
        <f>(I630/I613)*AB93</f>
        <v>0</v>
      </c>
      <c r="J694" s="227">
        <f>(J631/J613)*AB94</f>
        <v>0</v>
      </c>
      <c r="K694" s="227">
        <f>(K645/K613)*AB90</f>
        <v>0</v>
      </c>
      <c r="L694" s="227" t="e">
        <f>(L648/L613)*AB95</f>
        <v>#DIV/0!</v>
      </c>
      <c r="M694" s="211" t="e">
        <f t="shared" si="0"/>
        <v>#DIV/0!</v>
      </c>
      <c r="N694" s="221" t="s">
        <v>659</v>
      </c>
    </row>
    <row r="695" spans="1:14" s="211" customFormat="1" ht="12.65" customHeight="1" x14ac:dyDescent="0.3">
      <c r="A695" s="222">
        <v>7180</v>
      </c>
      <c r="B695" s="221" t="s">
        <v>660</v>
      </c>
      <c r="C695" s="227" t="str">
        <f>AC86</f>
        <v>x</v>
      </c>
      <c r="D695" s="227">
        <f>(D616/D613)*AC91</f>
        <v>0</v>
      </c>
      <c r="E695" s="229">
        <f>(E624/E613)*SUM(C695:D695)</f>
        <v>0</v>
      </c>
      <c r="F695" s="229">
        <f>(F625/F613)*AC65</f>
        <v>0</v>
      </c>
      <c r="G695" s="227">
        <f>(G626/G613)*AC92</f>
        <v>0</v>
      </c>
      <c r="H695" s="229">
        <f>(H629/H613)*AC61</f>
        <v>0</v>
      </c>
      <c r="I695" s="227">
        <f>(I630/I613)*AC93</f>
        <v>0</v>
      </c>
      <c r="J695" s="227">
        <f>(J631/J613)*AC94</f>
        <v>0</v>
      </c>
      <c r="K695" s="227">
        <f>(K645/K613)*AC90</f>
        <v>0</v>
      </c>
      <c r="L695" s="227" t="e">
        <f>(L648/L613)*AC95</f>
        <v>#DIV/0!</v>
      </c>
      <c r="M695" s="211" t="e">
        <f t="shared" si="0"/>
        <v>#DIV/0!</v>
      </c>
      <c r="N695" s="221" t="s">
        <v>661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>
        <f>(E624/E613)*SUM(C696:D696)</f>
        <v>0</v>
      </c>
      <c r="F696" s="229">
        <f>(F625/F613)*AD65</f>
        <v>0</v>
      </c>
      <c r="G696" s="227">
        <f>(G626/G613)*AD92</f>
        <v>0</v>
      </c>
      <c r="H696" s="229">
        <f>(H629/H613)*AD61</f>
        <v>0</v>
      </c>
      <c r="I696" s="227">
        <f>(I630/I613)*AD93</f>
        <v>0</v>
      </c>
      <c r="J696" s="227">
        <f>(J631/J613)*AD94</f>
        <v>0</v>
      </c>
      <c r="K696" s="227">
        <f>(K645/K613)*AD90</f>
        <v>0</v>
      </c>
      <c r="L696" s="227" t="e">
        <f>(L648/L613)*AD95</f>
        <v>#DIV/0!</v>
      </c>
      <c r="M696" s="211" t="e">
        <f t="shared" si="0"/>
        <v>#DIV/0!</v>
      </c>
      <c r="N696" s="221" t="s">
        <v>662</v>
      </c>
    </row>
    <row r="697" spans="1:14" s="211" customFormat="1" ht="12.65" customHeight="1" x14ac:dyDescent="0.3">
      <c r="A697" s="222">
        <v>7200</v>
      </c>
      <c r="B697" s="221" t="s">
        <v>663</v>
      </c>
      <c r="C697" s="227" t="str">
        <f>AE86</f>
        <v>x</v>
      </c>
      <c r="D697" s="227">
        <f>(D616/D613)*AE91</f>
        <v>0</v>
      </c>
      <c r="E697" s="229">
        <f>(E624/E613)*SUM(C697:D697)</f>
        <v>0</v>
      </c>
      <c r="F697" s="229">
        <f>(F625/F613)*AE65</f>
        <v>0</v>
      </c>
      <c r="G697" s="227">
        <f>(G626/G613)*AE92</f>
        <v>0</v>
      </c>
      <c r="H697" s="229">
        <f>(H629/H613)*AE61</f>
        <v>0</v>
      </c>
      <c r="I697" s="227">
        <f>(I630/I613)*AE93</f>
        <v>0</v>
      </c>
      <c r="J697" s="227">
        <f>(J631/J613)*AE94</f>
        <v>0</v>
      </c>
      <c r="K697" s="227">
        <f>(K645/K613)*AE90</f>
        <v>0</v>
      </c>
      <c r="L697" s="227" t="e">
        <f>(L648/L613)*AE95</f>
        <v>#DIV/0!</v>
      </c>
      <c r="M697" s="211" t="e">
        <f t="shared" si="0"/>
        <v>#DIV/0!</v>
      </c>
      <c r="N697" s="221" t="s">
        <v>664</v>
      </c>
    </row>
    <row r="698" spans="1:14" s="211" customFormat="1" ht="12.65" customHeight="1" x14ac:dyDescent="0.3">
      <c r="A698" s="222">
        <v>7220</v>
      </c>
      <c r="B698" s="221" t="s">
        <v>665</v>
      </c>
      <c r="C698" s="227" t="str">
        <f>AF86</f>
        <v>x</v>
      </c>
      <c r="D698" s="227">
        <f>(D616/D613)*AF91</f>
        <v>0</v>
      </c>
      <c r="E698" s="229">
        <f>(E624/E613)*SUM(C698:D698)</f>
        <v>0</v>
      </c>
      <c r="F698" s="229">
        <f>(F625/F613)*AF65</f>
        <v>0</v>
      </c>
      <c r="G698" s="227">
        <f>(G626/G613)*AF92</f>
        <v>0</v>
      </c>
      <c r="H698" s="229">
        <f>(H629/H613)*AF61</f>
        <v>0</v>
      </c>
      <c r="I698" s="227">
        <f>(I630/I613)*AF93</f>
        <v>0</v>
      </c>
      <c r="J698" s="227">
        <f>(J631/J613)*AF94</f>
        <v>0</v>
      </c>
      <c r="K698" s="227">
        <f>(K645/K613)*AF90</f>
        <v>0</v>
      </c>
      <c r="L698" s="227" t="e">
        <f>(L648/L613)*AF95</f>
        <v>#DIV/0!</v>
      </c>
      <c r="M698" s="211" t="e">
        <f t="shared" si="0"/>
        <v>#DIV/0!</v>
      </c>
      <c r="N698" s="221" t="s">
        <v>666</v>
      </c>
    </row>
    <row r="699" spans="1:14" s="211" customFormat="1" ht="12.65" customHeight="1" x14ac:dyDescent="0.3">
      <c r="A699" s="222">
        <v>7230</v>
      </c>
      <c r="B699" s="221" t="s">
        <v>667</v>
      </c>
      <c r="C699" s="227" t="str">
        <f>AG86</f>
        <v>x</v>
      </c>
      <c r="D699" s="227">
        <f>(D616/D613)*AG91</f>
        <v>0</v>
      </c>
      <c r="E699" s="229">
        <f>(E624/E613)*SUM(C699:D699)</f>
        <v>0</v>
      </c>
      <c r="F699" s="229">
        <f>(F625/F613)*AG65</f>
        <v>0</v>
      </c>
      <c r="G699" s="227">
        <f>(G626/G613)*AG92</f>
        <v>0</v>
      </c>
      <c r="H699" s="229">
        <f>(H629/H613)*AG61</f>
        <v>0</v>
      </c>
      <c r="I699" s="227">
        <f>(I630/I613)*AG93</f>
        <v>0</v>
      </c>
      <c r="J699" s="227">
        <f>(J631/J613)*AG94</f>
        <v>0</v>
      </c>
      <c r="K699" s="227">
        <f>(K645/K613)*AG90</f>
        <v>0</v>
      </c>
      <c r="L699" s="227" t="e">
        <f>(L648/L613)*AG95</f>
        <v>#DIV/0!</v>
      </c>
      <c r="M699" s="211" t="e">
        <f t="shared" si="0"/>
        <v>#DIV/0!</v>
      </c>
      <c r="N699" s="221" t="s">
        <v>668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>
        <f>(E624/E613)*SUM(C700:D700)</f>
        <v>0</v>
      </c>
      <c r="F700" s="229">
        <f>(F625/F613)*AH65</f>
        <v>0</v>
      </c>
      <c r="G700" s="227">
        <f>(G626/G613)*AH92</f>
        <v>0</v>
      </c>
      <c r="H700" s="229">
        <f>(H629/H613)*AH61</f>
        <v>0</v>
      </c>
      <c r="I700" s="227">
        <f>(I630/I613)*AH93</f>
        <v>0</v>
      </c>
      <c r="J700" s="227">
        <f>(J631/J613)*AH94</f>
        <v>0</v>
      </c>
      <c r="K700" s="227">
        <f>(K645/K613)*AH90</f>
        <v>0</v>
      </c>
      <c r="L700" s="227" t="e">
        <f>(L648/L613)*AH95</f>
        <v>#DIV/0!</v>
      </c>
      <c r="M700" s="211" t="e">
        <f t="shared" si="0"/>
        <v>#DIV/0!</v>
      </c>
      <c r="N700" s="221" t="s">
        <v>669</v>
      </c>
    </row>
    <row r="701" spans="1:14" s="211" customFormat="1" ht="12.65" customHeight="1" x14ac:dyDescent="0.3">
      <c r="A701" s="222">
        <v>7250</v>
      </c>
      <c r="B701" s="221" t="s">
        <v>670</v>
      </c>
      <c r="C701" s="227" t="str">
        <f>AI86</f>
        <v>x</v>
      </c>
      <c r="D701" s="227">
        <f>(D616/D613)*AI91</f>
        <v>0</v>
      </c>
      <c r="E701" s="229">
        <f>(E624/E613)*SUM(C701:D701)</f>
        <v>0</v>
      </c>
      <c r="F701" s="229">
        <f>(F625/F613)*AI65</f>
        <v>0</v>
      </c>
      <c r="G701" s="227">
        <f>(G626/G613)*AI92</f>
        <v>0</v>
      </c>
      <c r="H701" s="229">
        <f>(H629/H613)*AI61</f>
        <v>0</v>
      </c>
      <c r="I701" s="227">
        <f>(I630/I613)*AI93</f>
        <v>0</v>
      </c>
      <c r="J701" s="227">
        <f>(J631/J613)*AI94</f>
        <v>0</v>
      </c>
      <c r="K701" s="227">
        <f>(K645/K613)*AI90</f>
        <v>0</v>
      </c>
      <c r="L701" s="227" t="e">
        <f>(L648/L613)*AI95</f>
        <v>#DIV/0!</v>
      </c>
      <c r="M701" s="211" t="e">
        <f t="shared" si="0"/>
        <v>#DIV/0!</v>
      </c>
      <c r="N701" s="221" t="s">
        <v>671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>
        <f>(E624/E613)*SUM(C702:D702)</f>
        <v>0</v>
      </c>
      <c r="F702" s="229">
        <f>(F625/F613)*AJ65</f>
        <v>0</v>
      </c>
      <c r="G702" s="227">
        <f>(G626/G613)*AJ92</f>
        <v>0</v>
      </c>
      <c r="H702" s="229">
        <f>(H629/H613)*AJ61</f>
        <v>0</v>
      </c>
      <c r="I702" s="227">
        <f>(I630/I613)*AJ93</f>
        <v>0</v>
      </c>
      <c r="J702" s="227">
        <f>(J631/J613)*AJ94</f>
        <v>0</v>
      </c>
      <c r="K702" s="227">
        <f>(K645/K613)*AJ90</f>
        <v>0</v>
      </c>
      <c r="L702" s="227" t="e">
        <f>(L648/L613)*AJ95</f>
        <v>#DIV/0!</v>
      </c>
      <c r="M702" s="211" t="e">
        <f t="shared" si="0"/>
        <v>#DIV/0!</v>
      </c>
      <c r="N702" s="221" t="s">
        <v>672</v>
      </c>
    </row>
    <row r="703" spans="1:14" s="211" customFormat="1" ht="12.65" customHeight="1" x14ac:dyDescent="0.3">
      <c r="A703" s="222">
        <v>7310</v>
      </c>
      <c r="B703" s="221" t="s">
        <v>673</v>
      </c>
      <c r="C703" s="227" t="str">
        <f>AK86</f>
        <v>x</v>
      </c>
      <c r="D703" s="227">
        <f>(D616/D613)*AK91</f>
        <v>0</v>
      </c>
      <c r="E703" s="229">
        <f>(E624/E613)*SUM(C703:D703)</f>
        <v>0</v>
      </c>
      <c r="F703" s="229">
        <f>(F625/F613)*AK65</f>
        <v>0</v>
      </c>
      <c r="G703" s="227">
        <f>(G626/G613)*AK92</f>
        <v>0</v>
      </c>
      <c r="H703" s="229">
        <f>(H629/H613)*AK61</f>
        <v>0</v>
      </c>
      <c r="I703" s="227">
        <f>(I630/I613)*AK93</f>
        <v>0</v>
      </c>
      <c r="J703" s="227">
        <f>(J631/J613)*AK94</f>
        <v>0</v>
      </c>
      <c r="K703" s="227">
        <f>(K645/K613)*AK90</f>
        <v>0</v>
      </c>
      <c r="L703" s="227" t="e">
        <f>(L648/L613)*AK95</f>
        <v>#DIV/0!</v>
      </c>
      <c r="M703" s="211" t="e">
        <f t="shared" si="0"/>
        <v>#DIV/0!</v>
      </c>
      <c r="N703" s="221" t="s">
        <v>674</v>
      </c>
    </row>
    <row r="704" spans="1:14" s="211" customFormat="1" ht="12.65" customHeight="1" x14ac:dyDescent="0.3">
      <c r="A704" s="222">
        <v>7320</v>
      </c>
      <c r="B704" s="221" t="s">
        <v>675</v>
      </c>
      <c r="C704" s="227" t="str">
        <f>AL86</f>
        <v>x</v>
      </c>
      <c r="D704" s="227">
        <f>(D616/D613)*AL91</f>
        <v>0</v>
      </c>
      <c r="E704" s="229">
        <f>(E624/E613)*SUM(C704:D704)</f>
        <v>0</v>
      </c>
      <c r="F704" s="229">
        <f>(F625/F613)*AL65</f>
        <v>0</v>
      </c>
      <c r="G704" s="227">
        <f>(G626/G613)*AL92</f>
        <v>0</v>
      </c>
      <c r="H704" s="229">
        <f>(H629/H613)*AL61</f>
        <v>0</v>
      </c>
      <c r="I704" s="227">
        <f>(I630/I613)*AL93</f>
        <v>0</v>
      </c>
      <c r="J704" s="227">
        <f>(J631/J613)*AL94</f>
        <v>0</v>
      </c>
      <c r="K704" s="227">
        <f>(K645/K613)*AL90</f>
        <v>0</v>
      </c>
      <c r="L704" s="227" t="e">
        <f>(L648/L613)*AL95</f>
        <v>#DIV/0!</v>
      </c>
      <c r="M704" s="211" t="e">
        <f t="shared" si="0"/>
        <v>#DIV/0!</v>
      </c>
      <c r="N704" s="221" t="s">
        <v>676</v>
      </c>
    </row>
    <row r="705" spans="1:14" s="211" customFormat="1" ht="12.65" customHeight="1" x14ac:dyDescent="0.3">
      <c r="A705" s="222">
        <v>7330</v>
      </c>
      <c r="B705" s="221" t="s">
        <v>677</v>
      </c>
      <c r="C705" s="227" t="str">
        <f>AM86</f>
        <v>x</v>
      </c>
      <c r="D705" s="227">
        <f>(D616/D613)*AM91</f>
        <v>0</v>
      </c>
      <c r="E705" s="229">
        <f>(E624/E613)*SUM(C705:D705)</f>
        <v>0</v>
      </c>
      <c r="F705" s="229">
        <f>(F625/F613)*AM65</f>
        <v>0</v>
      </c>
      <c r="G705" s="227">
        <f>(G626/G613)*AM92</f>
        <v>0</v>
      </c>
      <c r="H705" s="229">
        <f>(H629/H613)*AM61</f>
        <v>0</v>
      </c>
      <c r="I705" s="227">
        <f>(I630/I613)*AM93</f>
        <v>0</v>
      </c>
      <c r="J705" s="227">
        <f>(J631/J613)*AM94</f>
        <v>0</v>
      </c>
      <c r="K705" s="227">
        <f>(K645/K613)*AM90</f>
        <v>0</v>
      </c>
      <c r="L705" s="227" t="e">
        <f>(L648/L613)*AM95</f>
        <v>#DIV/0!</v>
      </c>
      <c r="M705" s="211" t="e">
        <f t="shared" si="0"/>
        <v>#DIV/0!</v>
      </c>
      <c r="N705" s="221" t="s">
        <v>678</v>
      </c>
    </row>
    <row r="706" spans="1:14" s="211" customFormat="1" ht="12.65" customHeight="1" x14ac:dyDescent="0.3">
      <c r="A706" s="222">
        <v>7340</v>
      </c>
      <c r="B706" s="221" t="s">
        <v>679</v>
      </c>
      <c r="C706" s="227" t="str">
        <f>AN86</f>
        <v>x</v>
      </c>
      <c r="D706" s="227">
        <f>(D616/D613)*AN91</f>
        <v>0</v>
      </c>
      <c r="E706" s="229">
        <f>(E624/E613)*SUM(C706:D706)</f>
        <v>0</v>
      </c>
      <c r="F706" s="229">
        <f>(F625/F613)*AN65</f>
        <v>0</v>
      </c>
      <c r="G706" s="227">
        <f>(G626/G613)*AN92</f>
        <v>0</v>
      </c>
      <c r="H706" s="229">
        <f>(H629/H613)*AN61</f>
        <v>0</v>
      </c>
      <c r="I706" s="227">
        <f>(I630/I613)*AN93</f>
        <v>0</v>
      </c>
      <c r="J706" s="227">
        <f>(J631/J613)*AN94</f>
        <v>0</v>
      </c>
      <c r="K706" s="227">
        <f>(K645/K613)*AN90</f>
        <v>0</v>
      </c>
      <c r="L706" s="227" t="e">
        <f>(L648/L613)*AN95</f>
        <v>#DIV/0!</v>
      </c>
      <c r="M706" s="211" t="e">
        <f t="shared" si="0"/>
        <v>#DIV/0!</v>
      </c>
      <c r="N706" s="221" t="s">
        <v>680</v>
      </c>
    </row>
    <row r="707" spans="1:14" s="211" customFormat="1" ht="12.65" customHeight="1" x14ac:dyDescent="0.3">
      <c r="A707" s="222">
        <v>7350</v>
      </c>
      <c r="B707" s="221" t="s">
        <v>681</v>
      </c>
      <c r="C707" s="227" t="str">
        <f>AO86</f>
        <v>x</v>
      </c>
      <c r="D707" s="227">
        <f>(D616/D613)*AO91</f>
        <v>0</v>
      </c>
      <c r="E707" s="229">
        <f>(E624/E613)*SUM(C707:D707)</f>
        <v>0</v>
      </c>
      <c r="F707" s="229">
        <f>(F625/F613)*AO65</f>
        <v>0</v>
      </c>
      <c r="G707" s="227">
        <f>(G626/G613)*AO92</f>
        <v>0</v>
      </c>
      <c r="H707" s="229">
        <f>(H629/H613)*AO61</f>
        <v>0</v>
      </c>
      <c r="I707" s="227">
        <f>(I630/I613)*AO93</f>
        <v>0</v>
      </c>
      <c r="J707" s="227">
        <f>(J631/J613)*AO94</f>
        <v>0</v>
      </c>
      <c r="K707" s="227">
        <f>(K645/K613)*AO90</f>
        <v>0</v>
      </c>
      <c r="L707" s="227" t="e">
        <f>(L648/L613)*AO95</f>
        <v>#DIV/0!</v>
      </c>
      <c r="M707" s="211" t="e">
        <f t="shared" si="0"/>
        <v>#DIV/0!</v>
      </c>
      <c r="N707" s="221" t="s">
        <v>682</v>
      </c>
    </row>
    <row r="708" spans="1:14" s="211" customFormat="1" ht="12.65" customHeight="1" x14ac:dyDescent="0.3">
      <c r="A708" s="222">
        <v>7380</v>
      </c>
      <c r="B708" s="221" t="s">
        <v>683</v>
      </c>
      <c r="C708" s="227" t="str">
        <f>AP86</f>
        <v>x</v>
      </c>
      <c r="D708" s="227">
        <f>(D616/D613)*AP91</f>
        <v>0</v>
      </c>
      <c r="E708" s="229">
        <f>(E624/E613)*SUM(C708:D708)</f>
        <v>0</v>
      </c>
      <c r="F708" s="229">
        <f>(F625/F613)*AP65</f>
        <v>0</v>
      </c>
      <c r="G708" s="227">
        <f>(G626/G613)*AP92</f>
        <v>0</v>
      </c>
      <c r="H708" s="229">
        <f>(H629/H613)*AP61</f>
        <v>0</v>
      </c>
      <c r="I708" s="227">
        <f>(I630/I613)*AP93</f>
        <v>0</v>
      </c>
      <c r="J708" s="227">
        <f>(J631/J613)*AP94</f>
        <v>0</v>
      </c>
      <c r="K708" s="227">
        <f>(K645/K613)*AP90</f>
        <v>0</v>
      </c>
      <c r="L708" s="227" t="e">
        <f>(L648/L613)*AP95</f>
        <v>#DIV/0!</v>
      </c>
      <c r="M708" s="211" t="e">
        <f t="shared" si="0"/>
        <v>#DIV/0!</v>
      </c>
      <c r="N708" s="221" t="s">
        <v>684</v>
      </c>
    </row>
    <row r="709" spans="1:14" s="211" customFormat="1" ht="12.65" customHeight="1" x14ac:dyDescent="0.3">
      <c r="A709" s="222">
        <v>7390</v>
      </c>
      <c r="B709" s="221" t="s">
        <v>685</v>
      </c>
      <c r="C709" s="227" t="str">
        <f>AQ86</f>
        <v>x</v>
      </c>
      <c r="D709" s="227">
        <f>(D616/D613)*AQ91</f>
        <v>0</v>
      </c>
      <c r="E709" s="229">
        <f>(E624/E613)*SUM(C709:D709)</f>
        <v>0</v>
      </c>
      <c r="F709" s="229">
        <f>(F625/F613)*AQ65</f>
        <v>0</v>
      </c>
      <c r="G709" s="227">
        <f>(G626/G613)*AQ92</f>
        <v>0</v>
      </c>
      <c r="H709" s="229">
        <f>(H629/H613)*AQ61</f>
        <v>0</v>
      </c>
      <c r="I709" s="227">
        <f>(I630/I613)*AQ93</f>
        <v>0</v>
      </c>
      <c r="J709" s="227">
        <f>(J631/J613)*AQ94</f>
        <v>0</v>
      </c>
      <c r="K709" s="227">
        <f>(K645/K613)*AQ90</f>
        <v>0</v>
      </c>
      <c r="L709" s="227" t="e">
        <f>(L648/L613)*AQ95</f>
        <v>#DIV/0!</v>
      </c>
      <c r="M709" s="211" t="e">
        <f t="shared" si="0"/>
        <v>#DIV/0!</v>
      </c>
      <c r="N709" s="221" t="s">
        <v>686</v>
      </c>
    </row>
    <row r="710" spans="1:14" s="211" customFormat="1" ht="12.65" customHeight="1" x14ac:dyDescent="0.3">
      <c r="A710" s="222">
        <v>7400</v>
      </c>
      <c r="B710" s="221" t="s">
        <v>687</v>
      </c>
      <c r="C710" s="227" t="str">
        <f>AR86</f>
        <v>x</v>
      </c>
      <c r="D710" s="227">
        <f>(D616/D613)*AR91</f>
        <v>0</v>
      </c>
      <c r="E710" s="229">
        <f>(E624/E613)*SUM(C710:D710)</f>
        <v>0</v>
      </c>
      <c r="F710" s="229">
        <f>(F625/F613)*AR65</f>
        <v>0</v>
      </c>
      <c r="G710" s="227">
        <f>(G626/G613)*AR92</f>
        <v>0</v>
      </c>
      <c r="H710" s="229">
        <f>(H629/H613)*AR61</f>
        <v>0</v>
      </c>
      <c r="I710" s="227">
        <f>(I630/I613)*AR93</f>
        <v>0</v>
      </c>
      <c r="J710" s="227">
        <f>(J631/J613)*AR94</f>
        <v>0</v>
      </c>
      <c r="K710" s="227">
        <f>(K645/K613)*AR90</f>
        <v>0</v>
      </c>
      <c r="L710" s="227" t="e">
        <f>(L648/L613)*AR95</f>
        <v>#DIV/0!</v>
      </c>
      <c r="M710" s="211" t="e">
        <f t="shared" si="0"/>
        <v>#DIV/0!</v>
      </c>
      <c r="N710" s="221" t="s">
        <v>688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>
        <f>(E624/E613)*SUM(C711:D711)</f>
        <v>0</v>
      </c>
      <c r="F711" s="229">
        <f>(F625/F613)*AS65</f>
        <v>0</v>
      </c>
      <c r="G711" s="227">
        <f>(G626/G613)*AS92</f>
        <v>0</v>
      </c>
      <c r="H711" s="229">
        <f>(H629/H613)*AS61</f>
        <v>0</v>
      </c>
      <c r="I711" s="227">
        <f>(I630/I613)*AS93</f>
        <v>0</v>
      </c>
      <c r="J711" s="227">
        <f>(J631/J613)*AS94</f>
        <v>0</v>
      </c>
      <c r="K711" s="227">
        <f>(K645/K613)*AS90</f>
        <v>0</v>
      </c>
      <c r="L711" s="227" t="e">
        <f>(L648/L613)*AS95</f>
        <v>#DIV/0!</v>
      </c>
      <c r="M711" s="211" t="e">
        <f t="shared" si="0"/>
        <v>#DIV/0!</v>
      </c>
      <c r="N711" s="221" t="s">
        <v>689</v>
      </c>
    </row>
    <row r="712" spans="1:14" s="211" customFormat="1" ht="12.65" customHeight="1" x14ac:dyDescent="0.3">
      <c r="A712" s="222">
        <v>7420</v>
      </c>
      <c r="B712" s="221" t="s">
        <v>690</v>
      </c>
      <c r="C712" s="227" t="str">
        <f>AT86</f>
        <v>x</v>
      </c>
      <c r="D712" s="227">
        <f>(D616/D613)*AT91</f>
        <v>0</v>
      </c>
      <c r="E712" s="229">
        <f>(E624/E613)*SUM(C712:D712)</f>
        <v>0</v>
      </c>
      <c r="F712" s="229">
        <f>(F625/F613)*AT65</f>
        <v>0</v>
      </c>
      <c r="G712" s="227">
        <f>(G626/G613)*AT92</f>
        <v>0</v>
      </c>
      <c r="H712" s="229">
        <f>(H629/H613)*AT61</f>
        <v>0</v>
      </c>
      <c r="I712" s="227">
        <f>(I630/I613)*AT93</f>
        <v>0</v>
      </c>
      <c r="J712" s="227">
        <f>(J631/J613)*AT94</f>
        <v>0</v>
      </c>
      <c r="K712" s="227">
        <f>(K645/K613)*AT90</f>
        <v>0</v>
      </c>
      <c r="L712" s="227" t="e">
        <f>(L648/L613)*AT95</f>
        <v>#DIV/0!</v>
      </c>
      <c r="M712" s="211" t="e">
        <f t="shared" si="0"/>
        <v>#DIV/0!</v>
      </c>
      <c r="N712" s="221" t="s">
        <v>691</v>
      </c>
    </row>
    <row r="713" spans="1:14" s="211" customFormat="1" ht="12.65" customHeight="1" x14ac:dyDescent="0.3">
      <c r="A713" s="222">
        <v>7430</v>
      </c>
      <c r="B713" s="221" t="s">
        <v>692</v>
      </c>
      <c r="C713" s="227" t="str">
        <f>AU86</f>
        <v>x</v>
      </c>
      <c r="D713" s="227">
        <f>(D616/D613)*AU91</f>
        <v>0</v>
      </c>
      <c r="E713" s="229">
        <f>(E624/E613)*SUM(C713:D713)</f>
        <v>0</v>
      </c>
      <c r="F713" s="229">
        <f>(F625/F613)*AU65</f>
        <v>0</v>
      </c>
      <c r="G713" s="227">
        <f>(G626/G613)*AU92</f>
        <v>0</v>
      </c>
      <c r="H713" s="229">
        <f>(H629/H613)*AU61</f>
        <v>0</v>
      </c>
      <c r="I713" s="227">
        <f>(I630/I613)*AU93</f>
        <v>0</v>
      </c>
      <c r="J713" s="227">
        <f>(J631/J613)*AU94</f>
        <v>0</v>
      </c>
      <c r="K713" s="227">
        <f>(K645/K613)*AU90</f>
        <v>0</v>
      </c>
      <c r="L713" s="227" t="e">
        <f>(L648/L613)*AU95</f>
        <v>#DIV/0!</v>
      </c>
      <c r="M713" s="211" t="e">
        <f t="shared" si="0"/>
        <v>#DIV/0!</v>
      </c>
      <c r="N713" s="221" t="s">
        <v>693</v>
      </c>
    </row>
    <row r="714" spans="1:14" s="211" customFormat="1" ht="12.65" customHeight="1" x14ac:dyDescent="0.3">
      <c r="A714" s="222">
        <v>7490</v>
      </c>
      <c r="B714" s="221" t="s">
        <v>694</v>
      </c>
      <c r="C714" s="227" t="str">
        <f>AV86</f>
        <v>x</v>
      </c>
      <c r="D714" s="227">
        <f>(D616/D613)*AV91</f>
        <v>0</v>
      </c>
      <c r="E714" s="229">
        <f>(E624/E613)*SUM(C714:D714)</f>
        <v>0</v>
      </c>
      <c r="F714" s="229">
        <f>(F625/F613)*AV65</f>
        <v>0</v>
      </c>
      <c r="G714" s="227">
        <f>(G626/G613)*AV92</f>
        <v>0</v>
      </c>
      <c r="H714" s="229">
        <f>(H629/H613)*AV61</f>
        <v>0</v>
      </c>
      <c r="I714" s="227">
        <f>(I630/I613)*AV93</f>
        <v>0</v>
      </c>
      <c r="J714" s="227">
        <f>(J631/J613)*AV94</f>
        <v>0</v>
      </c>
      <c r="K714" s="227">
        <f>(K645/K613)*AV90</f>
        <v>0</v>
      </c>
      <c r="L714" s="227" t="e">
        <f>(L648/L613)*AV95</f>
        <v>#DIV/0!</v>
      </c>
      <c r="M714" s="211" t="e">
        <f t="shared" si="0"/>
        <v>#DIV/0!</v>
      </c>
      <c r="N714" s="223" t="s">
        <v>695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945934.81</v>
      </c>
      <c r="D716" s="211">
        <f>SUM(D617:D648)+SUM(D669:D714)</f>
        <v>945934.81000000017</v>
      </c>
      <c r="E716" s="211">
        <f>SUM(E625:E648)+SUM(E669:E714)</f>
        <v>0</v>
      </c>
      <c r="F716" s="211">
        <f>SUM(F626:F649)+SUM(F669:F714)</f>
        <v>0</v>
      </c>
      <c r="G716" s="211">
        <f>SUM(G627:G648)+SUM(G669:G714)</f>
        <v>0</v>
      </c>
      <c r="H716" s="211">
        <f>SUM(H630:H648)+SUM(H669:H714)</f>
        <v>0</v>
      </c>
      <c r="I716" s="211">
        <f>SUM(I631:I648)+SUM(I669:I714)</f>
        <v>0</v>
      </c>
      <c r="J716" s="211">
        <f>SUM(J632:J648)+SUM(J669:J714)</f>
        <v>0</v>
      </c>
      <c r="K716" s="211">
        <f>SUM(K669:K714)</f>
        <v>0</v>
      </c>
      <c r="L716" s="211" t="e">
        <f>SUM(L669:L714)</f>
        <v>#DIV/0!</v>
      </c>
      <c r="M716" s="211" t="e">
        <f>SUM(M669:M714)</f>
        <v>#DIV/0!</v>
      </c>
      <c r="N716" s="221" t="s">
        <v>696</v>
      </c>
    </row>
    <row r="717" spans="1:14" s="211" customFormat="1" ht="12.65" customHeight="1" x14ac:dyDescent="0.3">
      <c r="C717" s="224">
        <f>CE86</f>
        <v>868177</v>
      </c>
      <c r="D717" s="211">
        <f>D616</f>
        <v>945934.81</v>
      </c>
      <c r="E717" s="211">
        <f>E624</f>
        <v>0</v>
      </c>
      <c r="F717" s="211">
        <f>F625</f>
        <v>0</v>
      </c>
      <c r="G717" s="211">
        <f>G626</f>
        <v>0</v>
      </c>
      <c r="H717" s="211">
        <f>H629</f>
        <v>0</v>
      </c>
      <c r="I717" s="211">
        <f>I630</f>
        <v>0</v>
      </c>
      <c r="J717" s="211">
        <f>J631</f>
        <v>0</v>
      </c>
      <c r="K717" s="211">
        <f>K645</f>
        <v>0</v>
      </c>
      <c r="L717" s="211">
        <f>L648</f>
        <v>0</v>
      </c>
      <c r="M717" s="211">
        <f>C649</f>
        <v>945934.81</v>
      </c>
      <c r="N717" s="221" t="s">
        <v>697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A11D-066C-4481-A72A-269455D2C3BE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054</v>
      </c>
      <c r="C2" s="11" t="str">
        <f>SUBSTITUTE(LEFT(data!C98,49),",","")</f>
        <v>Forks Community Hospital</v>
      </c>
      <c r="D2" s="11" t="str">
        <f>LEFT(data!C99, 49)</f>
        <v>530 Bogachiel Way</v>
      </c>
      <c r="E2" s="11" t="str">
        <f>LEFT(data!C100, 100)</f>
        <v>Forks</v>
      </c>
      <c r="F2" s="11" t="str">
        <f>LEFT(data!C101, 2)</f>
        <v>WA</v>
      </c>
      <c r="G2" s="11" t="str">
        <f>LEFT(data!C102, 100)</f>
        <v>98331</v>
      </c>
      <c r="H2" s="11" t="str">
        <f>LEFT(data!C103, 100)</f>
        <v>Clallam</v>
      </c>
      <c r="I2" s="11" t="str">
        <f>LEFT(data!C104, 49)</f>
        <v>Heidi Anderson</v>
      </c>
      <c r="J2" s="11" t="str">
        <f>LEFT(data!C105, 49)</f>
        <v>Paul Babcock</v>
      </c>
      <c r="K2" s="11" t="str">
        <f>LEFT(data!C107, 49)</f>
        <v xml:space="preserve">(360)374-6271 </v>
      </c>
      <c r="L2" s="11" t="str">
        <f>LEFT(data!C108, 49)</f>
        <v>(360)374-5220</v>
      </c>
      <c r="M2" s="11" t="str">
        <f>LEFT(data!C109, 49)</f>
        <v>Paul Babcock</v>
      </c>
      <c r="N2" s="11" t="str">
        <f>LEFT(data!C110, 49)</f>
        <v>paulb@forkshospital.org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59256-3C1A-42C2-9DDB-9E0A61ED27E2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1073</v>
      </c>
      <c r="B1" s="12" t="s">
        <v>1074</v>
      </c>
      <c r="C1" s="10" t="s">
        <v>1075</v>
      </c>
      <c r="D1" s="10" t="s">
        <v>1076</v>
      </c>
      <c r="E1" s="10" t="s">
        <v>1077</v>
      </c>
      <c r="F1" s="10" t="s">
        <v>1078</v>
      </c>
      <c r="G1" s="10" t="s">
        <v>1079</v>
      </c>
      <c r="H1" s="10" t="s">
        <v>1080</v>
      </c>
      <c r="I1" s="10" t="s">
        <v>1081</v>
      </c>
      <c r="J1" s="10" t="s">
        <v>1082</v>
      </c>
      <c r="K1" s="10" t="s">
        <v>1083</v>
      </c>
      <c r="L1" s="10" t="s">
        <v>1084</v>
      </c>
      <c r="M1" s="10" t="s">
        <v>1085</v>
      </c>
      <c r="N1" s="10" t="s">
        <v>1086</v>
      </c>
      <c r="O1" s="10" t="s">
        <v>1087</v>
      </c>
      <c r="P1" s="10" t="s">
        <v>1088</v>
      </c>
      <c r="Q1" s="10" t="s">
        <v>1089</v>
      </c>
      <c r="R1" s="10" t="s">
        <v>1090</v>
      </c>
      <c r="S1" s="10" t="s">
        <v>1091</v>
      </c>
      <c r="T1" s="10" t="s">
        <v>1092</v>
      </c>
      <c r="U1" s="10" t="s">
        <v>1093</v>
      </c>
      <c r="V1" s="10" t="s">
        <v>1094</v>
      </c>
      <c r="W1" s="10" t="s">
        <v>1095</v>
      </c>
      <c r="X1" s="10" t="s">
        <v>1096</v>
      </c>
      <c r="Y1" s="10" t="s">
        <v>1097</v>
      </c>
      <c r="Z1" s="10" t="s">
        <v>1098</v>
      </c>
      <c r="AA1" s="10" t="s">
        <v>1099</v>
      </c>
      <c r="AB1" s="10" t="s">
        <v>1100</v>
      </c>
      <c r="AC1" s="10" t="s">
        <v>1101</v>
      </c>
      <c r="AD1" s="10" t="s">
        <v>1102</v>
      </c>
      <c r="AE1" s="10" t="s">
        <v>1103</v>
      </c>
      <c r="AF1" s="10" t="s">
        <v>1104</v>
      </c>
      <c r="AG1" s="10" t="s">
        <v>1105</v>
      </c>
      <c r="AH1" s="10" t="s">
        <v>1106</v>
      </c>
      <c r="AI1" s="10" t="s">
        <v>1107</v>
      </c>
      <c r="AJ1" s="10" t="s">
        <v>1108</v>
      </c>
      <c r="AK1" s="10" t="s">
        <v>1109</v>
      </c>
      <c r="AL1" s="10" t="s">
        <v>1110</v>
      </c>
      <c r="AM1" s="10" t="s">
        <v>1111</v>
      </c>
      <c r="AN1" s="10" t="s">
        <v>1112</v>
      </c>
      <c r="AO1" s="10" t="s">
        <v>1113</v>
      </c>
      <c r="AP1" s="10" t="s">
        <v>1114</v>
      </c>
      <c r="AQ1" s="10" t="s">
        <v>1115</v>
      </c>
      <c r="AR1" s="10" t="s">
        <v>1116</v>
      </c>
      <c r="AS1" s="10" t="s">
        <v>1117</v>
      </c>
      <c r="AT1" s="10" t="s">
        <v>1118</v>
      </c>
      <c r="AU1" s="10" t="s">
        <v>1119</v>
      </c>
      <c r="AV1" s="10" t="s">
        <v>1120</v>
      </c>
      <c r="AW1" s="10" t="s">
        <v>1121</v>
      </c>
      <c r="AX1" s="10" t="s">
        <v>1122</v>
      </c>
      <c r="AY1" s="10" t="s">
        <v>1123</v>
      </c>
      <c r="AZ1" s="10" t="s">
        <v>1124</v>
      </c>
      <c r="BA1" s="10" t="s">
        <v>1125</v>
      </c>
      <c r="BB1" s="10" t="s">
        <v>1126</v>
      </c>
      <c r="BC1" s="10" t="s">
        <v>1127</v>
      </c>
      <c r="BD1" s="10" t="s">
        <v>1128</v>
      </c>
      <c r="BE1" s="10" t="s">
        <v>1129</v>
      </c>
      <c r="BF1" s="10" t="s">
        <v>1130</v>
      </c>
      <c r="BG1" s="10" t="s">
        <v>1131</v>
      </c>
      <c r="BH1" s="10" t="s">
        <v>1132</v>
      </c>
      <c r="BI1" s="10" t="s">
        <v>1133</v>
      </c>
      <c r="BJ1" s="10" t="s">
        <v>1134</v>
      </c>
      <c r="BK1" s="10" t="s">
        <v>1135</v>
      </c>
      <c r="BL1" s="10" t="s">
        <v>1136</v>
      </c>
      <c r="BM1" s="10" t="s">
        <v>1137</v>
      </c>
      <c r="BN1" s="10" t="s">
        <v>1138</v>
      </c>
      <c r="BO1" s="10" t="s">
        <v>1139</v>
      </c>
      <c r="BP1" s="10" t="s">
        <v>1140</v>
      </c>
      <c r="BQ1" s="10" t="s">
        <v>1141</v>
      </c>
      <c r="BR1" s="10" t="s">
        <v>1142</v>
      </c>
      <c r="BS1" s="10" t="s">
        <v>1143</v>
      </c>
      <c r="BT1" s="10" t="s">
        <v>1144</v>
      </c>
      <c r="BU1" s="10" t="s">
        <v>1145</v>
      </c>
      <c r="BV1" s="10" t="s">
        <v>1146</v>
      </c>
      <c r="BW1" s="10" t="s">
        <v>1147</v>
      </c>
      <c r="BX1" s="10" t="s">
        <v>1148</v>
      </c>
      <c r="BY1" s="10" t="s">
        <v>1149</v>
      </c>
      <c r="BZ1" s="10" t="s">
        <v>1150</v>
      </c>
      <c r="CA1" s="10" t="s">
        <v>1151</v>
      </c>
      <c r="CB1" s="10" t="s">
        <v>1152</v>
      </c>
      <c r="CC1" s="10" t="s">
        <v>1153</v>
      </c>
      <c r="CD1" s="10" t="s">
        <v>1154</v>
      </c>
      <c r="CE1" s="10" t="s">
        <v>1155</v>
      </c>
      <c r="CF1" s="10" t="s">
        <v>1156</v>
      </c>
    </row>
    <row r="2" spans="1:84" s="178" customFormat="1" ht="12.65" customHeight="1" x14ac:dyDescent="0.35">
      <c r="A2" s="12" t="str">
        <f>RIGHT(data!C97,3)</f>
        <v>054</v>
      </c>
      <c r="B2" s="209" t="str">
        <f>RIGHT(data!C96,4)</f>
        <v>2023</v>
      </c>
      <c r="C2" s="12" t="s">
        <v>1157</v>
      </c>
      <c r="D2" s="208">
        <f>ROUND(N(data!C181),0)</f>
        <v>296533</v>
      </c>
      <c r="E2" s="208">
        <f>ROUND(N(data!C182),0)</f>
        <v>47414</v>
      </c>
      <c r="F2" s="208">
        <f>ROUND(N(data!C183),0)</f>
        <v>195901</v>
      </c>
      <c r="G2" s="208">
        <f>ROUND(N(data!C184),0)</f>
        <v>3612760</v>
      </c>
      <c r="H2" s="208">
        <f>ROUND(N(data!C185),0)</f>
        <v>0</v>
      </c>
      <c r="I2" s="208">
        <f>ROUND(N(data!C186),0)</f>
        <v>1758193</v>
      </c>
      <c r="J2" s="208">
        <f>ROUND(N(data!C187)+N(data!C188),0)</f>
        <v>203318</v>
      </c>
      <c r="K2" s="208">
        <f>ROUND(N(data!C191),0)</f>
        <v>37590</v>
      </c>
      <c r="L2" s="208">
        <f>ROUND(N(data!C192),0)</f>
        <v>50534</v>
      </c>
      <c r="M2" s="208">
        <f>ROUND(N(data!C195),0)</f>
        <v>221932</v>
      </c>
      <c r="N2" s="208">
        <f>ROUND(N(data!C196),0)</f>
        <v>321997</v>
      </c>
      <c r="O2" s="208">
        <f>ROUND(N(data!C199),0)</f>
        <v>98355</v>
      </c>
      <c r="P2" s="208">
        <f>ROUND(N(data!C200),0)</f>
        <v>403525</v>
      </c>
      <c r="Q2" s="208">
        <f>ROUND(N(data!C201),0)</f>
        <v>0</v>
      </c>
      <c r="R2" s="208">
        <f>ROUND(N(data!C204),0)</f>
        <v>38008</v>
      </c>
      <c r="S2" s="208">
        <f>ROUND(N(data!C205),0)</f>
        <v>476650</v>
      </c>
      <c r="T2" s="208">
        <f>ROUND(N(data!B211),0)</f>
        <v>510757</v>
      </c>
      <c r="U2" s="208">
        <f>ROUND(N(data!C211),0)</f>
        <v>0</v>
      </c>
      <c r="V2" s="208">
        <f>ROUND(N(data!D211),0)</f>
        <v>0</v>
      </c>
      <c r="W2" s="208">
        <f>ROUND(N(data!B212),0)</f>
        <v>951773</v>
      </c>
      <c r="X2" s="208">
        <f>ROUND(N(data!C212),0)</f>
        <v>74946</v>
      </c>
      <c r="Y2" s="208">
        <f>ROUND(N(data!D212),0)</f>
        <v>0</v>
      </c>
      <c r="Z2" s="208">
        <f>ROUND(N(data!B213),0)</f>
        <v>24966812</v>
      </c>
      <c r="AA2" s="208">
        <f>ROUND(N(data!C213),0)</f>
        <v>2773755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18121949</v>
      </c>
      <c r="AJ2" s="208">
        <f>ROUND(N(data!C216),0)</f>
        <v>960315</v>
      </c>
      <c r="AK2" s="208">
        <f>ROUND(N(data!D216),0)</f>
        <v>29186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1390057</v>
      </c>
      <c r="AS2" s="208">
        <f>ROUND(N(data!C219),0)</f>
        <v>-1101795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895177</v>
      </c>
      <c r="AY2" s="208">
        <f>ROUND(N(data!C225),0)</f>
        <v>71543</v>
      </c>
      <c r="AZ2" s="208">
        <f>ROUND(N(data!D225),0)</f>
        <v>0</v>
      </c>
      <c r="BA2" s="208">
        <f>ROUND(N(data!B226),0)</f>
        <v>13097679</v>
      </c>
      <c r="BB2" s="208">
        <f>ROUND(N(data!C226),0)</f>
        <v>435852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15845687</v>
      </c>
      <c r="BK2" s="208">
        <f>ROUND(N(data!C229),0)</f>
        <v>1458297</v>
      </c>
      <c r="BL2" s="208">
        <f>ROUND(N(data!D229),0)</f>
        <v>29186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12047423</v>
      </c>
      <c r="BW2" s="208">
        <f>ROUND(N(data!C240),0)</f>
        <v>9264926</v>
      </c>
      <c r="BX2" s="208">
        <f>ROUND(N(data!C241),0)</f>
        <v>339044</v>
      </c>
      <c r="BY2" s="208">
        <f>ROUND(N(data!C242),0)</f>
        <v>13123</v>
      </c>
      <c r="BZ2" s="208">
        <f>ROUND(N(data!C243),0)</f>
        <v>6734446</v>
      </c>
      <c r="CA2" s="208">
        <f>ROUND(N(data!C244),0)</f>
        <v>-41779</v>
      </c>
      <c r="CB2" s="208">
        <f>ROUND(N(data!C247),0)</f>
        <v>353</v>
      </c>
      <c r="CC2" s="208">
        <f>ROUND(N(data!C249),0)</f>
        <v>7043</v>
      </c>
      <c r="CD2" s="208">
        <f>ROUND(N(data!C250),0)</f>
        <v>895704</v>
      </c>
      <c r="CE2" s="208">
        <f>ROUND(N(data!C254)+N(data!C255),0)</f>
        <v>1521330</v>
      </c>
      <c r="CF2" s="208">
        <f>ROUND(N(data!D237),0)</f>
        <v>961744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EC95-BAFE-43AC-AB64-67A2DCBD9FA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5" customHeight="1" x14ac:dyDescent="0.35">
      <c r="A2" s="12" t="str">
        <f>RIGHT(data!C97,3)</f>
        <v>054</v>
      </c>
      <c r="B2" s="12" t="str">
        <f>RIGHT(data!C96,4)</f>
        <v>2023</v>
      </c>
      <c r="C2" s="12" t="s">
        <v>1157</v>
      </c>
      <c r="D2" s="207">
        <f>ROUND(N(data!C127),0)</f>
        <v>257</v>
      </c>
      <c r="E2" s="207">
        <f>ROUND(N(data!C128),0)</f>
        <v>41</v>
      </c>
      <c r="F2" s="207">
        <f>ROUND(N(data!C129),0)</f>
        <v>0</v>
      </c>
      <c r="G2" s="207">
        <f>ROUND(N(data!C130),0)</f>
        <v>5</v>
      </c>
      <c r="H2" s="207">
        <f>ROUND(N(data!D127),0)</f>
        <v>484</v>
      </c>
      <c r="I2" s="207">
        <f>ROUND(N(data!D128),0)</f>
        <v>7097</v>
      </c>
      <c r="J2" s="207">
        <f>ROUND(N(data!D129),0)</f>
        <v>0</v>
      </c>
      <c r="K2" s="207">
        <f>ROUND(N(data!D130),0)</f>
        <v>7</v>
      </c>
      <c r="L2" s="207">
        <f>ROUND(N(data!C132),0)</f>
        <v>0</v>
      </c>
      <c r="M2" s="207">
        <f>ROUND(N(data!C133),0)</f>
        <v>17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20</v>
      </c>
      <c r="U2" s="207">
        <f>ROUND(N(data!C141),0)</f>
        <v>0</v>
      </c>
      <c r="V2" s="207">
        <f>ROUND(N(data!C142),0)</f>
        <v>0</v>
      </c>
      <c r="W2" s="207">
        <f>ROUND(N(data!C144),0)</f>
        <v>0</v>
      </c>
      <c r="X2" s="207">
        <f>ROUND(N(data!C145),0)</f>
        <v>0</v>
      </c>
      <c r="Y2" s="207">
        <f>ROUND(N(data!B154),0)</f>
        <v>175</v>
      </c>
      <c r="Z2" s="207">
        <f>ROUND(N(data!B155),0)</f>
        <v>375</v>
      </c>
      <c r="AA2" s="207">
        <f>ROUND(N(data!B156),0)</f>
        <v>13238</v>
      </c>
      <c r="AB2" s="207">
        <f>ROUND(N(data!B157),0)</f>
        <v>2553005</v>
      </c>
      <c r="AC2" s="207">
        <f>ROUND(N(data!B158),0)</f>
        <v>24675996</v>
      </c>
      <c r="AD2" s="207">
        <f>ROUND(N(data!C154),0)</f>
        <v>23</v>
      </c>
      <c r="AE2" s="207">
        <f>ROUND(N(data!C155),0)</f>
        <v>32</v>
      </c>
      <c r="AF2" s="207">
        <f>ROUND(N(data!C156),0)</f>
        <v>16936</v>
      </c>
      <c r="AG2" s="207">
        <f>ROUND(N(data!C157),0)</f>
        <v>515771</v>
      </c>
      <c r="AH2" s="207">
        <f>ROUND(N(data!C158),0)</f>
        <v>14796765</v>
      </c>
      <c r="AI2" s="207">
        <f>ROUND(N(data!D154),0)</f>
        <v>59</v>
      </c>
      <c r="AJ2" s="207">
        <f>ROUND(N(data!D155),0)</f>
        <v>77</v>
      </c>
      <c r="AK2" s="207">
        <f>ROUND(N(data!D156),0)</f>
        <v>16656</v>
      </c>
      <c r="AL2" s="207">
        <f>ROUND(N(data!D157),0)</f>
        <v>529377</v>
      </c>
      <c r="AM2" s="207">
        <f>ROUND(N(data!D158),0)</f>
        <v>21197544</v>
      </c>
      <c r="AN2" s="207">
        <f>ROUND(N(data!B160),0)</f>
        <v>35</v>
      </c>
      <c r="AO2" s="207">
        <f>ROUND(N(data!B161),0)</f>
        <v>465</v>
      </c>
      <c r="AP2" s="207">
        <f>ROUND(N(data!B162),0)</f>
        <v>0</v>
      </c>
      <c r="AQ2" s="207">
        <f>ROUND(N(data!B163),0)</f>
        <v>1814132</v>
      </c>
      <c r="AR2" s="207">
        <f>ROUND(N(data!B164),0)</f>
        <v>0</v>
      </c>
      <c r="AS2" s="207">
        <f>ROUND(N(data!C160),0)</f>
        <v>1</v>
      </c>
      <c r="AT2" s="207">
        <f>ROUND(N(data!C161),0)</f>
        <v>4773</v>
      </c>
      <c r="AU2" s="207">
        <f>ROUND(N(data!C162),0)</f>
        <v>0</v>
      </c>
      <c r="AV2" s="207">
        <f>ROUND(N(data!C163),0)</f>
        <v>1747714</v>
      </c>
      <c r="AW2" s="207">
        <f>ROUND(N(data!C164),0)</f>
        <v>0</v>
      </c>
      <c r="AX2" s="207">
        <f>ROUND(N(data!D160),0)</f>
        <v>5</v>
      </c>
      <c r="AY2" s="207">
        <f>ROUND(N(data!D161),0)</f>
        <v>1859</v>
      </c>
      <c r="AZ2" s="207">
        <f>ROUND(N(data!D162),0)</f>
        <v>0</v>
      </c>
      <c r="BA2" s="207">
        <f>ROUND(N(data!D163),0)</f>
        <v>701783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4A7E-44C9-4504-900A-69E1A7431CE2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5" customHeight="1" x14ac:dyDescent="0.35">
      <c r="A2" s="208" t="str">
        <f>RIGHT(data!C97,3)</f>
        <v>054</v>
      </c>
      <c r="B2" s="209" t="str">
        <f>RIGHT(data!C96,4)</f>
        <v>2023</v>
      </c>
      <c r="C2" s="12" t="s">
        <v>1157</v>
      </c>
      <c r="D2" s="207">
        <f>ROUND(N(data!C181),0)</f>
        <v>296533</v>
      </c>
      <c r="E2" s="207">
        <f>ROUND(N(data!C267),0)</f>
        <v>0</v>
      </c>
      <c r="F2" s="207">
        <f>ROUND(N(data!C268),0)</f>
        <v>23537002</v>
      </c>
      <c r="G2" s="207">
        <f>ROUND(N(data!C269),0)</f>
        <v>14335604</v>
      </c>
      <c r="H2" s="207">
        <f>ROUND(N(data!C270),0)</f>
        <v>1534311</v>
      </c>
      <c r="I2" s="207">
        <f>ROUND(N(data!C271),0)</f>
        <v>93896</v>
      </c>
      <c r="J2" s="207">
        <f>ROUND(N(data!C272),0)</f>
        <v>0</v>
      </c>
      <c r="K2" s="207">
        <f>ROUND(N(data!C273),0)</f>
        <v>847555</v>
      </c>
      <c r="L2" s="207">
        <f>ROUND(N(data!C274),0)</f>
        <v>702555</v>
      </c>
      <c r="M2" s="207">
        <f>ROUND(N(data!C275),0)</f>
        <v>0</v>
      </c>
      <c r="N2" s="207">
        <f>ROUND(N(data!C278),0)</f>
        <v>585215</v>
      </c>
      <c r="O2" s="207">
        <f>ROUND(N(data!C279),0)</f>
        <v>50668</v>
      </c>
      <c r="P2" s="207">
        <f>ROUND(N(data!C280),0)</f>
        <v>0</v>
      </c>
      <c r="Q2" s="207">
        <f>ROUND(N(data!C283),0)</f>
        <v>510757</v>
      </c>
      <c r="R2" s="207">
        <f>ROUND(N(data!C284),0)</f>
        <v>1026720</v>
      </c>
      <c r="S2" s="207">
        <f>ROUND(N(data!C285),0)</f>
        <v>27740566</v>
      </c>
      <c r="T2" s="207">
        <f>ROUND(N(data!C286),0)</f>
        <v>0</v>
      </c>
      <c r="U2" s="207">
        <f>ROUND(N(data!C287),0)</f>
        <v>0</v>
      </c>
      <c r="V2" s="207">
        <f>ROUND(N(data!C288),0)</f>
        <v>19053078</v>
      </c>
      <c r="W2" s="207">
        <f>ROUND(N(data!C289),0)</f>
        <v>0</v>
      </c>
      <c r="X2" s="207">
        <f>ROUND(N(data!C290),0)</f>
        <v>288262</v>
      </c>
      <c r="Y2" s="207">
        <f>ROUND(N(data!C291),0)</f>
        <v>0</v>
      </c>
      <c r="Z2" s="207">
        <f>ROUND(N(data!C292),0)</f>
        <v>31775049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895418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1013280</v>
      </c>
      <c r="AJ2" s="207">
        <f>ROUND(N(data!C315),0)</f>
        <v>787282</v>
      </c>
      <c r="AK2" s="207">
        <f>ROUND(N(data!C316),0)</f>
        <v>3284016</v>
      </c>
      <c r="AL2" s="207">
        <f>ROUND(N(data!C317),0)</f>
        <v>55097</v>
      </c>
      <c r="AM2" s="207">
        <f>ROUND(N(data!C318),0)</f>
        <v>0</v>
      </c>
      <c r="AN2" s="207">
        <f>ROUND(N(data!C319),0)</f>
        <v>540801</v>
      </c>
      <c r="AO2" s="207">
        <f>ROUND(N(data!C320),0)</f>
        <v>0</v>
      </c>
      <c r="AP2" s="207">
        <f>ROUND(N(data!C321),0)</f>
        <v>0</v>
      </c>
      <c r="AQ2" s="207">
        <f>ROUND(N(data!C322),0)</f>
        <v>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3770318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169900</v>
      </c>
      <c r="AZ2" s="207">
        <f>ROUND(N(data!C335),0)</f>
        <v>14815000</v>
      </c>
      <c r="BA2" s="207">
        <f>ROUND(N(data!C336),0)</f>
        <v>0</v>
      </c>
      <c r="BB2" s="207">
        <f>ROUND(N(data!C337),0)</f>
        <v>0</v>
      </c>
      <c r="BC2" s="207">
        <f>ROUND(N(data!C338),0)</f>
        <v>3280746</v>
      </c>
      <c r="BD2" s="207">
        <f>ROUND(N(data!C339),0)</f>
        <v>0</v>
      </c>
      <c r="BE2" s="207">
        <f>ROUND(N(data!C343),0)</f>
        <v>0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243.24</v>
      </c>
      <c r="BL2" s="207">
        <f>ROUND(N(data!C358),0)</f>
        <v>7861782</v>
      </c>
      <c r="BM2" s="207">
        <f>ROUND(N(data!C359),0)</f>
        <v>60670305</v>
      </c>
      <c r="BN2" s="207">
        <f>ROUND(N(data!C363),0)</f>
        <v>28357183</v>
      </c>
      <c r="BO2" s="207">
        <f>ROUND(N(data!C364),0)</f>
        <v>902747</v>
      </c>
      <c r="BP2" s="207">
        <f>ROUND(N(data!C365),0)</f>
        <v>1521330</v>
      </c>
      <c r="BQ2" s="207">
        <f>ROUND(N(data!D381),0)</f>
        <v>729462</v>
      </c>
      <c r="BR2" s="207">
        <f>ROUND(N(data!C370),0)</f>
        <v>72807</v>
      </c>
      <c r="BS2" s="207">
        <f>ROUND(N(data!C371),0)</f>
        <v>69246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433340</v>
      </c>
      <c r="CB2" s="207">
        <f>ROUND(N(data!C380),0)</f>
        <v>154069</v>
      </c>
      <c r="CC2" s="207">
        <f>ROUND(N(data!C382),0)</f>
        <v>989204</v>
      </c>
      <c r="CD2" s="207">
        <f>ROUND(N(data!C389),0)</f>
        <v>20425310</v>
      </c>
      <c r="CE2" s="207">
        <f>ROUND(N(data!C390),0)</f>
        <v>6114118</v>
      </c>
      <c r="CF2" s="207">
        <f>ROUND(N(data!C391),0)</f>
        <v>0</v>
      </c>
      <c r="CG2" s="207">
        <f>ROUND(N(data!C392),0)</f>
        <v>3050352</v>
      </c>
      <c r="CH2" s="207">
        <f>ROUND(N(data!C393),0)</f>
        <v>0</v>
      </c>
      <c r="CI2" s="207">
        <f>ROUND(N(data!C394),0)</f>
        <v>1815721</v>
      </c>
      <c r="CJ2" s="207">
        <f>ROUND(N(data!C395),0)</f>
        <v>1965691</v>
      </c>
      <c r="CK2" s="207">
        <f>ROUND(N(data!C396),0)</f>
        <v>88123</v>
      </c>
      <c r="CL2" s="207">
        <f>ROUND(N(data!C397),0)</f>
        <v>0</v>
      </c>
      <c r="CM2" s="207">
        <f>ROUND(N(data!C398),0)</f>
        <v>0</v>
      </c>
      <c r="CN2" s="207">
        <f>ROUND(N(data!C399),0)</f>
        <v>514658</v>
      </c>
      <c r="CO2" s="207">
        <f>ROUND(N(data!C362),0)</f>
        <v>961744</v>
      </c>
      <c r="CP2" s="207">
        <f>ROUND(N(data!D415),0)</f>
        <v>7840511</v>
      </c>
      <c r="CQ2" s="61">
        <f>ROUND(N(data!C401),0)</f>
        <v>0</v>
      </c>
      <c r="CR2" s="61">
        <f>ROUND(N(data!C402),0)</f>
        <v>3682266</v>
      </c>
      <c r="CS2" s="61">
        <f>ROUND(N(data!C403),0)</f>
        <v>981826</v>
      </c>
      <c r="CT2" s="61">
        <f>ROUND(N(data!C404),0)</f>
        <v>543930</v>
      </c>
      <c r="CU2" s="61">
        <f>ROUND(N(data!C405),0)</f>
        <v>0</v>
      </c>
      <c r="CV2" s="61">
        <f>ROUND(N(data!C406),0)</f>
        <v>707076</v>
      </c>
      <c r="CW2" s="61">
        <f>ROUND(N(data!C407),0)</f>
        <v>66067</v>
      </c>
      <c r="CX2" s="61">
        <f>ROUND(N(data!C408),0)</f>
        <v>420143</v>
      </c>
      <c r="CY2" s="61">
        <f>ROUND(N(data!C409),0)</f>
        <v>0</v>
      </c>
      <c r="CZ2" s="61">
        <f>ROUND(N(data!C410),0)</f>
        <v>9316</v>
      </c>
      <c r="DA2" s="61">
        <f>ROUND(N(data!C411),0)</f>
        <v>43471</v>
      </c>
      <c r="DB2" s="61">
        <f>ROUND(N(data!C412),0)</f>
        <v>501879</v>
      </c>
      <c r="DC2" s="61">
        <f>ROUND(N(data!C413),0)</f>
        <v>496367</v>
      </c>
      <c r="DD2" s="61">
        <f>ROUND(N(data!C414),0)</f>
        <v>388170</v>
      </c>
      <c r="DE2" s="61">
        <f>ROUND(N(data!C419),0)</f>
        <v>0</v>
      </c>
      <c r="DF2" s="207">
        <f>ROUND(N(data!D420),0)</f>
        <v>38558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4CD7-364E-4889-A87D-D41866C545D7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054</v>
      </c>
      <c r="B2" s="209" t="str">
        <f>RIGHT(data!$C$96,4)</f>
        <v>2023</v>
      </c>
      <c r="C2" s="12" t="str">
        <f>data!C$55</f>
        <v>6010</v>
      </c>
      <c r="D2" s="12" t="s">
        <v>1157</v>
      </c>
      <c r="E2" s="207">
        <f>ROUND(N(data!C59), 0)</f>
        <v>0</v>
      </c>
      <c r="F2" s="314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4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054</v>
      </c>
      <c r="B3" s="209" t="str">
        <f>RIGHT(data!$C$96,4)</f>
        <v>2023</v>
      </c>
      <c r="C3" s="12" t="str">
        <f>data!D$55</f>
        <v>6030</v>
      </c>
      <c r="D3" s="12" t="s">
        <v>1157</v>
      </c>
      <c r="E3" s="207">
        <f>ROUND(N(data!D59), 0)</f>
        <v>0</v>
      </c>
      <c r="F3" s="314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4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054</v>
      </c>
      <c r="B4" s="209" t="str">
        <f>RIGHT(data!$C$96,4)</f>
        <v>2023</v>
      </c>
      <c r="C4" s="12" t="str">
        <f>data!E$55</f>
        <v>6070</v>
      </c>
      <c r="D4" s="12" t="s">
        <v>1157</v>
      </c>
      <c r="E4" s="207">
        <f>ROUND(N(data!E59), 0)</f>
        <v>484</v>
      </c>
      <c r="F4" s="314">
        <f>ROUND(N(data!E60), 2)</f>
        <v>19.260000000000002</v>
      </c>
      <c r="G4" s="207">
        <f>ROUND(N(data!E61), 0)</f>
        <v>1674726</v>
      </c>
      <c r="H4" s="207">
        <f>ROUND(N(data!E62), 0)</f>
        <v>400361</v>
      </c>
      <c r="I4" s="207">
        <f>ROUND(N(data!E63), 0)</f>
        <v>0</v>
      </c>
      <c r="J4" s="207">
        <f>ROUND(N(data!E64), 0)</f>
        <v>63656</v>
      </c>
      <c r="K4" s="207">
        <f>ROUND(N(data!E65), 0)</f>
        <v>0</v>
      </c>
      <c r="L4" s="207">
        <f>ROUND(N(data!E66), 0)</f>
        <v>19624</v>
      </c>
      <c r="M4" s="207">
        <f>ROUND(N(data!E67), 0)</f>
        <v>338717</v>
      </c>
      <c r="N4" s="207">
        <f>ROUND(N(data!E68), 0)</f>
        <v>3936</v>
      </c>
      <c r="O4" s="207">
        <f>ROUND(N(data!E69), 0)</f>
        <v>860004</v>
      </c>
      <c r="P4" s="207">
        <f>ROUND(N(data!E70), 0)</f>
        <v>0</v>
      </c>
      <c r="Q4" s="207">
        <f>ROUND(N(data!E71), 0)</f>
        <v>804674</v>
      </c>
      <c r="R4" s="207">
        <f>ROUND(N(data!E72), 0)</f>
        <v>9675</v>
      </c>
      <c r="S4" s="207">
        <f>ROUND(N(data!E73), 0)</f>
        <v>15535</v>
      </c>
      <c r="T4" s="207">
        <f>ROUND(N(data!E74), 0)</f>
        <v>0</v>
      </c>
      <c r="U4" s="207">
        <f>ROUND(N(data!E75), 0)</f>
        <v>4800</v>
      </c>
      <c r="V4" s="207">
        <f>ROUND(N(data!E76), 0)</f>
        <v>0</v>
      </c>
      <c r="W4" s="207">
        <f>ROUND(N(data!E77), 0)</f>
        <v>13403</v>
      </c>
      <c r="X4" s="207">
        <f>ROUND(N(data!E78), 0)</f>
        <v>0</v>
      </c>
      <c r="Y4" s="207">
        <f>ROUND(N(data!E79), 0)</f>
        <v>0</v>
      </c>
      <c r="Z4" s="207">
        <f>ROUND(N(data!E80), 0)</f>
        <v>5365</v>
      </c>
      <c r="AA4" s="207">
        <f>ROUND(N(data!E81), 0)</f>
        <v>2696</v>
      </c>
      <c r="AB4" s="207">
        <f>ROUND(N(data!E82), 0)</f>
        <v>1400</v>
      </c>
      <c r="AC4" s="207">
        <f>ROUND(N(data!E83), 0)</f>
        <v>2455</v>
      </c>
      <c r="AD4" s="207">
        <f>ROUND(N(data!E84), 0)</f>
        <v>0</v>
      </c>
      <c r="AE4" s="207">
        <f>ROUND(N(data!E89), 0)</f>
        <v>2601831</v>
      </c>
      <c r="AF4" s="207">
        <f>ROUND(N(data!E87), 0)</f>
        <v>2057230</v>
      </c>
      <c r="AG4" s="207">
        <f>ROUND(N(data!E90), 0)</f>
        <v>2649</v>
      </c>
      <c r="AH4" s="207">
        <f>ROUND(N(data!E91), 0)</f>
        <v>4492</v>
      </c>
      <c r="AI4" s="207">
        <f>ROUND(N(data!E92), 0)</f>
        <v>2213</v>
      </c>
      <c r="AJ4" s="207">
        <f>ROUND(N(data!E93), 0)</f>
        <v>19409</v>
      </c>
      <c r="AK4" s="314">
        <f>ROUND(N(data!E94), 2)</f>
        <v>7.79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054</v>
      </c>
      <c r="B5" s="209" t="str">
        <f>RIGHT(data!$C$96,4)</f>
        <v>2023</v>
      </c>
      <c r="C5" s="12" t="str">
        <f>data!F$55</f>
        <v>6100</v>
      </c>
      <c r="D5" s="12" t="s">
        <v>1157</v>
      </c>
      <c r="E5" s="207">
        <f>ROUND(N(data!F59), 0)</f>
        <v>0</v>
      </c>
      <c r="F5" s="314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4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054</v>
      </c>
      <c r="B6" s="209" t="str">
        <f>RIGHT(data!$C$96,4)</f>
        <v>2023</v>
      </c>
      <c r="C6" s="12" t="str">
        <f>data!G$55</f>
        <v>6120</v>
      </c>
      <c r="D6" s="12" t="s">
        <v>1157</v>
      </c>
      <c r="E6" s="207">
        <f>ROUND(N(data!G59), 0)</f>
        <v>0</v>
      </c>
      <c r="F6" s="314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4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054</v>
      </c>
      <c r="B7" s="209" t="str">
        <f>RIGHT(data!$C$96,4)</f>
        <v>2023</v>
      </c>
      <c r="C7" s="12" t="str">
        <f>data!H$55</f>
        <v>6140</v>
      </c>
      <c r="D7" s="12" t="s">
        <v>1157</v>
      </c>
      <c r="E7" s="207">
        <f>ROUND(N(data!H59), 0)</f>
        <v>0</v>
      </c>
      <c r="F7" s="314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4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054</v>
      </c>
      <c r="B8" s="209" t="str">
        <f>RIGHT(data!$C$96,4)</f>
        <v>2023</v>
      </c>
      <c r="C8" s="12" t="str">
        <f>data!I$55</f>
        <v>6150</v>
      </c>
      <c r="D8" s="12" t="s">
        <v>1157</v>
      </c>
      <c r="E8" s="207">
        <f>ROUND(N(data!I59), 0)</f>
        <v>0</v>
      </c>
      <c r="F8" s="314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4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054</v>
      </c>
      <c r="B9" s="209" t="str">
        <f>RIGHT(data!$C$96,4)</f>
        <v>2023</v>
      </c>
      <c r="C9" s="12" t="str">
        <f>data!J$55</f>
        <v>6170</v>
      </c>
      <c r="D9" s="12" t="s">
        <v>1157</v>
      </c>
      <c r="E9" s="207">
        <f>ROUND(N(data!J59), 0)</f>
        <v>7</v>
      </c>
      <c r="F9" s="314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584</v>
      </c>
      <c r="K9" s="207">
        <f>ROUND(N(data!J65), 0)</f>
        <v>0</v>
      </c>
      <c r="L9" s="207">
        <f>ROUND(N(data!J66), 0)</f>
        <v>0</v>
      </c>
      <c r="M9" s="207">
        <f>ROUND(N(data!J67), 0)</f>
        <v>3276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6894</v>
      </c>
      <c r="AF9" s="207">
        <f>ROUND(N(data!J87), 0)</f>
        <v>6894</v>
      </c>
      <c r="AG9" s="207">
        <f>ROUND(N(data!J90), 0)</f>
        <v>167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4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054</v>
      </c>
      <c r="B10" s="209" t="str">
        <f>RIGHT(data!$C$96,4)</f>
        <v>2023</v>
      </c>
      <c r="C10" s="12" t="str">
        <f>data!K$55</f>
        <v>6200</v>
      </c>
      <c r="D10" s="12" t="s">
        <v>1157</v>
      </c>
      <c r="E10" s="207">
        <f>ROUND(N(data!K59), 0)</f>
        <v>583</v>
      </c>
      <c r="F10" s="314">
        <f>ROUND(N(data!K60), 2)</f>
        <v>1.34</v>
      </c>
      <c r="G10" s="207">
        <f>ROUND(N(data!K61), 0)</f>
        <v>176678</v>
      </c>
      <c r="H10" s="207">
        <f>ROUND(N(data!K62), 0)</f>
        <v>42237</v>
      </c>
      <c r="I10" s="207">
        <f>ROUND(N(data!K63), 0)</f>
        <v>0</v>
      </c>
      <c r="J10" s="207">
        <f>ROUND(N(data!K64), 0)</f>
        <v>3615</v>
      </c>
      <c r="K10" s="207">
        <f>ROUND(N(data!K65), 0)</f>
        <v>0</v>
      </c>
      <c r="L10" s="207">
        <f>ROUND(N(data!K66), 0)</f>
        <v>4</v>
      </c>
      <c r="M10" s="207">
        <f>ROUND(N(data!K67), 0)</f>
        <v>31806</v>
      </c>
      <c r="N10" s="207">
        <f>ROUND(N(data!K68), 0)</f>
        <v>97</v>
      </c>
      <c r="O10" s="207">
        <f>ROUND(N(data!K69), 0)</f>
        <v>79351</v>
      </c>
      <c r="P10" s="207">
        <f>ROUND(N(data!K70), 0)</f>
        <v>0</v>
      </c>
      <c r="Q10" s="207">
        <f>ROUND(N(data!K71), 0)</f>
        <v>79020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181</v>
      </c>
      <c r="AC10" s="207">
        <f>ROUND(N(data!K83), 0)</f>
        <v>150</v>
      </c>
      <c r="AD10" s="207">
        <f>ROUND(N(data!K84), 0)</f>
        <v>0</v>
      </c>
      <c r="AE10" s="207">
        <f>ROUND(N(data!K89), 0)</f>
        <v>1596359</v>
      </c>
      <c r="AF10" s="207">
        <f>ROUND(N(data!K87), 0)</f>
        <v>1436420</v>
      </c>
      <c r="AG10" s="207">
        <f>ROUND(N(data!K90), 0)</f>
        <v>2417</v>
      </c>
      <c r="AH10" s="207">
        <f>ROUND(N(data!K91), 0)</f>
        <v>19862</v>
      </c>
      <c r="AI10" s="207">
        <f>ROUND(N(data!K92), 0)</f>
        <v>0</v>
      </c>
      <c r="AJ10" s="207">
        <f>ROUND(N(data!K93), 0)</f>
        <v>0</v>
      </c>
      <c r="AK10" s="314">
        <f>ROUND(N(data!K94), 2)</f>
        <v>1.1200000000000001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054</v>
      </c>
      <c r="B11" s="209" t="str">
        <f>RIGHT(data!$C$96,4)</f>
        <v>2023</v>
      </c>
      <c r="C11" s="12" t="str">
        <f>data!L$55</f>
        <v>6210</v>
      </c>
      <c r="D11" s="12" t="s">
        <v>1157</v>
      </c>
      <c r="E11" s="207">
        <f>ROUND(N(data!L59), 0)</f>
        <v>6514</v>
      </c>
      <c r="F11" s="314">
        <f>ROUND(N(data!L60), 2)</f>
        <v>28.56</v>
      </c>
      <c r="G11" s="207">
        <f>ROUND(N(data!L61), 0)</f>
        <v>1904450</v>
      </c>
      <c r="H11" s="207">
        <f>ROUND(N(data!L62), 0)</f>
        <v>455280</v>
      </c>
      <c r="I11" s="207">
        <f>ROUND(N(data!L63), 0)</f>
        <v>0</v>
      </c>
      <c r="J11" s="207">
        <f>ROUND(N(data!L64), 0)</f>
        <v>80848</v>
      </c>
      <c r="K11" s="207">
        <f>ROUND(N(data!L65), 0)</f>
        <v>0</v>
      </c>
      <c r="L11" s="207">
        <f>ROUND(N(data!L66), 0)</f>
        <v>9561</v>
      </c>
      <c r="M11" s="207">
        <f>ROUND(N(data!L67), 0)</f>
        <v>145849</v>
      </c>
      <c r="N11" s="207">
        <f>ROUND(N(data!L68), 0)</f>
        <v>1304</v>
      </c>
      <c r="O11" s="207">
        <f>ROUND(N(data!L69), 0)</f>
        <v>490770</v>
      </c>
      <c r="P11" s="207">
        <f>ROUND(N(data!L70), 0)</f>
        <v>0</v>
      </c>
      <c r="Q11" s="207">
        <f>ROUND(N(data!L71), 0)</f>
        <v>443875</v>
      </c>
      <c r="R11" s="207">
        <f>ROUND(N(data!L72), 0)</f>
        <v>1615</v>
      </c>
      <c r="S11" s="207">
        <f>ROUND(N(data!L73), 0)</f>
        <v>67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2601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815</v>
      </c>
      <c r="AB11" s="207">
        <f>ROUND(N(data!L82), 0)</f>
        <v>2524</v>
      </c>
      <c r="AC11" s="207">
        <f>ROUND(N(data!L83), 0)</f>
        <v>39272</v>
      </c>
      <c r="AD11" s="207">
        <f>ROUND(N(data!L84), 0)</f>
        <v>0</v>
      </c>
      <c r="AE11" s="207">
        <f>ROUND(N(data!L89), 0)</f>
        <v>2223920</v>
      </c>
      <c r="AF11" s="207">
        <f>ROUND(N(data!L87), 0)</f>
        <v>2223920</v>
      </c>
      <c r="AG11" s="207">
        <f>ROUND(N(data!L90), 0)</f>
        <v>1736</v>
      </c>
      <c r="AH11" s="207">
        <f>ROUND(N(data!L91), 0)</f>
        <v>0</v>
      </c>
      <c r="AI11" s="207">
        <f>ROUND(N(data!L92), 0)</f>
        <v>3378</v>
      </c>
      <c r="AJ11" s="207">
        <f>ROUND(N(data!L93), 0)</f>
        <v>0</v>
      </c>
      <c r="AK11" s="314">
        <f>ROUND(N(data!L94), 2)</f>
        <v>6.72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054</v>
      </c>
      <c r="B12" s="209" t="str">
        <f>RIGHT(data!$C$96,4)</f>
        <v>2023</v>
      </c>
      <c r="C12" s="12" t="str">
        <f>data!M$55</f>
        <v>6330</v>
      </c>
      <c r="D12" s="12" t="s">
        <v>1157</v>
      </c>
      <c r="E12" s="207">
        <f>ROUND(N(data!M59), 0)</f>
        <v>0</v>
      </c>
      <c r="F12" s="314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4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054</v>
      </c>
      <c r="B13" s="209" t="str">
        <f>RIGHT(data!$C$96,4)</f>
        <v>2023</v>
      </c>
      <c r="C13" s="12" t="str">
        <f>data!N$55</f>
        <v>6400</v>
      </c>
      <c r="D13" s="12" t="s">
        <v>1157</v>
      </c>
      <c r="E13" s="207">
        <f>ROUND(N(data!N59), 0)</f>
        <v>0</v>
      </c>
      <c r="F13" s="314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4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054</v>
      </c>
      <c r="B14" s="209" t="str">
        <f>RIGHT(data!$C$96,4)</f>
        <v>2023</v>
      </c>
      <c r="C14" s="12" t="str">
        <f>data!O$55</f>
        <v>7010</v>
      </c>
      <c r="D14" s="12" t="s">
        <v>1157</v>
      </c>
      <c r="E14" s="207">
        <f>ROUND(N(data!O59), 0)</f>
        <v>10</v>
      </c>
      <c r="F14" s="314">
        <f>ROUND(N(data!O60), 2)</f>
        <v>0.03</v>
      </c>
      <c r="G14" s="207">
        <f>ROUND(N(data!O61), 0)</f>
        <v>134197</v>
      </c>
      <c r="H14" s="207">
        <f>ROUND(N(data!O62), 0)</f>
        <v>32903</v>
      </c>
      <c r="I14" s="207">
        <f>ROUND(N(data!O63), 0)</f>
        <v>0</v>
      </c>
      <c r="J14" s="207">
        <f>ROUND(N(data!O64), 0)</f>
        <v>3222</v>
      </c>
      <c r="K14" s="207">
        <f>ROUND(N(data!O65), 0)</f>
        <v>0</v>
      </c>
      <c r="L14" s="207">
        <f>ROUND(N(data!O66), 0)</f>
        <v>42</v>
      </c>
      <c r="M14" s="207">
        <f>ROUND(N(data!O67), 0)</f>
        <v>34491</v>
      </c>
      <c r="N14" s="207">
        <f>ROUND(N(data!O68), 0)</f>
        <v>0</v>
      </c>
      <c r="O14" s="207">
        <f>ROUND(N(data!O69), 0)</f>
        <v>13039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6663</v>
      </c>
      <c r="V14" s="207">
        <f>ROUND(N(data!O76), 0)</f>
        <v>0</v>
      </c>
      <c r="W14" s="207">
        <f>ROUND(N(data!O77), 0)</f>
        <v>3358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283</v>
      </c>
      <c r="AB14" s="207">
        <f>ROUND(N(data!O82), 0)</f>
        <v>0</v>
      </c>
      <c r="AC14" s="207">
        <f>ROUND(N(data!O83), 0)</f>
        <v>2735</v>
      </c>
      <c r="AD14" s="207">
        <f>ROUND(N(data!O84), 0)</f>
        <v>0</v>
      </c>
      <c r="AE14" s="207">
        <f>ROUND(N(data!O89), 0)</f>
        <v>20180</v>
      </c>
      <c r="AF14" s="207">
        <f>ROUND(N(data!O87), 0)</f>
        <v>10840</v>
      </c>
      <c r="AG14" s="207">
        <f>ROUND(N(data!O90), 0)</f>
        <v>526</v>
      </c>
      <c r="AH14" s="207">
        <f>ROUND(N(data!O91), 0)</f>
        <v>0</v>
      </c>
      <c r="AI14" s="207">
        <f>ROUND(N(data!O92), 0)</f>
        <v>233</v>
      </c>
      <c r="AJ14" s="207">
        <f>ROUND(N(data!O93), 0)</f>
        <v>2200</v>
      </c>
      <c r="AK14" s="314">
        <f>ROUND(N(data!O94), 2)</f>
        <v>0.03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054</v>
      </c>
      <c r="B15" s="209" t="str">
        <f>RIGHT(data!$C$96,4)</f>
        <v>2023</v>
      </c>
      <c r="C15" s="12" t="str">
        <f>data!P$55</f>
        <v>7020</v>
      </c>
      <c r="D15" s="12" t="s">
        <v>1157</v>
      </c>
      <c r="E15" s="207">
        <f>ROUND(N(data!P59), 0)</f>
        <v>6722</v>
      </c>
      <c r="F15" s="314">
        <f>ROUND(N(data!P60), 2)</f>
        <v>5.29</v>
      </c>
      <c r="G15" s="207">
        <f>ROUND(N(data!P61), 0)</f>
        <v>768944</v>
      </c>
      <c r="H15" s="207">
        <f>ROUND(N(data!P62), 0)</f>
        <v>183824</v>
      </c>
      <c r="I15" s="207">
        <f>ROUND(N(data!P63), 0)</f>
        <v>0</v>
      </c>
      <c r="J15" s="207">
        <f>ROUND(N(data!P64), 0)</f>
        <v>154624</v>
      </c>
      <c r="K15" s="207">
        <f>ROUND(N(data!P65), 0)</f>
        <v>0</v>
      </c>
      <c r="L15" s="207">
        <f>ROUND(N(data!P66), 0)</f>
        <v>15294</v>
      </c>
      <c r="M15" s="207">
        <f>ROUND(N(data!P67), 0)</f>
        <v>136425</v>
      </c>
      <c r="N15" s="207">
        <f>ROUND(N(data!P68), 0)</f>
        <v>208</v>
      </c>
      <c r="O15" s="207">
        <f>ROUND(N(data!P69), 0)</f>
        <v>26754</v>
      </c>
      <c r="P15" s="207">
        <f>ROUND(N(data!P70), 0)</f>
        <v>0</v>
      </c>
      <c r="Q15" s="207">
        <f>ROUND(N(data!P71), 0)</f>
        <v>13</v>
      </c>
      <c r="R15" s="207">
        <f>ROUND(N(data!P72), 0)</f>
        <v>586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16567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5739</v>
      </c>
      <c r="AB15" s="207">
        <f>ROUND(N(data!P82), 0)</f>
        <v>861</v>
      </c>
      <c r="AC15" s="207">
        <f>ROUND(N(data!P83), 0)</f>
        <v>2988</v>
      </c>
      <c r="AD15" s="207">
        <f>ROUND(N(data!P84), 0)</f>
        <v>0</v>
      </c>
      <c r="AE15" s="207">
        <f>ROUND(N(data!P89), 0)</f>
        <v>1591653</v>
      </c>
      <c r="AF15" s="207">
        <f>ROUND(N(data!P87), 0)</f>
        <v>41886</v>
      </c>
      <c r="AG15" s="207">
        <f>ROUND(N(data!P90), 0)</f>
        <v>6251</v>
      </c>
      <c r="AH15" s="207">
        <f>ROUND(N(data!P91), 0)</f>
        <v>0</v>
      </c>
      <c r="AI15" s="207">
        <f>ROUND(N(data!P92), 0)</f>
        <v>0</v>
      </c>
      <c r="AJ15" s="207">
        <f>ROUND(N(data!P93), 0)</f>
        <v>3997</v>
      </c>
      <c r="AK15" s="314">
        <f>ROUND(N(data!P94), 2)</f>
        <v>0.89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054</v>
      </c>
      <c r="B16" s="209" t="str">
        <f>RIGHT(data!$C$96,4)</f>
        <v>2023</v>
      </c>
      <c r="C16" s="12" t="str">
        <f>data!Q$55</f>
        <v>7030</v>
      </c>
      <c r="D16" s="12" t="s">
        <v>1157</v>
      </c>
      <c r="E16" s="207">
        <f>ROUND(N(data!Q59), 0)</f>
        <v>8216</v>
      </c>
      <c r="F16" s="314">
        <f>ROUND(N(data!Q60), 2)</f>
        <v>0.01</v>
      </c>
      <c r="G16" s="207">
        <f>ROUND(N(data!Q61), 0)</f>
        <v>1653</v>
      </c>
      <c r="H16" s="207">
        <f>ROUND(N(data!Q62), 0)</f>
        <v>395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144111</v>
      </c>
      <c r="AF16" s="207">
        <f>ROUND(N(data!Q87), 0)</f>
        <v>2404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662</v>
      </c>
      <c r="AK16" s="314">
        <f>ROUND(N(data!Q94), 2)</f>
        <v>0.01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054</v>
      </c>
      <c r="B17" s="209" t="str">
        <f>RIGHT(data!$C$96,4)</f>
        <v>2023</v>
      </c>
      <c r="C17" s="12" t="str">
        <f>data!R$55</f>
        <v>7040</v>
      </c>
      <c r="D17" s="12" t="s">
        <v>1157</v>
      </c>
      <c r="E17" s="207">
        <f>ROUND(N(data!R59), 0)</f>
        <v>15456</v>
      </c>
      <c r="F17" s="314">
        <f>ROUND(N(data!R60), 2)</f>
        <v>1.34</v>
      </c>
      <c r="G17" s="207">
        <f>ROUND(N(data!R61), 0)</f>
        <v>551204</v>
      </c>
      <c r="H17" s="207">
        <f>ROUND(N(data!R62), 0)</f>
        <v>131771</v>
      </c>
      <c r="I17" s="207">
        <f>ROUND(N(data!R63), 0)</f>
        <v>0</v>
      </c>
      <c r="J17" s="207">
        <f>ROUND(N(data!R64), 0)</f>
        <v>17199</v>
      </c>
      <c r="K17" s="207">
        <f>ROUND(N(data!R65), 0)</f>
        <v>0</v>
      </c>
      <c r="L17" s="207">
        <f>ROUND(N(data!R66), 0)</f>
        <v>9163</v>
      </c>
      <c r="M17" s="207">
        <f>ROUND(N(data!R67), 0)</f>
        <v>10991</v>
      </c>
      <c r="N17" s="207">
        <f>ROUND(N(data!R68), 0)</f>
        <v>0</v>
      </c>
      <c r="O17" s="207">
        <f>ROUND(N(data!R69), 0)</f>
        <v>52550</v>
      </c>
      <c r="P17" s="207">
        <f>ROUND(N(data!R70), 0)</f>
        <v>0</v>
      </c>
      <c r="Q17" s="207">
        <f>ROUND(N(data!R71), 0)</f>
        <v>29430</v>
      </c>
      <c r="R17" s="207">
        <f>ROUND(N(data!R72), 0)</f>
        <v>161</v>
      </c>
      <c r="S17" s="207">
        <f>ROUND(N(data!R73), 0)</f>
        <v>4439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2060</v>
      </c>
      <c r="X17" s="207">
        <f>ROUND(N(data!R78), 0)</f>
        <v>0</v>
      </c>
      <c r="Y17" s="207">
        <f>ROUND(N(data!R79), 0)</f>
        <v>0</v>
      </c>
      <c r="Z17" s="207">
        <f>ROUND(N(data!R80), 0)</f>
        <v>1225</v>
      </c>
      <c r="AA17" s="207">
        <f>ROUND(N(data!R81), 0)</f>
        <v>1149</v>
      </c>
      <c r="AB17" s="207">
        <f>ROUND(N(data!R82), 0)</f>
        <v>374</v>
      </c>
      <c r="AC17" s="207">
        <f>ROUND(N(data!R83), 0)</f>
        <v>13712</v>
      </c>
      <c r="AD17" s="207">
        <f>ROUND(N(data!R84), 0)</f>
        <v>0</v>
      </c>
      <c r="AE17" s="207">
        <f>ROUND(N(data!R89), 0)</f>
        <v>1101121</v>
      </c>
      <c r="AF17" s="207">
        <f>ROUND(N(data!R87), 0)</f>
        <v>2809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4">
        <f>ROUND(N(data!R94), 2)</f>
        <v>1.1499999999999999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054</v>
      </c>
      <c r="B18" s="209" t="str">
        <f>RIGHT(data!$C$96,4)</f>
        <v>2023</v>
      </c>
      <c r="C18" s="12" t="str">
        <f>data!S$55</f>
        <v>7050</v>
      </c>
      <c r="D18" s="12" t="s">
        <v>1157</v>
      </c>
      <c r="E18" s="207">
        <f>ROUND(N(data!S59), 0)</f>
        <v>0</v>
      </c>
      <c r="F18" s="314">
        <f>ROUND(N(data!S60), 2)</f>
        <v>2.02</v>
      </c>
      <c r="G18" s="207">
        <f>ROUND(N(data!S61), 0)</f>
        <v>88687</v>
      </c>
      <c r="H18" s="207">
        <f>ROUND(N(data!S62), 0)</f>
        <v>21202</v>
      </c>
      <c r="I18" s="207">
        <f>ROUND(N(data!S63), 0)</f>
        <v>0</v>
      </c>
      <c r="J18" s="207">
        <f>ROUND(N(data!S64), 0)</f>
        <v>77978</v>
      </c>
      <c r="K18" s="207">
        <f>ROUND(N(data!S65), 0)</f>
        <v>0</v>
      </c>
      <c r="L18" s="207">
        <f>ROUND(N(data!S66), 0)</f>
        <v>-44</v>
      </c>
      <c r="M18" s="207">
        <f>ROUND(N(data!S67), 0)</f>
        <v>15418</v>
      </c>
      <c r="N18" s="207">
        <f>ROUND(N(data!S68), 0)</f>
        <v>0</v>
      </c>
      <c r="O18" s="207">
        <f>ROUND(N(data!S69), 0)</f>
        <v>10984</v>
      </c>
      <c r="P18" s="207">
        <f>ROUND(N(data!S70), 0)</f>
        <v>0</v>
      </c>
      <c r="Q18" s="207">
        <f>ROUND(N(data!S71), 0)</f>
        <v>0</v>
      </c>
      <c r="R18" s="207">
        <f>ROUND(N(data!S72), 0)</f>
        <v>322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6444</v>
      </c>
      <c r="AB18" s="207">
        <f>ROUND(N(data!S82), 0)</f>
        <v>1</v>
      </c>
      <c r="AC18" s="207">
        <f>ROUND(N(data!S83), 0)</f>
        <v>4218</v>
      </c>
      <c r="AD18" s="207">
        <f>ROUND(N(data!S84), 0)</f>
        <v>0</v>
      </c>
      <c r="AE18" s="207">
        <f>ROUND(N(data!S89), 0)</f>
        <v>575259</v>
      </c>
      <c r="AF18" s="207">
        <f>ROUND(N(data!S87), 0)</f>
        <v>49799</v>
      </c>
      <c r="AG18" s="207">
        <f>ROUND(N(data!S90), 0)</f>
        <v>1510</v>
      </c>
      <c r="AH18" s="207">
        <f>ROUND(N(data!S91), 0)</f>
        <v>0</v>
      </c>
      <c r="AI18" s="207">
        <f>ROUND(N(data!S92), 0)</f>
        <v>125</v>
      </c>
      <c r="AJ18" s="207">
        <f>ROUND(N(data!S93), 0)</f>
        <v>0</v>
      </c>
      <c r="AK18" s="314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054</v>
      </c>
      <c r="B19" s="209" t="str">
        <f>RIGHT(data!$C$96,4)</f>
        <v>2023</v>
      </c>
      <c r="C19" s="12" t="str">
        <f>data!T$55</f>
        <v>7060</v>
      </c>
      <c r="D19" s="12" t="s">
        <v>1157</v>
      </c>
      <c r="E19" s="207">
        <f>ROUND(N(data!T59), 0)</f>
        <v>0</v>
      </c>
      <c r="F19" s="314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4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054</v>
      </c>
      <c r="B20" s="209" t="str">
        <f>RIGHT(data!$C$96,4)</f>
        <v>2023</v>
      </c>
      <c r="C20" s="12" t="str">
        <f>data!U$55</f>
        <v>7070</v>
      </c>
      <c r="D20" s="12" t="s">
        <v>1157</v>
      </c>
      <c r="E20" s="207">
        <f>ROUND(N(data!U59), 0)</f>
        <v>59291</v>
      </c>
      <c r="F20" s="314">
        <f>ROUND(N(data!U60), 2)</f>
        <v>8.6999999999999993</v>
      </c>
      <c r="G20" s="207">
        <f>ROUND(N(data!U61), 0)</f>
        <v>598487</v>
      </c>
      <c r="H20" s="207">
        <f>ROUND(N(data!U62), 0)</f>
        <v>143075</v>
      </c>
      <c r="I20" s="207">
        <f>ROUND(N(data!U63), 0)</f>
        <v>0</v>
      </c>
      <c r="J20" s="207">
        <f>ROUND(N(data!U64), 0)</f>
        <v>614182</v>
      </c>
      <c r="K20" s="207">
        <f>ROUND(N(data!U65), 0)</f>
        <v>0</v>
      </c>
      <c r="L20" s="207">
        <f>ROUND(N(data!U66), 0)</f>
        <v>24666</v>
      </c>
      <c r="M20" s="207">
        <f>ROUND(N(data!U67), 0)</f>
        <v>98779</v>
      </c>
      <c r="N20" s="207">
        <f>ROUND(N(data!U68), 0)</f>
        <v>16603</v>
      </c>
      <c r="O20" s="207">
        <f>ROUND(N(data!U69), 0)</f>
        <v>411743</v>
      </c>
      <c r="P20" s="207">
        <f>ROUND(N(data!U70), 0)</f>
        <v>0</v>
      </c>
      <c r="Q20" s="207">
        <f>ROUND(N(data!U71), 0)</f>
        <v>155312</v>
      </c>
      <c r="R20" s="207">
        <f>ROUND(N(data!U72), 0)</f>
        <v>86084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58044</v>
      </c>
      <c r="W20" s="207">
        <f>ROUND(N(data!U77), 0)</f>
        <v>41705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38038</v>
      </c>
      <c r="AB20" s="207">
        <f>ROUND(N(data!U82), 0)</f>
        <v>873</v>
      </c>
      <c r="AC20" s="207">
        <f>ROUND(N(data!U83), 0)</f>
        <v>31687</v>
      </c>
      <c r="AD20" s="207">
        <f>ROUND(N(data!U84), 0)</f>
        <v>0</v>
      </c>
      <c r="AE20" s="207">
        <f>ROUND(N(data!U89), 0)</f>
        <v>8225385</v>
      </c>
      <c r="AF20" s="207">
        <f>ROUND(N(data!U87), 0)</f>
        <v>521816</v>
      </c>
      <c r="AG20" s="207">
        <f>ROUND(N(data!U90), 0)</f>
        <v>1260</v>
      </c>
      <c r="AH20" s="207">
        <f>ROUND(N(data!U91), 0)</f>
        <v>0</v>
      </c>
      <c r="AI20" s="207">
        <f>ROUND(N(data!U92), 0)</f>
        <v>273</v>
      </c>
      <c r="AJ20" s="207">
        <f>ROUND(N(data!U93), 0)</f>
        <v>7</v>
      </c>
      <c r="AK20" s="314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054</v>
      </c>
      <c r="B21" s="209" t="str">
        <f>RIGHT(data!$C$96,4)</f>
        <v>2023</v>
      </c>
      <c r="C21" s="12" t="str">
        <f>data!V$55</f>
        <v>7110</v>
      </c>
      <c r="D21" s="12" t="s">
        <v>1157</v>
      </c>
      <c r="E21" s="207">
        <f>ROUND(N(data!V59), 0)</f>
        <v>0</v>
      </c>
      <c r="F21" s="314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2410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236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4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054</v>
      </c>
      <c r="B22" s="209" t="str">
        <f>RIGHT(data!$C$96,4)</f>
        <v>2023</v>
      </c>
      <c r="C22" s="12" t="str">
        <f>data!W$55</f>
        <v>7120</v>
      </c>
      <c r="D22" s="12" t="s">
        <v>1157</v>
      </c>
      <c r="E22" s="207">
        <f>ROUND(N(data!W59), 0)</f>
        <v>4117</v>
      </c>
      <c r="F22" s="314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2956</v>
      </c>
      <c r="K22" s="207">
        <f>ROUND(N(data!W65), 0)</f>
        <v>0</v>
      </c>
      <c r="L22" s="207">
        <f>ROUND(N(data!W66), 0)</f>
        <v>97635</v>
      </c>
      <c r="M22" s="207">
        <f>ROUND(N(data!W67), 0)</f>
        <v>0</v>
      </c>
      <c r="N22" s="207">
        <f>ROUND(N(data!W68), 0)</f>
        <v>0</v>
      </c>
      <c r="O22" s="207">
        <f>ROUND(N(data!W69), 0)</f>
        <v>41419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41268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14</v>
      </c>
      <c r="AB22" s="207">
        <f>ROUND(N(data!W82), 0)</f>
        <v>106</v>
      </c>
      <c r="AC22" s="207">
        <f>ROUND(N(data!W83), 0)</f>
        <v>31</v>
      </c>
      <c r="AD22" s="207">
        <f>ROUND(N(data!W84), 0)</f>
        <v>0</v>
      </c>
      <c r="AE22" s="207">
        <f>ROUND(N(data!W89), 0)</f>
        <v>1461408</v>
      </c>
      <c r="AF22" s="207">
        <f>ROUND(N(data!W87), 0)</f>
        <v>25611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4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054</v>
      </c>
      <c r="B23" s="209" t="str">
        <f>RIGHT(data!$C$96,4)</f>
        <v>2023</v>
      </c>
      <c r="C23" s="12" t="str">
        <f>data!X$55</f>
        <v>7130</v>
      </c>
      <c r="D23" s="12" t="s">
        <v>1157</v>
      </c>
      <c r="E23" s="207">
        <f>ROUND(N(data!X59), 0)</f>
        <v>12927</v>
      </c>
      <c r="F23" s="314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17580</v>
      </c>
      <c r="K23" s="207">
        <f>ROUND(N(data!X65), 0)</f>
        <v>0</v>
      </c>
      <c r="L23" s="207">
        <f>ROUND(N(data!X66), 0)</f>
        <v>16107</v>
      </c>
      <c r="M23" s="207">
        <f>ROUND(N(data!X67), 0)</f>
        <v>0</v>
      </c>
      <c r="N23" s="207">
        <f>ROUND(N(data!X68), 0)</f>
        <v>0</v>
      </c>
      <c r="O23" s="207">
        <f>ROUND(N(data!X69), 0)</f>
        <v>56685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53298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3136</v>
      </c>
      <c r="AB23" s="207">
        <f>ROUND(N(data!X82), 0)</f>
        <v>0</v>
      </c>
      <c r="AC23" s="207">
        <f>ROUND(N(data!X83), 0)</f>
        <v>251</v>
      </c>
      <c r="AD23" s="207">
        <f>ROUND(N(data!X84), 0)</f>
        <v>0</v>
      </c>
      <c r="AE23" s="207">
        <f>ROUND(N(data!X89), 0)</f>
        <v>6596873</v>
      </c>
      <c r="AF23" s="207">
        <f>ROUND(N(data!X87), 0)</f>
        <v>225908</v>
      </c>
      <c r="AG23" s="207">
        <f>ROUND(N(data!X90), 0)</f>
        <v>0</v>
      </c>
      <c r="AH23" s="207">
        <f>ROUND(N(data!X91), 0)</f>
        <v>0</v>
      </c>
      <c r="AI23" s="207">
        <f>ROUND(N(data!X92), 0)</f>
        <v>151</v>
      </c>
      <c r="AJ23" s="207">
        <f>ROUND(N(data!X93), 0)</f>
        <v>997</v>
      </c>
      <c r="AK23" s="314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054</v>
      </c>
      <c r="B24" s="209" t="str">
        <f>RIGHT(data!$C$96,4)</f>
        <v>2023</v>
      </c>
      <c r="C24" s="12" t="str">
        <f>data!Y$55</f>
        <v>7140</v>
      </c>
      <c r="D24" s="12" t="s">
        <v>1157</v>
      </c>
      <c r="E24" s="207">
        <f>ROUND(N(data!Y59), 0)</f>
        <v>7350</v>
      </c>
      <c r="F24" s="314">
        <f>ROUND(N(data!Y60), 2)</f>
        <v>11.19</v>
      </c>
      <c r="G24" s="207">
        <f>ROUND(N(data!Y61), 0)</f>
        <v>1405329</v>
      </c>
      <c r="H24" s="207">
        <f>ROUND(N(data!Y62), 0)</f>
        <v>335959</v>
      </c>
      <c r="I24" s="207">
        <f>ROUND(N(data!Y63), 0)</f>
        <v>0</v>
      </c>
      <c r="J24" s="207">
        <f>ROUND(N(data!Y64), 0)</f>
        <v>20741</v>
      </c>
      <c r="K24" s="207">
        <f>ROUND(N(data!Y65), 0)</f>
        <v>0</v>
      </c>
      <c r="L24" s="207">
        <f>ROUND(N(data!Y66), 0)</f>
        <v>139467</v>
      </c>
      <c r="M24" s="207">
        <f>ROUND(N(data!Y67), 0)</f>
        <v>142591</v>
      </c>
      <c r="N24" s="207">
        <f>ROUND(N(data!Y68), 0)</f>
        <v>497</v>
      </c>
      <c r="O24" s="207">
        <f>ROUND(N(data!Y69), 0)</f>
        <v>177902</v>
      </c>
      <c r="P24" s="207">
        <f>ROUND(N(data!Y70), 0)</f>
        <v>0</v>
      </c>
      <c r="Q24" s="207">
        <f>ROUND(N(data!Y71), 0)</f>
        <v>40077</v>
      </c>
      <c r="R24" s="207">
        <f>ROUND(N(data!Y72), 0)</f>
        <v>1472</v>
      </c>
      <c r="S24" s="207">
        <f>ROUND(N(data!Y73), 0)</f>
        <v>31071</v>
      </c>
      <c r="T24" s="207">
        <f>ROUND(N(data!Y74), 0)</f>
        <v>0</v>
      </c>
      <c r="U24" s="207">
        <f>ROUND(N(data!Y75), 0)</f>
        <v>1700</v>
      </c>
      <c r="V24" s="207">
        <f>ROUND(N(data!Y76), 0)</f>
        <v>0</v>
      </c>
      <c r="W24" s="207">
        <f>ROUND(N(data!Y77), 0)</f>
        <v>84532</v>
      </c>
      <c r="X24" s="207">
        <f>ROUND(N(data!Y78), 0)</f>
        <v>0</v>
      </c>
      <c r="Y24" s="207">
        <f>ROUND(N(data!Y79), 0)</f>
        <v>0</v>
      </c>
      <c r="Z24" s="207">
        <f>ROUND(N(data!Y80), 0)</f>
        <v>1950</v>
      </c>
      <c r="AA24" s="207">
        <f>ROUND(N(data!Y81), 0)</f>
        <v>7492</v>
      </c>
      <c r="AB24" s="207">
        <f>ROUND(N(data!Y82), 0)</f>
        <v>1921</v>
      </c>
      <c r="AC24" s="207">
        <f>ROUND(N(data!Y83), 0)</f>
        <v>7687</v>
      </c>
      <c r="AD24" s="207">
        <f>ROUND(N(data!Y84), 0)</f>
        <v>0</v>
      </c>
      <c r="AE24" s="207">
        <f>ROUND(N(data!Y89), 0)</f>
        <v>6159767</v>
      </c>
      <c r="AF24" s="207">
        <f>ROUND(N(data!Y87), 0)</f>
        <v>123531</v>
      </c>
      <c r="AG24" s="207">
        <f>ROUND(N(data!Y90), 0)</f>
        <v>2491</v>
      </c>
      <c r="AH24" s="207">
        <f>ROUND(N(data!Y91), 0)</f>
        <v>0</v>
      </c>
      <c r="AI24" s="207">
        <f>ROUND(N(data!Y92), 0)</f>
        <v>884</v>
      </c>
      <c r="AJ24" s="207">
        <f>ROUND(N(data!Y93), 0)</f>
        <v>583</v>
      </c>
      <c r="AK24" s="314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054</v>
      </c>
      <c r="B25" s="209" t="str">
        <f>RIGHT(data!$C$96,4)</f>
        <v>2023</v>
      </c>
      <c r="C25" s="12" t="str">
        <f>data!Z$55</f>
        <v>7150</v>
      </c>
      <c r="D25" s="12" t="s">
        <v>1157</v>
      </c>
      <c r="E25" s="207">
        <f>ROUND(N(data!Z59), 0)</f>
        <v>0</v>
      </c>
      <c r="F25" s="314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4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054</v>
      </c>
      <c r="B26" s="209" t="str">
        <f>RIGHT(data!$C$96,4)</f>
        <v>2023</v>
      </c>
      <c r="C26" s="12" t="str">
        <f>data!AA$55</f>
        <v>7160</v>
      </c>
      <c r="D26" s="12" t="s">
        <v>1157</v>
      </c>
      <c r="E26" s="207">
        <f>ROUND(N(data!AA59), 0)</f>
        <v>314</v>
      </c>
      <c r="F26" s="314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10822</v>
      </c>
      <c r="K26" s="207">
        <f>ROUND(N(data!AA65), 0)</f>
        <v>0</v>
      </c>
      <c r="L26" s="207">
        <f>ROUND(N(data!AA66), 0)</f>
        <v>52272</v>
      </c>
      <c r="M26" s="207">
        <f>ROUND(N(data!AA67), 0)</f>
        <v>0</v>
      </c>
      <c r="N26" s="207">
        <f>ROUND(N(data!AA68), 0)</f>
        <v>0</v>
      </c>
      <c r="O26" s="207">
        <f>ROUND(N(data!AA69), 0)</f>
        <v>24845</v>
      </c>
      <c r="P26" s="207">
        <f>ROUND(N(data!AA70), 0)</f>
        <v>0</v>
      </c>
      <c r="Q26" s="207">
        <f>ROUND(N(data!AA71), 0)</f>
        <v>21400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3445</v>
      </c>
      <c r="AD26" s="207">
        <f>ROUND(N(data!AA84), 0)</f>
        <v>0</v>
      </c>
      <c r="AE26" s="207">
        <f>ROUND(N(data!AA89), 0)</f>
        <v>252958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4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054</v>
      </c>
      <c r="B27" s="209" t="str">
        <f>RIGHT(data!$C$96,4)</f>
        <v>2023</v>
      </c>
      <c r="C27" s="12" t="str">
        <f>data!AB$55</f>
        <v>7170</v>
      </c>
      <c r="D27" s="12" t="s">
        <v>1157</v>
      </c>
      <c r="E27" s="207">
        <f>ROUND(N(data!AB59), 0)</f>
        <v>0</v>
      </c>
      <c r="F27" s="314">
        <f>ROUND(N(data!AB60), 2)</f>
        <v>3.15</v>
      </c>
      <c r="G27" s="207">
        <f>ROUND(N(data!AB61), 0)</f>
        <v>285737</v>
      </c>
      <c r="H27" s="207">
        <f>ROUND(N(data!AB62), 0)</f>
        <v>68309</v>
      </c>
      <c r="I27" s="207">
        <f>ROUND(N(data!AB63), 0)</f>
        <v>0</v>
      </c>
      <c r="J27" s="207">
        <f>ROUND(N(data!AB64), 0)</f>
        <v>891642</v>
      </c>
      <c r="K27" s="207">
        <f>ROUND(N(data!AB65), 0)</f>
        <v>0</v>
      </c>
      <c r="L27" s="207">
        <f>ROUND(N(data!AB66), 0)</f>
        <v>68920</v>
      </c>
      <c r="M27" s="207">
        <f>ROUND(N(data!AB67), 0)</f>
        <v>8383</v>
      </c>
      <c r="N27" s="207">
        <f>ROUND(N(data!AB68), 0)</f>
        <v>48806</v>
      </c>
      <c r="O27" s="207">
        <f>ROUND(N(data!AB69), 0)</f>
        <v>69097</v>
      </c>
      <c r="P27" s="207">
        <f>ROUND(N(data!AB70), 0)</f>
        <v>0</v>
      </c>
      <c r="Q27" s="207">
        <f>ROUND(N(data!AB71), 0)</f>
        <v>17936</v>
      </c>
      <c r="R27" s="207">
        <f>ROUND(N(data!AB72), 0)</f>
        <v>17871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135</v>
      </c>
      <c r="W27" s="207">
        <f>ROUND(N(data!AB77), 0)</f>
        <v>7963</v>
      </c>
      <c r="X27" s="207">
        <f>ROUND(N(data!AB78), 0)</f>
        <v>0</v>
      </c>
      <c r="Y27" s="207">
        <f>ROUND(N(data!AB79), 0)</f>
        <v>0</v>
      </c>
      <c r="Z27" s="207">
        <f>ROUND(N(data!AB80), 0)</f>
        <v>-135</v>
      </c>
      <c r="AA27" s="207">
        <f>ROUND(N(data!AB81), 0)</f>
        <v>10892</v>
      </c>
      <c r="AB27" s="207">
        <f>ROUND(N(data!AB82), 0)</f>
        <v>2855</v>
      </c>
      <c r="AC27" s="207">
        <f>ROUND(N(data!AB83), 0)</f>
        <v>11579</v>
      </c>
      <c r="AD27" s="207">
        <f>ROUND(N(data!AB84), 0)</f>
        <v>0</v>
      </c>
      <c r="AE27" s="207">
        <f>ROUND(N(data!AB89), 0)</f>
        <v>3574809</v>
      </c>
      <c r="AF27" s="207">
        <f>ROUND(N(data!AB87), 0)</f>
        <v>505872</v>
      </c>
      <c r="AG27" s="207">
        <f>ROUND(N(data!AB90), 0)</f>
        <v>394</v>
      </c>
      <c r="AH27" s="207">
        <f>ROUND(N(data!AB91), 0)</f>
        <v>0</v>
      </c>
      <c r="AI27" s="207">
        <f>ROUND(N(data!AB92), 0)</f>
        <v>122</v>
      </c>
      <c r="AJ27" s="207">
        <f>ROUND(N(data!AB93), 0)</f>
        <v>0</v>
      </c>
      <c r="AK27" s="314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054</v>
      </c>
      <c r="B28" s="209" t="str">
        <f>RIGHT(data!$C$96,4)</f>
        <v>2023</v>
      </c>
      <c r="C28" s="12" t="str">
        <f>data!AC$55</f>
        <v>7180</v>
      </c>
      <c r="D28" s="12" t="s">
        <v>1157</v>
      </c>
      <c r="E28" s="207">
        <f>ROUND(N(data!AC59), 0)</f>
        <v>737</v>
      </c>
      <c r="F28" s="314">
        <f>ROUND(N(data!AC60), 2)</f>
        <v>0.93</v>
      </c>
      <c r="G28" s="207">
        <f>ROUND(N(data!AC61), 0)</f>
        <v>78371</v>
      </c>
      <c r="H28" s="207">
        <f>ROUND(N(data!AC62), 0)</f>
        <v>18736</v>
      </c>
      <c r="I28" s="207">
        <f>ROUND(N(data!AC63), 0)</f>
        <v>0</v>
      </c>
      <c r="J28" s="207">
        <f>ROUND(N(data!AC64), 0)</f>
        <v>2670</v>
      </c>
      <c r="K28" s="207">
        <f>ROUND(N(data!AC65), 0)</f>
        <v>0</v>
      </c>
      <c r="L28" s="207">
        <f>ROUND(N(data!AC66), 0)</f>
        <v>3775</v>
      </c>
      <c r="M28" s="207">
        <f>ROUND(N(data!AC67), 0)</f>
        <v>9525</v>
      </c>
      <c r="N28" s="207">
        <f>ROUND(N(data!AC68), 0)</f>
        <v>0</v>
      </c>
      <c r="O28" s="207">
        <f>ROUND(N(data!AC69), 0)</f>
        <v>2327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1907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299</v>
      </c>
      <c r="AB28" s="207">
        <f>ROUND(N(data!AC82), 0)</f>
        <v>0</v>
      </c>
      <c r="AC28" s="207">
        <f>ROUND(N(data!AC83), 0)</f>
        <v>120</v>
      </c>
      <c r="AD28" s="207">
        <f>ROUND(N(data!AC84), 0)</f>
        <v>0</v>
      </c>
      <c r="AE28" s="207">
        <f>ROUND(N(data!AC89), 0)</f>
        <v>396531</v>
      </c>
      <c r="AF28" s="207">
        <f>ROUND(N(data!AC87), 0)</f>
        <v>95540</v>
      </c>
      <c r="AG28" s="207">
        <f>ROUND(N(data!AC90), 0)</f>
        <v>752</v>
      </c>
      <c r="AH28" s="207">
        <f>ROUND(N(data!AC91), 0)</f>
        <v>0</v>
      </c>
      <c r="AI28" s="207">
        <f>ROUND(N(data!AC92), 0)</f>
        <v>130</v>
      </c>
      <c r="AJ28" s="207">
        <f>ROUND(N(data!AC93), 0)</f>
        <v>129</v>
      </c>
      <c r="AK28" s="314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054</v>
      </c>
      <c r="B29" s="209" t="str">
        <f>RIGHT(data!$C$96,4)</f>
        <v>2023</v>
      </c>
      <c r="C29" s="12" t="str">
        <f>data!AD$55</f>
        <v>7190</v>
      </c>
      <c r="D29" s="12" t="s">
        <v>1157</v>
      </c>
      <c r="E29" s="207">
        <f>ROUND(N(data!AD59), 0)</f>
        <v>0</v>
      </c>
      <c r="F29" s="314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4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054</v>
      </c>
      <c r="B30" s="209" t="str">
        <f>RIGHT(data!$C$96,4)</f>
        <v>2023</v>
      </c>
      <c r="C30" s="12" t="str">
        <f>data!AE$55</f>
        <v>7200</v>
      </c>
      <c r="D30" s="12" t="s">
        <v>1157</v>
      </c>
      <c r="E30" s="207">
        <f>ROUND(N(data!AE59), 0)</f>
        <v>6238</v>
      </c>
      <c r="F30" s="314">
        <f>ROUND(N(data!AE60), 2)</f>
        <v>9.77</v>
      </c>
      <c r="G30" s="207">
        <f>ROUND(N(data!AE61), 0)</f>
        <v>654485</v>
      </c>
      <c r="H30" s="207">
        <f>ROUND(N(data!AE62), 0)</f>
        <v>156462</v>
      </c>
      <c r="I30" s="207">
        <f>ROUND(N(data!AE63), 0)</f>
        <v>0</v>
      </c>
      <c r="J30" s="207">
        <f>ROUND(N(data!AE64), 0)</f>
        <v>23719</v>
      </c>
      <c r="K30" s="207">
        <f>ROUND(N(data!AE65), 0)</f>
        <v>0</v>
      </c>
      <c r="L30" s="207">
        <f>ROUND(N(data!AE66), 0)</f>
        <v>1209</v>
      </c>
      <c r="M30" s="207">
        <f>ROUND(N(data!AE67), 0)</f>
        <v>57970</v>
      </c>
      <c r="N30" s="207">
        <f>ROUND(N(data!AE68), 0)</f>
        <v>681</v>
      </c>
      <c r="O30" s="207">
        <f>ROUND(N(data!AE69), 0)</f>
        <v>179700</v>
      </c>
      <c r="P30" s="207">
        <f>ROUND(N(data!AE70), 0)</f>
        <v>0</v>
      </c>
      <c r="Q30" s="207">
        <f>ROUND(N(data!AE71), 0)</f>
        <v>170218</v>
      </c>
      <c r="R30" s="207">
        <f>ROUND(N(data!AE72), 0)</f>
        <v>1930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-324</v>
      </c>
      <c r="X30" s="207">
        <f>ROUND(N(data!AE78), 0)</f>
        <v>0</v>
      </c>
      <c r="Y30" s="207">
        <f>ROUND(N(data!AE79), 0)</f>
        <v>0</v>
      </c>
      <c r="Z30" s="207">
        <f>ROUND(N(data!AE80), 0)</f>
        <v>3458</v>
      </c>
      <c r="AA30" s="207">
        <f>ROUND(N(data!AE81), 0)</f>
        <v>496</v>
      </c>
      <c r="AB30" s="207">
        <f>ROUND(N(data!AE82), 0)</f>
        <v>723</v>
      </c>
      <c r="AC30" s="207">
        <f>ROUND(N(data!AE83), 0)</f>
        <v>3198</v>
      </c>
      <c r="AD30" s="207">
        <f>ROUND(N(data!AE84), 0)</f>
        <v>0</v>
      </c>
      <c r="AE30" s="207">
        <f>ROUND(N(data!AE89), 0)</f>
        <v>3676998</v>
      </c>
      <c r="AF30" s="207">
        <f>ROUND(N(data!AE87), 0)</f>
        <v>298929</v>
      </c>
      <c r="AG30" s="207">
        <f>ROUND(N(data!AE90), 0)</f>
        <v>2996</v>
      </c>
      <c r="AH30" s="207">
        <f>ROUND(N(data!AE91), 0)</f>
        <v>0</v>
      </c>
      <c r="AI30" s="207">
        <f>ROUND(N(data!AE92), 0)</f>
        <v>221</v>
      </c>
      <c r="AJ30" s="207">
        <f>ROUND(N(data!AE93), 0)</f>
        <v>4872</v>
      </c>
      <c r="AK30" s="314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054</v>
      </c>
      <c r="B31" s="209" t="str">
        <f>RIGHT(data!$C$96,4)</f>
        <v>2023</v>
      </c>
      <c r="C31" s="12" t="str">
        <f>data!AF$55</f>
        <v>7220</v>
      </c>
      <c r="D31" s="12" t="s">
        <v>1157</v>
      </c>
      <c r="E31" s="207">
        <f>ROUND(N(data!AF59), 0)</f>
        <v>0</v>
      </c>
      <c r="F31" s="314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4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054</v>
      </c>
      <c r="B32" s="209" t="str">
        <f>RIGHT(data!$C$96,4)</f>
        <v>2023</v>
      </c>
      <c r="C32" s="12" t="str">
        <f>data!AG$55</f>
        <v>7230</v>
      </c>
      <c r="D32" s="12" t="s">
        <v>1157</v>
      </c>
      <c r="E32" s="207">
        <f>ROUND(N(data!AG59), 0)</f>
        <v>4939</v>
      </c>
      <c r="F32" s="314">
        <f>ROUND(N(data!AG60), 2)</f>
        <v>7</v>
      </c>
      <c r="G32" s="207">
        <f>ROUND(N(data!AG61), 0)</f>
        <v>844109</v>
      </c>
      <c r="H32" s="207">
        <f>ROUND(N(data!AG62), 0)</f>
        <v>201793</v>
      </c>
      <c r="I32" s="207">
        <f>ROUND(N(data!AG63), 0)</f>
        <v>0</v>
      </c>
      <c r="J32" s="207">
        <f>ROUND(N(data!AG64), 0)</f>
        <v>74674</v>
      </c>
      <c r="K32" s="207">
        <f>ROUND(N(data!AG65), 0)</f>
        <v>0</v>
      </c>
      <c r="L32" s="207">
        <f>ROUND(N(data!AG66), 0)</f>
        <v>47566</v>
      </c>
      <c r="M32" s="207">
        <f>ROUND(N(data!AG67), 0)</f>
        <v>77699</v>
      </c>
      <c r="N32" s="207">
        <f>ROUND(N(data!AG68), 0)</f>
        <v>223</v>
      </c>
      <c r="O32" s="207">
        <f>ROUND(N(data!AG69), 0)</f>
        <v>1388115</v>
      </c>
      <c r="P32" s="207">
        <f>ROUND(N(data!AG70), 0)</f>
        <v>0</v>
      </c>
      <c r="Q32" s="207">
        <f>ROUND(N(data!AG71), 0)</f>
        <v>1321858</v>
      </c>
      <c r="R32" s="207">
        <f>ROUND(N(data!AG72), 0)</f>
        <v>23012</v>
      </c>
      <c r="S32" s="207">
        <f>ROUND(N(data!AG73), 0)</f>
        <v>31071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2010</v>
      </c>
      <c r="X32" s="207">
        <f>ROUND(N(data!AG78), 0)</f>
        <v>0</v>
      </c>
      <c r="Y32" s="207">
        <f>ROUND(N(data!AG79), 0)</f>
        <v>0</v>
      </c>
      <c r="Z32" s="207">
        <f>ROUND(N(data!AG80), 0)</f>
        <v>2849</v>
      </c>
      <c r="AA32" s="207">
        <f>ROUND(N(data!AG81), 0)</f>
        <v>1182</v>
      </c>
      <c r="AB32" s="207">
        <f>ROUND(N(data!AG82), 0)</f>
        <v>1388</v>
      </c>
      <c r="AC32" s="207">
        <f>ROUND(N(data!AG83), 0)</f>
        <v>4747</v>
      </c>
      <c r="AD32" s="207">
        <f>ROUND(N(data!AG84), 0)</f>
        <v>0</v>
      </c>
      <c r="AE32" s="207">
        <f>ROUND(N(data!AG89), 0)</f>
        <v>15088122</v>
      </c>
      <c r="AF32" s="207">
        <f>ROUND(N(data!AG87), 0)</f>
        <v>0</v>
      </c>
      <c r="AG32" s="207">
        <f>ROUND(N(data!AG90), 0)</f>
        <v>1577</v>
      </c>
      <c r="AH32" s="207">
        <f>ROUND(N(data!AG91), 0)</f>
        <v>0</v>
      </c>
      <c r="AI32" s="207">
        <f>ROUND(N(data!AG92), 0)</f>
        <v>1170</v>
      </c>
      <c r="AJ32" s="207">
        <f>ROUND(N(data!AG93), 0)</f>
        <v>27935</v>
      </c>
      <c r="AK32" s="314">
        <f>ROUND(N(data!AG94), 2)</f>
        <v>1.93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054</v>
      </c>
      <c r="B33" s="209" t="str">
        <f>RIGHT(data!$C$96,4)</f>
        <v>2023</v>
      </c>
      <c r="C33" s="12" t="str">
        <f>data!AH$55</f>
        <v>7240</v>
      </c>
      <c r="D33" s="12" t="s">
        <v>1157</v>
      </c>
      <c r="E33" s="207">
        <f>ROUND(N(data!AH59), 0)</f>
        <v>855</v>
      </c>
      <c r="F33" s="314">
        <f>ROUND(N(data!AH60), 2)</f>
        <v>5.9</v>
      </c>
      <c r="G33" s="207">
        <f>ROUND(N(data!AH61), 0)</f>
        <v>432679</v>
      </c>
      <c r="H33" s="207">
        <f>ROUND(N(data!AH62), 0)</f>
        <v>117514</v>
      </c>
      <c r="I33" s="207">
        <f>ROUND(N(data!AH63), 0)</f>
        <v>0</v>
      </c>
      <c r="J33" s="207">
        <f>ROUND(N(data!AH64), 0)</f>
        <v>49928</v>
      </c>
      <c r="K33" s="207">
        <f>ROUND(N(data!AH65), 0)</f>
        <v>0</v>
      </c>
      <c r="L33" s="207">
        <f>ROUND(N(data!AH66), 0)</f>
        <v>31261</v>
      </c>
      <c r="M33" s="207">
        <f>ROUND(N(data!AH67), 0)</f>
        <v>260161</v>
      </c>
      <c r="N33" s="207">
        <f>ROUND(N(data!AH68), 0)</f>
        <v>8536</v>
      </c>
      <c r="O33" s="207">
        <f>ROUND(N(data!AH69), 0)</f>
        <v>60626</v>
      </c>
      <c r="P33" s="207">
        <f>ROUND(N(data!AH70), 0)</f>
        <v>0</v>
      </c>
      <c r="Q33" s="207">
        <f>ROUND(N(data!AH71), 0)</f>
        <v>0</v>
      </c>
      <c r="R33" s="207">
        <f>ROUND(N(data!AH72), 0)</f>
        <v>17304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10779</v>
      </c>
      <c r="X33" s="207">
        <f>ROUND(N(data!AH78), 0)</f>
        <v>0</v>
      </c>
      <c r="Y33" s="207">
        <f>ROUND(N(data!AH79), 0)</f>
        <v>0</v>
      </c>
      <c r="Z33" s="207">
        <f>ROUND(N(data!AH80), 0)</f>
        <v>385</v>
      </c>
      <c r="AA33" s="207">
        <f>ROUND(N(data!AH81), 0)</f>
        <v>2704</v>
      </c>
      <c r="AB33" s="207">
        <f>ROUND(N(data!AH82), 0)</f>
        <v>18902</v>
      </c>
      <c r="AC33" s="207">
        <f>ROUND(N(data!AH83), 0)</f>
        <v>10553</v>
      </c>
      <c r="AD33" s="207">
        <f>ROUND(N(data!AH84), 0)</f>
        <v>0</v>
      </c>
      <c r="AE33" s="207">
        <f>ROUND(N(data!AH89), 0)</f>
        <v>1067167</v>
      </c>
      <c r="AF33" s="207">
        <f>ROUND(N(data!AH87), 0)</f>
        <v>58143</v>
      </c>
      <c r="AG33" s="207">
        <f>ROUND(N(data!AH90), 0)</f>
        <v>1650</v>
      </c>
      <c r="AH33" s="207">
        <f>ROUND(N(data!AH91), 0)</f>
        <v>0</v>
      </c>
      <c r="AI33" s="207">
        <f>ROUND(N(data!AH92), 0)</f>
        <v>76</v>
      </c>
      <c r="AJ33" s="207">
        <f>ROUND(N(data!AH93), 0)</f>
        <v>0</v>
      </c>
      <c r="AK33" s="314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054</v>
      </c>
      <c r="B34" s="209" t="str">
        <f>RIGHT(data!$C$96,4)</f>
        <v>2023</v>
      </c>
      <c r="C34" s="12" t="str">
        <f>data!AI$55</f>
        <v>7250</v>
      </c>
      <c r="D34" s="12" t="s">
        <v>1157</v>
      </c>
      <c r="E34" s="207">
        <f>ROUND(N(data!AI59), 0)</f>
        <v>0</v>
      </c>
      <c r="F34" s="314">
        <f>ROUND(N(data!AI60), 2)</f>
        <v>0.78</v>
      </c>
      <c r="G34" s="207">
        <f>ROUND(N(data!AI61), 0)</f>
        <v>102575</v>
      </c>
      <c r="H34" s="207">
        <f>ROUND(N(data!AI62), 0)</f>
        <v>24522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1981526</v>
      </c>
      <c r="AF34" s="207">
        <f>ROUND(N(data!AI87), 0)</f>
        <v>119700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4">
        <f>ROUND(N(data!AI94), 2)</f>
        <v>0.65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054</v>
      </c>
      <c r="B35" s="209" t="str">
        <f>RIGHT(data!$C$96,4)</f>
        <v>2023</v>
      </c>
      <c r="C35" s="12" t="str">
        <f>data!AJ$55</f>
        <v>7260</v>
      </c>
      <c r="D35" s="12" t="s">
        <v>1157</v>
      </c>
      <c r="E35" s="207">
        <f>ROUND(N(data!AJ59), 0)</f>
        <v>16679</v>
      </c>
      <c r="F35" s="314">
        <f>ROUND(N(data!AJ60), 2)</f>
        <v>34.159999999999997</v>
      </c>
      <c r="G35" s="207">
        <f>ROUND(N(data!AJ61), 0)</f>
        <v>3576961</v>
      </c>
      <c r="H35" s="207">
        <f>ROUND(N(data!AJ62), 0)</f>
        <v>1768342</v>
      </c>
      <c r="I35" s="207">
        <f>ROUND(N(data!AJ63), 0)</f>
        <v>0</v>
      </c>
      <c r="J35" s="207">
        <f>ROUND(N(data!AJ64), 0)</f>
        <v>150795</v>
      </c>
      <c r="K35" s="207">
        <f>ROUND(N(data!AJ65), 0)</f>
        <v>0</v>
      </c>
      <c r="L35" s="207">
        <f>ROUND(N(data!AJ66), 0)</f>
        <v>65286</v>
      </c>
      <c r="M35" s="207">
        <f>ROUND(N(data!AJ67), 0)</f>
        <v>188527</v>
      </c>
      <c r="N35" s="207">
        <f>ROUND(N(data!AJ68), 0)</f>
        <v>4391</v>
      </c>
      <c r="O35" s="207">
        <f>ROUND(N(data!AJ69), 0)</f>
        <v>691432</v>
      </c>
      <c r="P35" s="207">
        <f>ROUND(N(data!AJ70), 0)</f>
        <v>0</v>
      </c>
      <c r="Q35" s="207">
        <f>ROUND(N(data!AJ71), 0)</f>
        <v>412873</v>
      </c>
      <c r="R35" s="207">
        <f>ROUND(N(data!AJ72), 0)</f>
        <v>8403</v>
      </c>
      <c r="S35" s="207">
        <f>ROUND(N(data!AJ73), 0)</f>
        <v>139817</v>
      </c>
      <c r="T35" s="207">
        <f>ROUND(N(data!AJ74), 0)</f>
        <v>0</v>
      </c>
      <c r="U35" s="207">
        <f>ROUND(N(data!AJ75), 0)</f>
        <v>1800</v>
      </c>
      <c r="V35" s="207">
        <f>ROUND(N(data!AJ76), 0)</f>
        <v>0</v>
      </c>
      <c r="W35" s="207">
        <f>ROUND(N(data!AJ77), 0)</f>
        <v>6002</v>
      </c>
      <c r="X35" s="207">
        <f>ROUND(N(data!AJ78), 0)</f>
        <v>0</v>
      </c>
      <c r="Y35" s="207">
        <f>ROUND(N(data!AJ79), 0)</f>
        <v>0</v>
      </c>
      <c r="Z35" s="207">
        <f>ROUND(N(data!AJ80), 0)</f>
        <v>11888</v>
      </c>
      <c r="AA35" s="207">
        <f>ROUND(N(data!AJ81), 0)</f>
        <v>11833</v>
      </c>
      <c r="AB35" s="207">
        <f>ROUND(N(data!AJ82), 0)</f>
        <v>70327</v>
      </c>
      <c r="AC35" s="207">
        <f>ROUND(N(data!AJ83), 0)</f>
        <v>28488</v>
      </c>
      <c r="AD35" s="207">
        <f>ROUND(N(data!AJ84), 0)</f>
        <v>0</v>
      </c>
      <c r="AE35" s="207">
        <f>ROUND(N(data!AJ89), 0)</f>
        <v>6187067</v>
      </c>
      <c r="AF35" s="207">
        <f>ROUND(N(data!AJ87), 0)</f>
        <v>0</v>
      </c>
      <c r="AG35" s="207">
        <f>ROUND(N(data!AJ90), 0)</f>
        <v>13927</v>
      </c>
      <c r="AH35" s="207">
        <f>ROUND(N(data!AJ91), 0)</f>
        <v>0</v>
      </c>
      <c r="AI35" s="207">
        <f>ROUND(N(data!AJ92), 0)</f>
        <v>3705</v>
      </c>
      <c r="AJ35" s="207">
        <f>ROUND(N(data!AJ93), 0)</f>
        <v>365</v>
      </c>
      <c r="AK35" s="314">
        <f>ROUND(N(data!AJ94), 2)</f>
        <v>6.96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054</v>
      </c>
      <c r="B36" s="209" t="str">
        <f>RIGHT(data!$C$96,4)</f>
        <v>2023</v>
      </c>
      <c r="C36" s="12" t="str">
        <f>data!AK$55</f>
        <v>7310</v>
      </c>
      <c r="D36" s="12" t="s">
        <v>1157</v>
      </c>
      <c r="E36" s="207">
        <f>ROUND(N(data!AK59), 0)</f>
        <v>0</v>
      </c>
      <c r="F36" s="314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4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054</v>
      </c>
      <c r="B37" s="209" t="str">
        <f>RIGHT(data!$C$96,4)</f>
        <v>2023</v>
      </c>
      <c r="C37" s="12" t="str">
        <f>data!AL$55</f>
        <v>7320</v>
      </c>
      <c r="D37" s="12" t="s">
        <v>1157</v>
      </c>
      <c r="E37" s="207">
        <f>ROUND(N(data!AL59), 0)</f>
        <v>0</v>
      </c>
      <c r="F37" s="314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4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054</v>
      </c>
      <c r="B38" s="209" t="str">
        <f>RIGHT(data!$C$96,4)</f>
        <v>2023</v>
      </c>
      <c r="C38" s="12" t="str">
        <f>data!AM$55</f>
        <v>7330</v>
      </c>
      <c r="D38" s="12" t="s">
        <v>1157</v>
      </c>
      <c r="E38" s="207">
        <f>ROUND(N(data!AM59), 0)</f>
        <v>0</v>
      </c>
      <c r="F38" s="314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4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054</v>
      </c>
      <c r="B39" s="209" t="str">
        <f>RIGHT(data!$C$96,4)</f>
        <v>2023</v>
      </c>
      <c r="C39" s="12" t="str">
        <f>data!AN$55</f>
        <v>7340</v>
      </c>
      <c r="D39" s="12" t="s">
        <v>1157</v>
      </c>
      <c r="E39" s="207">
        <f>ROUND(N(data!AN59), 0)</f>
        <v>0</v>
      </c>
      <c r="F39" s="314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4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054</v>
      </c>
      <c r="B40" s="209" t="str">
        <f>RIGHT(data!$C$96,4)</f>
        <v>2023</v>
      </c>
      <c r="C40" s="12" t="str">
        <f>data!AO$55</f>
        <v>7350</v>
      </c>
      <c r="D40" s="12" t="s">
        <v>1157</v>
      </c>
      <c r="E40" s="207">
        <f>ROUND(N(data!AO59), 0)</f>
        <v>0</v>
      </c>
      <c r="F40" s="314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4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054</v>
      </c>
      <c r="B41" s="209" t="str">
        <f>RIGHT(data!$C$96,4)</f>
        <v>2023</v>
      </c>
      <c r="C41" s="12" t="str">
        <f>data!AP$55</f>
        <v>7380</v>
      </c>
      <c r="D41" s="12" t="s">
        <v>1157</v>
      </c>
      <c r="E41" s="207">
        <f>ROUND(N(data!AP59), 0)</f>
        <v>0</v>
      </c>
      <c r="F41" s="314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4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054</v>
      </c>
      <c r="B42" s="209" t="str">
        <f>RIGHT(data!$C$96,4)</f>
        <v>2023</v>
      </c>
      <c r="C42" s="12" t="str">
        <f>data!AQ$55</f>
        <v>7390</v>
      </c>
      <c r="D42" s="12" t="s">
        <v>1157</v>
      </c>
      <c r="E42" s="207">
        <f>ROUND(N(data!AQ59), 0)</f>
        <v>0</v>
      </c>
      <c r="F42" s="314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4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054</v>
      </c>
      <c r="B43" s="209" t="str">
        <f>RIGHT(data!$C$96,4)</f>
        <v>2023</v>
      </c>
      <c r="C43" s="12" t="str">
        <f>data!AR$55</f>
        <v>7400</v>
      </c>
      <c r="D43" s="12" t="s">
        <v>1157</v>
      </c>
      <c r="E43" s="207">
        <f>ROUND(N(data!AR59), 0)</f>
        <v>0</v>
      </c>
      <c r="F43" s="314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4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054</v>
      </c>
      <c r="B44" s="209" t="str">
        <f>RIGHT(data!$C$96,4)</f>
        <v>2023</v>
      </c>
      <c r="C44" s="12" t="str">
        <f>data!AS$55</f>
        <v>7410</v>
      </c>
      <c r="D44" s="12" t="s">
        <v>1157</v>
      </c>
      <c r="E44" s="207">
        <f>ROUND(N(data!AS59), 0)</f>
        <v>0</v>
      </c>
      <c r="F44" s="314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4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054</v>
      </c>
      <c r="B45" s="209" t="str">
        <f>RIGHT(data!$C$96,4)</f>
        <v>2023</v>
      </c>
      <c r="C45" s="12" t="str">
        <f>data!AT$55</f>
        <v>7420</v>
      </c>
      <c r="D45" s="12" t="s">
        <v>1157</v>
      </c>
      <c r="E45" s="207">
        <f>ROUND(N(data!AT59), 0)</f>
        <v>0</v>
      </c>
      <c r="F45" s="314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4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054</v>
      </c>
      <c r="B46" s="209" t="str">
        <f>RIGHT(data!$C$96,4)</f>
        <v>2023</v>
      </c>
      <c r="C46" s="12" t="str">
        <f>data!AU$55</f>
        <v>7430</v>
      </c>
      <c r="D46" s="12" t="s">
        <v>1157</v>
      </c>
      <c r="E46" s="207">
        <f>ROUND(N(data!AU59), 0)</f>
        <v>8396</v>
      </c>
      <c r="F46" s="314">
        <f>ROUND(N(data!AU60), 2)</f>
        <v>17.98</v>
      </c>
      <c r="G46" s="207">
        <f>ROUND(N(data!AU61), 0)</f>
        <v>1120704</v>
      </c>
      <c r="H46" s="207">
        <f>ROUND(N(data!AU62), 0)</f>
        <v>563876</v>
      </c>
      <c r="I46" s="207">
        <f>ROUND(N(data!AU63), 0)</f>
        <v>0</v>
      </c>
      <c r="J46" s="207">
        <f>ROUND(N(data!AU64), 0)</f>
        <v>26195</v>
      </c>
      <c r="K46" s="207">
        <f>ROUND(N(data!AU65), 0)</f>
        <v>0</v>
      </c>
      <c r="L46" s="207">
        <f>ROUND(N(data!AU66), 0)</f>
        <v>58868</v>
      </c>
      <c r="M46" s="207">
        <f>ROUND(N(data!AU67), 0)</f>
        <v>19672</v>
      </c>
      <c r="N46" s="207">
        <f>ROUND(N(data!AU68), 0)</f>
        <v>2134</v>
      </c>
      <c r="O46" s="207">
        <f>ROUND(N(data!AU69), 0)</f>
        <v>55145</v>
      </c>
      <c r="P46" s="207">
        <f>ROUND(N(data!AU70), 0)</f>
        <v>0</v>
      </c>
      <c r="Q46" s="207">
        <f>ROUND(N(data!AU71), 0)</f>
        <v>0</v>
      </c>
      <c r="R46" s="207">
        <f>ROUND(N(data!AU72), 0)</f>
        <v>19067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444</v>
      </c>
      <c r="W46" s="207">
        <f>ROUND(N(data!AU77), 0)</f>
        <v>2872</v>
      </c>
      <c r="X46" s="207">
        <f>ROUND(N(data!AU78), 0)</f>
        <v>0</v>
      </c>
      <c r="Y46" s="207">
        <f>ROUND(N(data!AU79), 0)</f>
        <v>0</v>
      </c>
      <c r="Z46" s="207">
        <f>ROUND(N(data!AU80), 0)</f>
        <v>1190</v>
      </c>
      <c r="AA46" s="207">
        <f>ROUND(N(data!AU81), 0)</f>
        <v>3339</v>
      </c>
      <c r="AB46" s="207">
        <f>ROUND(N(data!AU82), 0)</f>
        <v>18571</v>
      </c>
      <c r="AC46" s="207">
        <f>ROUND(N(data!AU83), 0)</f>
        <v>9662</v>
      </c>
      <c r="AD46" s="207">
        <f>ROUND(N(data!AU84), 0)</f>
        <v>0</v>
      </c>
      <c r="AE46" s="207">
        <f>ROUND(N(data!AU89), 0)</f>
        <v>1641188</v>
      </c>
      <c r="AF46" s="207">
        <f>ROUND(N(data!AU87), 0)</f>
        <v>0</v>
      </c>
      <c r="AG46" s="207">
        <f>ROUND(N(data!AU90), 0)</f>
        <v>1910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4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054</v>
      </c>
      <c r="B47" s="209" t="str">
        <f>RIGHT(data!$C$96,4)</f>
        <v>2023</v>
      </c>
      <c r="C47" s="12" t="str">
        <f>data!AV$55</f>
        <v>7490</v>
      </c>
      <c r="D47" s="12" t="s">
        <v>1157</v>
      </c>
      <c r="E47" s="207">
        <f>ROUND(N(data!AV59), 0)</f>
        <v>0</v>
      </c>
      <c r="F47" s="314">
        <f>ROUND(N(data!AV60), 2)</f>
        <v>0</v>
      </c>
      <c r="G47" s="207">
        <f>ROUND(N(data!AV61), 0)</f>
        <v>78124</v>
      </c>
      <c r="H47" s="207">
        <f>ROUND(N(data!AV62), 0)</f>
        <v>18676</v>
      </c>
      <c r="I47" s="207">
        <f>ROUND(N(data!AV63), 0)</f>
        <v>0</v>
      </c>
      <c r="J47" s="207">
        <f>ROUND(N(data!AV64), 0)</f>
        <v>124406</v>
      </c>
      <c r="K47" s="207">
        <f>ROUND(N(data!AV65), 0)</f>
        <v>0</v>
      </c>
      <c r="L47" s="207">
        <f>ROUND(N(data!AV66), 0)</f>
        <v>35857</v>
      </c>
      <c r="M47" s="207">
        <f>ROUND(N(data!AV67), 0)</f>
        <v>41432</v>
      </c>
      <c r="N47" s="207">
        <f>ROUND(N(data!AV68), 0)</f>
        <v>326</v>
      </c>
      <c r="O47" s="207">
        <f>ROUND(N(data!AV69), 0)</f>
        <v>128312</v>
      </c>
      <c r="P47" s="207">
        <f>ROUND(N(data!AV70), 0)</f>
        <v>0</v>
      </c>
      <c r="Q47" s="207">
        <f>ROUND(N(data!AV71), 0)</f>
        <v>71926</v>
      </c>
      <c r="R47" s="207">
        <f>ROUND(N(data!AV72), 0)</f>
        <v>26604</v>
      </c>
      <c r="S47" s="207">
        <f>ROUND(N(data!AV73), 0)</f>
        <v>0</v>
      </c>
      <c r="T47" s="207">
        <f>ROUND(N(data!AV74), 0)</f>
        <v>0</v>
      </c>
      <c r="U47" s="207">
        <f>ROUND(N(data!AV75), 0)</f>
        <v>13480</v>
      </c>
      <c r="V47" s="207">
        <f>ROUND(N(data!AV76), 0)</f>
        <v>6209</v>
      </c>
      <c r="W47" s="207">
        <f>ROUND(N(data!AV77), 0)</f>
        <v>3163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1415</v>
      </c>
      <c r="AB47" s="207">
        <f>ROUND(N(data!AV82), 0)</f>
        <v>1144</v>
      </c>
      <c r="AC47" s="207">
        <f>ROUND(N(data!AV83), 0)</f>
        <v>4372</v>
      </c>
      <c r="AD47" s="207">
        <f>ROUND(N(data!AV84), 0)</f>
        <v>0</v>
      </c>
      <c r="AE47" s="207">
        <f>ROUND(N(data!AV89), 0)</f>
        <v>2360960</v>
      </c>
      <c r="AF47" s="207">
        <f>ROUND(N(data!AV87), 0)</f>
        <v>54530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4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054</v>
      </c>
      <c r="B48" s="209" t="str">
        <f>RIGHT(data!$C$96,4)</f>
        <v>2023</v>
      </c>
      <c r="C48" s="12" t="str">
        <f>data!AW$55</f>
        <v>8200</v>
      </c>
      <c r="D48" s="12" t="s">
        <v>1157</v>
      </c>
      <c r="E48" s="207">
        <f>ROUND(N(data!AW59), 0)</f>
        <v>0</v>
      </c>
      <c r="F48" s="314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4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054</v>
      </c>
      <c r="B49" s="209" t="str">
        <f>RIGHT(data!$C$96,4)</f>
        <v>2023</v>
      </c>
      <c r="C49" s="12" t="str">
        <f>data!AX$55</f>
        <v>8310</v>
      </c>
      <c r="D49" s="12" t="s">
        <v>1157</v>
      </c>
      <c r="E49" s="207">
        <f>ROUND(N(data!AX59), 0)</f>
        <v>0</v>
      </c>
      <c r="F49" s="314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4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054</v>
      </c>
      <c r="B50" s="209" t="str">
        <f>RIGHT(data!$C$96,4)</f>
        <v>2023</v>
      </c>
      <c r="C50" s="12" t="str">
        <f>data!AY$55</f>
        <v>8320</v>
      </c>
      <c r="D50" s="12" t="s">
        <v>1157</v>
      </c>
      <c r="E50" s="207">
        <f>ROUND(N(data!AY59), 0)</f>
        <v>108021</v>
      </c>
      <c r="F50" s="314">
        <f>ROUND(N(data!AY60), 2)</f>
        <v>11.4</v>
      </c>
      <c r="G50" s="207">
        <f>ROUND(N(data!AY61), 0)</f>
        <v>620795</v>
      </c>
      <c r="H50" s="207">
        <f>ROUND(N(data!AY62), 0)</f>
        <v>148408</v>
      </c>
      <c r="I50" s="207">
        <f>ROUND(N(data!AY63), 0)</f>
        <v>0</v>
      </c>
      <c r="J50" s="207">
        <f>ROUND(N(data!AY64), 0)</f>
        <v>372099</v>
      </c>
      <c r="K50" s="207">
        <f>ROUND(N(data!AY65), 0)</f>
        <v>0</v>
      </c>
      <c r="L50" s="207">
        <f>ROUND(N(data!AY66), 0)</f>
        <v>957</v>
      </c>
      <c r="M50" s="207">
        <f>ROUND(N(data!AY67), 0)</f>
        <v>15338</v>
      </c>
      <c r="N50" s="207">
        <f>ROUND(N(data!AY68), 0)</f>
        <v>0</v>
      </c>
      <c r="O50" s="207">
        <f>ROUND(N(data!AY69), 0)</f>
        <v>11107</v>
      </c>
      <c r="P50" s="207">
        <f>ROUND(N(data!AY70), 0)</f>
        <v>0</v>
      </c>
      <c r="Q50" s="207">
        <f>ROUND(N(data!AY71), 0)</f>
        <v>3580</v>
      </c>
      <c r="R50" s="207">
        <f>ROUND(N(data!AY72), 0)</f>
        <v>258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3405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1492</v>
      </c>
      <c r="AB50" s="207">
        <f>ROUND(N(data!AY82), 0)</f>
        <v>654</v>
      </c>
      <c r="AC50" s="207">
        <f>ROUND(N(data!AY83), 0)</f>
        <v>1718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1054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4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054</v>
      </c>
      <c r="B51" s="209" t="str">
        <f>RIGHT(data!$C$96,4)</f>
        <v>2023</v>
      </c>
      <c r="C51" s="12" t="str">
        <f>data!AZ$55</f>
        <v>8330</v>
      </c>
      <c r="D51" s="12" t="s">
        <v>1157</v>
      </c>
      <c r="E51" s="207">
        <f>ROUND(N(data!AZ59), 0)</f>
        <v>0</v>
      </c>
      <c r="F51" s="314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2230</v>
      </c>
      <c r="K51" s="207">
        <f>ROUND(N(data!AZ65), 0)</f>
        <v>0</v>
      </c>
      <c r="L51" s="207">
        <f>ROUND(N(data!AZ66), 0)</f>
        <v>0</v>
      </c>
      <c r="M51" s="207">
        <f>ROUND(N(data!AZ67), 0)</f>
        <v>44626</v>
      </c>
      <c r="N51" s="207">
        <f>ROUND(N(data!AZ68), 0)</f>
        <v>0</v>
      </c>
      <c r="O51" s="207">
        <f>ROUND(N(data!AZ69), 0)</f>
        <v>299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183</v>
      </c>
      <c r="AB51" s="207">
        <f>ROUND(N(data!AZ82), 0)</f>
        <v>0</v>
      </c>
      <c r="AC51" s="207">
        <f>ROUND(N(data!AZ83), 0)</f>
        <v>116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736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4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054</v>
      </c>
      <c r="B52" s="209" t="str">
        <f>RIGHT(data!$C$96,4)</f>
        <v>2023</v>
      </c>
      <c r="C52" s="12" t="str">
        <f>data!BA$55</f>
        <v>8350</v>
      </c>
      <c r="D52" s="12" t="s">
        <v>1157</v>
      </c>
      <c r="E52" s="207">
        <f>ROUND(N(data!BA59), 0)</f>
        <v>0</v>
      </c>
      <c r="F52" s="314">
        <f>ROUND(N(data!BA60), 2)</f>
        <v>0.03</v>
      </c>
      <c r="G52" s="207">
        <f>ROUND(N(data!BA61), 0)</f>
        <v>1311</v>
      </c>
      <c r="H52" s="207">
        <f>ROUND(N(data!BA62), 0)</f>
        <v>313</v>
      </c>
      <c r="I52" s="207">
        <f>ROUND(N(data!BA63), 0)</f>
        <v>0</v>
      </c>
      <c r="J52" s="207">
        <f>ROUND(N(data!BA64), 0)</f>
        <v>15885</v>
      </c>
      <c r="K52" s="207">
        <f>ROUND(N(data!BA65), 0)</f>
        <v>0</v>
      </c>
      <c r="L52" s="207">
        <f>ROUND(N(data!BA66), 0)</f>
        <v>54149</v>
      </c>
      <c r="M52" s="207">
        <f>ROUND(N(data!BA67), 0)</f>
        <v>35270</v>
      </c>
      <c r="N52" s="207">
        <f>ROUND(N(data!BA68), 0)</f>
        <v>0</v>
      </c>
      <c r="O52" s="207">
        <f>ROUND(N(data!BA69), 0)</f>
        <v>253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113</v>
      </c>
      <c r="AB52" s="207">
        <f>ROUND(N(data!BA82), 0)</f>
        <v>141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747</v>
      </c>
      <c r="AH52" s="207">
        <f>ROUND(N(data!BA91), 0)</f>
        <v>0</v>
      </c>
      <c r="AI52" s="207">
        <f>ROUND(N(data!BA92), 0)</f>
        <v>728</v>
      </c>
      <c r="AJ52" s="207">
        <f>ROUND(N(data!BA93), 0)</f>
        <v>0</v>
      </c>
      <c r="AK52" s="314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054</v>
      </c>
      <c r="B53" s="209" t="str">
        <f>RIGHT(data!$C$96,4)</f>
        <v>2023</v>
      </c>
      <c r="C53" s="12" t="str">
        <f>data!BB$55</f>
        <v>8360</v>
      </c>
      <c r="D53" s="12" t="s">
        <v>1157</v>
      </c>
      <c r="E53" s="207">
        <f>ROUND(N(data!BB59), 0)</f>
        <v>0</v>
      </c>
      <c r="F53" s="314">
        <f>ROUND(N(data!BB60), 2)</f>
        <v>2.9</v>
      </c>
      <c r="G53" s="207">
        <f>ROUND(N(data!BB61), 0)</f>
        <v>246025</v>
      </c>
      <c r="H53" s="207">
        <f>ROUND(N(data!BB62), 0)</f>
        <v>58815</v>
      </c>
      <c r="I53" s="207">
        <f>ROUND(N(data!BB63), 0)</f>
        <v>0</v>
      </c>
      <c r="J53" s="207">
        <f>ROUND(N(data!BB64), 0)</f>
        <v>5109</v>
      </c>
      <c r="K53" s="207">
        <f>ROUND(N(data!BB65), 0)</f>
        <v>0</v>
      </c>
      <c r="L53" s="207">
        <f>ROUND(N(data!BB66), 0)</f>
        <v>43</v>
      </c>
      <c r="M53" s="207">
        <f>ROUND(N(data!BB67), 0)</f>
        <v>3676</v>
      </c>
      <c r="N53" s="207">
        <f>ROUND(N(data!BB68), 0)</f>
        <v>0</v>
      </c>
      <c r="O53" s="207">
        <f>ROUND(N(data!BB69), 0)</f>
        <v>2302</v>
      </c>
      <c r="P53" s="207">
        <f>ROUND(N(data!BB70), 0)</f>
        <v>0</v>
      </c>
      <c r="Q53" s="207">
        <f>ROUND(N(data!BB71), 0)</f>
        <v>0</v>
      </c>
      <c r="R53" s="207">
        <f>ROUND(N(data!BB72), 0)</f>
        <v>322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69</v>
      </c>
      <c r="AA53" s="207">
        <f>ROUND(N(data!BB81), 0)</f>
        <v>234</v>
      </c>
      <c r="AB53" s="207">
        <f>ROUND(N(data!BB82), 0)</f>
        <v>926</v>
      </c>
      <c r="AC53" s="207">
        <f>ROUND(N(data!BB83), 0)</f>
        <v>751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360</v>
      </c>
      <c r="AH53" s="207">
        <f>ROUND(N(data!BB91), 0)</f>
        <v>0</v>
      </c>
      <c r="AI53" s="207">
        <f>ROUND(N(data!BB92), 0)</f>
        <v>104</v>
      </c>
      <c r="AJ53" s="207">
        <f>ROUND(N(data!BB93), 0)</f>
        <v>0</v>
      </c>
      <c r="AK53" s="314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054</v>
      </c>
      <c r="B54" s="209" t="str">
        <f>RIGHT(data!$C$96,4)</f>
        <v>2023</v>
      </c>
      <c r="C54" s="12" t="str">
        <f>data!BC$55</f>
        <v>8370</v>
      </c>
      <c r="D54" s="12" t="s">
        <v>1157</v>
      </c>
      <c r="E54" s="207">
        <f>ROUND(N(data!BC59), 0)</f>
        <v>0</v>
      </c>
      <c r="F54" s="314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4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054</v>
      </c>
      <c r="B55" s="209" t="str">
        <f>RIGHT(data!$C$96,4)</f>
        <v>2023</v>
      </c>
      <c r="C55" s="12" t="str">
        <f>data!BD$55</f>
        <v>8420</v>
      </c>
      <c r="D55" s="12" t="s">
        <v>1157</v>
      </c>
      <c r="E55" s="207">
        <f>ROUND(N(data!BD59), 0)</f>
        <v>0</v>
      </c>
      <c r="F55" s="314">
        <f>ROUND(N(data!BD60), 2)</f>
        <v>2.0499999999999998</v>
      </c>
      <c r="G55" s="207">
        <f>ROUND(N(data!BD61), 0)</f>
        <v>165484</v>
      </c>
      <c r="H55" s="207">
        <f>ROUND(N(data!BD62), 0)</f>
        <v>39561</v>
      </c>
      <c r="I55" s="207">
        <f>ROUND(N(data!BD63), 0)</f>
        <v>0</v>
      </c>
      <c r="J55" s="207">
        <f>ROUND(N(data!BD64), 0)</f>
        <v>2149</v>
      </c>
      <c r="K55" s="207">
        <f>ROUND(N(data!BD65), 0)</f>
        <v>0</v>
      </c>
      <c r="L55" s="207">
        <f>ROUND(N(data!BD66), 0)</f>
        <v>-19651</v>
      </c>
      <c r="M55" s="207">
        <f>ROUND(N(data!BD67), 0)</f>
        <v>1021</v>
      </c>
      <c r="N55" s="207">
        <f>ROUND(N(data!BD68), 0)</f>
        <v>94</v>
      </c>
      <c r="O55" s="207">
        <f>ROUND(N(data!BD69), 0)</f>
        <v>2757</v>
      </c>
      <c r="P55" s="207">
        <f>ROUND(N(data!BD70), 0)</f>
        <v>0</v>
      </c>
      <c r="Q55" s="207">
        <f>ROUND(N(data!BD71), 0)</f>
        <v>0</v>
      </c>
      <c r="R55" s="207">
        <f>ROUND(N(data!BD72), 0)</f>
        <v>515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640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146</v>
      </c>
      <c r="AB55" s="207">
        <f>ROUND(N(data!BD82), 0)</f>
        <v>846</v>
      </c>
      <c r="AC55" s="207">
        <f>ROUND(N(data!BD83), 0)</f>
        <v>611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100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4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054</v>
      </c>
      <c r="B56" s="209" t="str">
        <f>RIGHT(data!$C$96,4)</f>
        <v>2023</v>
      </c>
      <c r="C56" s="12" t="str">
        <f>data!BE$55</f>
        <v>8430</v>
      </c>
      <c r="D56" s="12" t="s">
        <v>1157</v>
      </c>
      <c r="E56" s="207">
        <f>ROUND(N(data!BE59), 0)</f>
        <v>60206</v>
      </c>
      <c r="F56" s="314">
        <f>ROUND(N(data!BE60), 2)</f>
        <v>7.75</v>
      </c>
      <c r="G56" s="207">
        <f>ROUND(N(data!BE61), 0)</f>
        <v>553990</v>
      </c>
      <c r="H56" s="207">
        <f>ROUND(N(data!BE62), 0)</f>
        <v>132437</v>
      </c>
      <c r="I56" s="207">
        <f>ROUND(N(data!BE63), 0)</f>
        <v>0</v>
      </c>
      <c r="J56" s="207">
        <f>ROUND(N(data!BE64), 0)</f>
        <v>79598</v>
      </c>
      <c r="K56" s="207">
        <f>ROUND(N(data!BE65), 0)</f>
        <v>0</v>
      </c>
      <c r="L56" s="207">
        <f>ROUND(N(data!BE66), 0)</f>
        <v>111910</v>
      </c>
      <c r="M56" s="207">
        <f>ROUND(N(data!BE67), 0)</f>
        <v>38964</v>
      </c>
      <c r="N56" s="207">
        <f>ROUND(N(data!BE68), 0)</f>
        <v>27305</v>
      </c>
      <c r="O56" s="207">
        <f>ROUND(N(data!BE69), 0)</f>
        <v>481334</v>
      </c>
      <c r="P56" s="207">
        <f>ROUND(N(data!BE70), 0)</f>
        <v>0</v>
      </c>
      <c r="Q56" s="207">
        <f>ROUND(N(data!BE71), 0)</f>
        <v>0</v>
      </c>
      <c r="R56" s="207">
        <f>ROUND(N(data!BE72), 0)</f>
        <v>418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153462</v>
      </c>
      <c r="X56" s="207">
        <f>ROUND(N(data!BE78), 0)</f>
        <v>0</v>
      </c>
      <c r="Y56" s="207">
        <f>ROUND(N(data!BE79), 0)</f>
        <v>0</v>
      </c>
      <c r="Z56" s="207">
        <f>ROUND(N(data!BE80), 0)</f>
        <v>231</v>
      </c>
      <c r="AA56" s="207">
        <f>ROUND(N(data!BE81), 0)</f>
        <v>12566</v>
      </c>
      <c r="AB56" s="207">
        <f>ROUND(N(data!BE82), 0)</f>
        <v>314035</v>
      </c>
      <c r="AC56" s="207">
        <f>ROUND(N(data!BE83), 0)</f>
        <v>621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1764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4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054</v>
      </c>
      <c r="B57" s="209" t="str">
        <f>RIGHT(data!$C$96,4)</f>
        <v>2023</v>
      </c>
      <c r="C57" s="12" t="str">
        <f>data!BF$55</f>
        <v>8460</v>
      </c>
      <c r="D57" s="12" t="s">
        <v>1157</v>
      </c>
      <c r="E57" s="207">
        <f>ROUND(N(data!BF59), 0)</f>
        <v>0</v>
      </c>
      <c r="F57" s="314">
        <f>ROUND(N(data!BF60), 2)</f>
        <v>14.8</v>
      </c>
      <c r="G57" s="207">
        <f>ROUND(N(data!BF61), 0)</f>
        <v>704584</v>
      </c>
      <c r="H57" s="207">
        <f>ROUND(N(data!BF62), 0)</f>
        <v>168438</v>
      </c>
      <c r="I57" s="207">
        <f>ROUND(N(data!BF63), 0)</f>
        <v>0</v>
      </c>
      <c r="J57" s="207">
        <f>ROUND(N(data!BF64), 0)</f>
        <v>87196</v>
      </c>
      <c r="K57" s="207">
        <f>ROUND(N(data!BF65), 0)</f>
        <v>0</v>
      </c>
      <c r="L57" s="207">
        <f>ROUND(N(data!BF66), 0)</f>
        <v>18348</v>
      </c>
      <c r="M57" s="207">
        <f>ROUND(N(data!BF67), 0)</f>
        <v>1174</v>
      </c>
      <c r="N57" s="207">
        <f>ROUND(N(data!BF68), 0)</f>
        <v>0</v>
      </c>
      <c r="O57" s="207">
        <f>ROUND(N(data!BF69), 0)</f>
        <v>2226</v>
      </c>
      <c r="P57" s="207">
        <f>ROUND(N(data!BF70), 0)</f>
        <v>0</v>
      </c>
      <c r="Q57" s="207">
        <f>ROUND(N(data!BF71), 0)</f>
        <v>0</v>
      </c>
      <c r="R57" s="207">
        <f>ROUND(N(data!BF72), 0)</f>
        <v>193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214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1276</v>
      </c>
      <c r="AB57" s="207">
        <f>ROUND(N(data!BF82), 0)</f>
        <v>43</v>
      </c>
      <c r="AC57" s="207">
        <f>ROUND(N(data!BF83), 0)</f>
        <v>500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115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4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054</v>
      </c>
      <c r="B58" s="209" t="str">
        <f>RIGHT(data!$C$96,4)</f>
        <v>2023</v>
      </c>
      <c r="C58" s="12" t="str">
        <f>data!BG$55</f>
        <v>8470</v>
      </c>
      <c r="D58" s="12" t="s">
        <v>1157</v>
      </c>
      <c r="E58" s="207">
        <f>ROUND(N(data!BG59), 0)</f>
        <v>0</v>
      </c>
      <c r="F58" s="314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4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054</v>
      </c>
      <c r="B59" s="209" t="str">
        <f>RIGHT(data!$C$96,4)</f>
        <v>2023</v>
      </c>
      <c r="C59" s="12" t="str">
        <f>data!BH$55</f>
        <v>8480</v>
      </c>
      <c r="D59" s="12" t="s">
        <v>1157</v>
      </c>
      <c r="E59" s="207">
        <f>ROUND(N(data!BH59), 0)</f>
        <v>0</v>
      </c>
      <c r="F59" s="314">
        <f>ROUND(N(data!BH60), 2)</f>
        <v>3.34</v>
      </c>
      <c r="G59" s="207">
        <f>ROUND(N(data!BH61), 0)</f>
        <v>288433</v>
      </c>
      <c r="H59" s="207">
        <f>ROUND(N(data!BH62), 0)</f>
        <v>68953</v>
      </c>
      <c r="I59" s="207">
        <f>ROUND(N(data!BH63), 0)</f>
        <v>0</v>
      </c>
      <c r="J59" s="207">
        <f>ROUND(N(data!BH64), 0)</f>
        <v>8695</v>
      </c>
      <c r="K59" s="207">
        <f>ROUND(N(data!BH65), 0)</f>
        <v>0</v>
      </c>
      <c r="L59" s="207">
        <f>ROUND(N(data!BH66), 0)</f>
        <v>266651</v>
      </c>
      <c r="M59" s="207">
        <f>ROUND(N(data!BH67), 0)</f>
        <v>47220</v>
      </c>
      <c r="N59" s="207">
        <f>ROUND(N(data!BH68), 0)</f>
        <v>0</v>
      </c>
      <c r="O59" s="207">
        <f>ROUND(N(data!BH69), 0)</f>
        <v>336206</v>
      </c>
      <c r="P59" s="207">
        <f>ROUND(N(data!BH70), 0)</f>
        <v>0</v>
      </c>
      <c r="Q59" s="207">
        <f>ROUND(N(data!BH71), 0)</f>
        <v>0</v>
      </c>
      <c r="R59" s="207">
        <f>ROUND(N(data!BH72), 0)</f>
        <v>276255</v>
      </c>
      <c r="S59" s="207">
        <f>ROUND(N(data!BH73), 0)</f>
        <v>0</v>
      </c>
      <c r="T59" s="207">
        <f>ROUND(N(data!BH74), 0)</f>
        <v>0</v>
      </c>
      <c r="U59" s="207">
        <f>ROUND(N(data!BH75), 0)</f>
        <v>26721</v>
      </c>
      <c r="V59" s="207">
        <f>ROUND(N(data!BH76), 0)</f>
        <v>0</v>
      </c>
      <c r="W59" s="207">
        <f>ROUND(N(data!BH77), 0)</f>
        <v>125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38850</v>
      </c>
      <c r="AB59" s="207">
        <f>ROUND(N(data!BH82), 0)</f>
        <v>10396</v>
      </c>
      <c r="AC59" s="207">
        <f>ROUND(N(data!BH83), 0)</f>
        <v>-16141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356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4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054</v>
      </c>
      <c r="B60" s="209" t="str">
        <f>RIGHT(data!$C$96,4)</f>
        <v>2023</v>
      </c>
      <c r="C60" s="12" t="str">
        <f>data!BI$55</f>
        <v>8490</v>
      </c>
      <c r="D60" s="12" t="s">
        <v>1157</v>
      </c>
      <c r="E60" s="207">
        <f>ROUND(N(data!BI59), 0)</f>
        <v>0</v>
      </c>
      <c r="F60" s="314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4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054</v>
      </c>
      <c r="B61" s="209" t="str">
        <f>RIGHT(data!$C$96,4)</f>
        <v>2023</v>
      </c>
      <c r="C61" s="12" t="str">
        <f>data!BJ$55</f>
        <v>8510</v>
      </c>
      <c r="D61" s="12" t="s">
        <v>1157</v>
      </c>
      <c r="E61" s="207">
        <f>ROUND(N(data!BJ59), 0)</f>
        <v>0</v>
      </c>
      <c r="F61" s="314">
        <f>ROUND(N(data!BJ60), 2)</f>
        <v>4.03</v>
      </c>
      <c r="G61" s="207">
        <f>ROUND(N(data!BJ61), 0)</f>
        <v>305067</v>
      </c>
      <c r="H61" s="207">
        <f>ROUND(N(data!BJ62), 0)</f>
        <v>72930</v>
      </c>
      <c r="I61" s="207">
        <f>ROUND(N(data!BJ63), 0)</f>
        <v>0</v>
      </c>
      <c r="J61" s="207">
        <f>ROUND(N(data!BJ64), 0)</f>
        <v>5846</v>
      </c>
      <c r="K61" s="207">
        <f>ROUND(N(data!BJ65), 0)</f>
        <v>0</v>
      </c>
      <c r="L61" s="207">
        <f>ROUND(N(data!BJ66), 0)</f>
        <v>45124</v>
      </c>
      <c r="M61" s="207">
        <f>ROUND(N(data!BJ67), 0)</f>
        <v>0</v>
      </c>
      <c r="N61" s="207">
        <f>ROUND(N(data!BJ68), 0)</f>
        <v>0</v>
      </c>
      <c r="O61" s="207">
        <f>ROUND(N(data!BJ69), 0)</f>
        <v>355517</v>
      </c>
      <c r="P61" s="207">
        <f>ROUND(N(data!BJ70), 0)</f>
        <v>0</v>
      </c>
      <c r="Q61" s="207">
        <f>ROUND(N(data!BJ71), 0)</f>
        <v>0</v>
      </c>
      <c r="R61" s="207">
        <f>ROUND(N(data!BJ72), 0)</f>
        <v>184355</v>
      </c>
      <c r="S61" s="207">
        <f>ROUND(N(data!BJ73), 0)</f>
        <v>0</v>
      </c>
      <c r="T61" s="207">
        <f>ROUND(N(data!BJ74), 0)</f>
        <v>0</v>
      </c>
      <c r="U61" s="207">
        <f>ROUND(N(data!BJ75), 0)</f>
        <v>159508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98</v>
      </c>
      <c r="AA61" s="207">
        <f>ROUND(N(data!BJ81), 0)</f>
        <v>4969</v>
      </c>
      <c r="AB61" s="207">
        <f>ROUND(N(data!BJ82), 0)</f>
        <v>484</v>
      </c>
      <c r="AC61" s="207">
        <f>ROUND(N(data!BJ83), 0)</f>
        <v>6104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4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054</v>
      </c>
      <c r="B62" s="209" t="str">
        <f>RIGHT(data!$C$96,4)</f>
        <v>2023</v>
      </c>
      <c r="C62" s="12" t="str">
        <f>data!BK$55</f>
        <v>8530</v>
      </c>
      <c r="D62" s="12" t="s">
        <v>1157</v>
      </c>
      <c r="E62" s="207">
        <f>ROUND(N(data!BK59), 0)</f>
        <v>0</v>
      </c>
      <c r="F62" s="314">
        <f>ROUND(N(data!BK60), 2)</f>
        <v>13.74</v>
      </c>
      <c r="G62" s="207">
        <f>ROUND(N(data!BK61), 0)</f>
        <v>899064</v>
      </c>
      <c r="H62" s="207">
        <f>ROUND(N(data!BK62), 0)</f>
        <v>214931</v>
      </c>
      <c r="I62" s="207">
        <f>ROUND(N(data!BK63), 0)</f>
        <v>0</v>
      </c>
      <c r="J62" s="207">
        <f>ROUND(N(data!BK64), 0)</f>
        <v>13243</v>
      </c>
      <c r="K62" s="207">
        <f>ROUND(N(data!BK65), 0)</f>
        <v>0</v>
      </c>
      <c r="L62" s="207">
        <f>ROUND(N(data!BK66), 0)</f>
        <v>359708</v>
      </c>
      <c r="M62" s="207">
        <f>ROUND(N(data!BK67), 0)</f>
        <v>27518</v>
      </c>
      <c r="N62" s="207">
        <f>ROUND(N(data!BK68), 0)</f>
        <v>832</v>
      </c>
      <c r="O62" s="207">
        <f>ROUND(N(data!BK69), 0)</f>
        <v>19016</v>
      </c>
      <c r="P62" s="207">
        <f>ROUND(N(data!BK70), 0)</f>
        <v>0</v>
      </c>
      <c r="Q62" s="207">
        <f>ROUND(N(data!BK71), 0)</f>
        <v>386</v>
      </c>
      <c r="R62" s="207">
        <f>ROUND(N(data!BK72), 0)</f>
        <v>10371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820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2537</v>
      </c>
      <c r="AB62" s="207">
        <f>ROUND(N(data!BK82), 0)</f>
        <v>2939</v>
      </c>
      <c r="AC62" s="207">
        <f>ROUND(N(data!BK83), 0)</f>
        <v>1963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2695</v>
      </c>
      <c r="AH62" s="207">
        <f>ROUND(N(data!BK91), 0)</f>
        <v>0</v>
      </c>
      <c r="AI62" s="207">
        <f>ROUND(N(data!BK92), 0)</f>
        <v>234</v>
      </c>
      <c r="AJ62" s="207">
        <f>ROUND(N(data!BK93), 0)</f>
        <v>0</v>
      </c>
      <c r="AK62" s="314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054</v>
      </c>
      <c r="B63" s="209" t="str">
        <f>RIGHT(data!$C$96,4)</f>
        <v>2023</v>
      </c>
      <c r="C63" s="12" t="str">
        <f>data!BL$55</f>
        <v>8560</v>
      </c>
      <c r="D63" s="12" t="s">
        <v>1157</v>
      </c>
      <c r="E63" s="207">
        <f>ROUND(N(data!BL59), 0)</f>
        <v>0</v>
      </c>
      <c r="F63" s="314">
        <f>ROUND(N(data!BL60), 2)</f>
        <v>6.69</v>
      </c>
      <c r="G63" s="207">
        <f>ROUND(N(data!BL61), 0)</f>
        <v>350784</v>
      </c>
      <c r="H63" s="207">
        <f>ROUND(N(data!BL62), 0)</f>
        <v>83859</v>
      </c>
      <c r="I63" s="207">
        <f>ROUND(N(data!BL63), 0)</f>
        <v>0</v>
      </c>
      <c r="J63" s="207">
        <f>ROUND(N(data!BL64), 0)</f>
        <v>3847</v>
      </c>
      <c r="K63" s="207">
        <f>ROUND(N(data!BL65), 0)</f>
        <v>0</v>
      </c>
      <c r="L63" s="207">
        <f>ROUND(N(data!BL66), 0)</f>
        <v>8984</v>
      </c>
      <c r="M63" s="207">
        <f>ROUND(N(data!BL67), 0)</f>
        <v>4750</v>
      </c>
      <c r="N63" s="207">
        <f>ROUND(N(data!BL68), 0)</f>
        <v>3941</v>
      </c>
      <c r="O63" s="207">
        <f>ROUND(N(data!BL69), 0)</f>
        <v>4406</v>
      </c>
      <c r="P63" s="207">
        <f>ROUND(N(data!BL70), 0)</f>
        <v>0</v>
      </c>
      <c r="Q63" s="207">
        <f>ROUND(N(data!BL71), 0)</f>
        <v>0</v>
      </c>
      <c r="R63" s="207">
        <f>ROUND(N(data!BL72), 0)</f>
        <v>515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1508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34</v>
      </c>
      <c r="AB63" s="207">
        <f>ROUND(N(data!BL82), 0)</f>
        <v>2024</v>
      </c>
      <c r="AC63" s="207">
        <f>ROUND(N(data!BL83), 0)</f>
        <v>325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148</v>
      </c>
      <c r="AH63" s="207">
        <f>ROUND(N(data!BL91), 0)</f>
        <v>0</v>
      </c>
      <c r="AI63" s="207">
        <f>ROUND(N(data!BL92), 0)</f>
        <v>156</v>
      </c>
      <c r="AJ63" s="207">
        <f>ROUND(N(data!BL93), 0)</f>
        <v>0</v>
      </c>
      <c r="AK63" s="314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054</v>
      </c>
      <c r="B64" s="209" t="str">
        <f>RIGHT(data!$C$96,4)</f>
        <v>2023</v>
      </c>
      <c r="C64" s="12" t="str">
        <f>data!BM$55</f>
        <v>8590</v>
      </c>
      <c r="D64" s="12" t="s">
        <v>1157</v>
      </c>
      <c r="E64" s="207">
        <f>ROUND(N(data!BM59), 0)</f>
        <v>0</v>
      </c>
      <c r="F64" s="314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76</v>
      </c>
      <c r="AJ64" s="207">
        <f>ROUND(N(data!BM93), 0)</f>
        <v>0</v>
      </c>
      <c r="AK64" s="314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054</v>
      </c>
      <c r="B65" s="209" t="str">
        <f>RIGHT(data!$C$96,4)</f>
        <v>2023</v>
      </c>
      <c r="C65" s="12" t="str">
        <f>data!BN$55</f>
        <v>8610</v>
      </c>
      <c r="D65" s="12" t="s">
        <v>1157</v>
      </c>
      <c r="E65" s="207">
        <f>ROUND(N(data!BN59), 0)</f>
        <v>0</v>
      </c>
      <c r="F65" s="314">
        <f>ROUND(N(data!BN60), 2)</f>
        <v>3.84</v>
      </c>
      <c r="G65" s="207">
        <f>ROUND(N(data!BN61), 0)</f>
        <v>650964</v>
      </c>
      <c r="H65" s="207">
        <f>ROUND(N(data!BN62), 0)</f>
        <v>157035</v>
      </c>
      <c r="I65" s="207">
        <f>ROUND(N(data!BN63), 0)</f>
        <v>0</v>
      </c>
      <c r="J65" s="207">
        <f>ROUND(N(data!BN64), 0)</f>
        <v>25137</v>
      </c>
      <c r="K65" s="207">
        <f>ROUND(N(data!BN65), 0)</f>
        <v>0</v>
      </c>
      <c r="L65" s="207">
        <f>ROUND(N(data!BN66), 0)</f>
        <v>150239</v>
      </c>
      <c r="M65" s="207">
        <f>ROUND(N(data!BN67), 0)</f>
        <v>88189</v>
      </c>
      <c r="N65" s="207">
        <f>ROUND(N(data!BN68), 0)</f>
        <v>33525</v>
      </c>
      <c r="O65" s="207">
        <f>ROUND(N(data!BN69), 0)</f>
        <v>1283135</v>
      </c>
      <c r="P65" s="207">
        <f>ROUND(N(data!BN70), 0)</f>
        <v>0</v>
      </c>
      <c r="Q65" s="207">
        <f>ROUND(N(data!BN71), 0)</f>
        <v>47625</v>
      </c>
      <c r="R65" s="207">
        <f>ROUND(N(data!BN72), 0)</f>
        <v>270892</v>
      </c>
      <c r="S65" s="207">
        <f>ROUND(N(data!BN73), 0)</f>
        <v>321930</v>
      </c>
      <c r="T65" s="207">
        <f>ROUND(N(data!BN74), 0)</f>
        <v>0</v>
      </c>
      <c r="U65" s="207">
        <f>ROUND(N(data!BN75), 0)</f>
        <v>372889</v>
      </c>
      <c r="V65" s="207">
        <f>ROUND(N(data!BN76), 0)</f>
        <v>0</v>
      </c>
      <c r="W65" s="207">
        <f>ROUND(N(data!BN77), 0)</f>
        <v>6230</v>
      </c>
      <c r="X65" s="207">
        <f>ROUND(N(data!BN78), 0)</f>
        <v>0</v>
      </c>
      <c r="Y65" s="207">
        <f>ROUND(N(data!BN79), 0)</f>
        <v>69</v>
      </c>
      <c r="Z65" s="207">
        <f>ROUND(N(data!BN80), 0)</f>
        <v>11611</v>
      </c>
      <c r="AA65" s="207">
        <f>ROUND(N(data!BN81), 0)</f>
        <v>30494</v>
      </c>
      <c r="AB65" s="207">
        <f>ROUND(N(data!BN82), 0)</f>
        <v>26019</v>
      </c>
      <c r="AC65" s="207">
        <f>ROUND(N(data!BN83), 0)</f>
        <v>195377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6685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4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054</v>
      </c>
      <c r="B66" s="209" t="str">
        <f>RIGHT(data!$C$96,4)</f>
        <v>2023</v>
      </c>
      <c r="C66" s="12" t="str">
        <f>data!BO$55</f>
        <v>8620</v>
      </c>
      <c r="D66" s="12" t="s">
        <v>1157</v>
      </c>
      <c r="E66" s="207">
        <f>ROUND(N(data!BO59), 0)</f>
        <v>0</v>
      </c>
      <c r="F66" s="314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713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410</v>
      </c>
      <c r="AA66" s="207">
        <f>ROUND(N(data!BO81), 0)</f>
        <v>0</v>
      </c>
      <c r="AB66" s="207">
        <f>ROUND(N(data!BO82), 0)</f>
        <v>93</v>
      </c>
      <c r="AC66" s="207">
        <f>ROUND(N(data!BO83), 0)</f>
        <v>210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4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054</v>
      </c>
      <c r="B67" s="209" t="str">
        <f>RIGHT(data!$C$96,4)</f>
        <v>2023</v>
      </c>
      <c r="C67" s="12" t="str">
        <f>data!BP$55</f>
        <v>8630</v>
      </c>
      <c r="D67" s="12" t="s">
        <v>1157</v>
      </c>
      <c r="E67" s="207">
        <f>ROUND(N(data!BP59), 0)</f>
        <v>0</v>
      </c>
      <c r="F67" s="314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18670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4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054</v>
      </c>
      <c r="B68" s="209" t="str">
        <f>RIGHT(data!$C$96,4)</f>
        <v>2023</v>
      </c>
      <c r="C68" s="12" t="str">
        <f>data!BQ$55</f>
        <v>8640</v>
      </c>
      <c r="D68" s="12" t="s">
        <v>1157</v>
      </c>
      <c r="E68" s="207">
        <f>ROUND(N(data!BQ59), 0)</f>
        <v>0</v>
      </c>
      <c r="F68" s="314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4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054</v>
      </c>
      <c r="B69" s="209" t="str">
        <f>RIGHT(data!$C$96,4)</f>
        <v>2023</v>
      </c>
      <c r="C69" s="12" t="str">
        <f>data!BR$55</f>
        <v>8650</v>
      </c>
      <c r="D69" s="12" t="s">
        <v>1157</v>
      </c>
      <c r="E69" s="207">
        <f>ROUND(N(data!BR59), 0)</f>
        <v>0</v>
      </c>
      <c r="F69" s="314">
        <f>ROUND(N(data!BR60), 2)</f>
        <v>3.02</v>
      </c>
      <c r="G69" s="207">
        <f>ROUND(N(data!BR61), 0)</f>
        <v>205314</v>
      </c>
      <c r="H69" s="207">
        <f>ROUND(N(data!BR62), 0)</f>
        <v>54804</v>
      </c>
      <c r="I69" s="207">
        <f>ROUND(N(data!BR63), 0)</f>
        <v>0</v>
      </c>
      <c r="J69" s="207">
        <f>ROUND(N(data!BR64), 0)</f>
        <v>6056</v>
      </c>
      <c r="K69" s="207">
        <f>ROUND(N(data!BR65), 0)</f>
        <v>0</v>
      </c>
      <c r="L69" s="207">
        <f>ROUND(N(data!BR66), 0)</f>
        <v>14409</v>
      </c>
      <c r="M69" s="207">
        <f>ROUND(N(data!BR67), 0)</f>
        <v>11038</v>
      </c>
      <c r="N69" s="207">
        <f>ROUND(N(data!BR68), 0)</f>
        <v>453</v>
      </c>
      <c r="O69" s="207">
        <f>ROUND(N(data!BR69), 0)</f>
        <v>60215</v>
      </c>
      <c r="P69" s="207">
        <f>ROUND(N(data!BR70), 0)</f>
        <v>0</v>
      </c>
      <c r="Q69" s="207">
        <f>ROUND(N(data!BR71), 0)</f>
        <v>20313</v>
      </c>
      <c r="R69" s="207">
        <f>ROUND(N(data!BR72), 0)</f>
        <v>15591</v>
      </c>
      <c r="S69" s="207">
        <f>ROUND(N(data!BR73), 0)</f>
        <v>0</v>
      </c>
      <c r="T69" s="207">
        <f>ROUND(N(data!BR74), 0)</f>
        <v>0</v>
      </c>
      <c r="U69" s="207">
        <f>ROUND(N(data!BR75), 0)</f>
        <v>300</v>
      </c>
      <c r="V69" s="207">
        <f>ROUND(N(data!BR76), 0)</f>
        <v>1235</v>
      </c>
      <c r="W69" s="207">
        <f>ROUND(N(data!BR77), 0)</f>
        <v>758</v>
      </c>
      <c r="X69" s="207">
        <f>ROUND(N(data!BR78), 0)</f>
        <v>0</v>
      </c>
      <c r="Y69" s="207">
        <f>ROUND(N(data!BR79), 0)</f>
        <v>9247</v>
      </c>
      <c r="Z69" s="207">
        <f>ROUND(N(data!BR80), 0)</f>
        <v>147</v>
      </c>
      <c r="AA69" s="207">
        <f>ROUND(N(data!BR81), 0)</f>
        <v>615</v>
      </c>
      <c r="AB69" s="207">
        <f>ROUND(N(data!BR82), 0)</f>
        <v>627</v>
      </c>
      <c r="AC69" s="207">
        <f>ROUND(N(data!BR83), 0)</f>
        <v>11382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1081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4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054</v>
      </c>
      <c r="B70" s="209" t="str">
        <f>RIGHT(data!$C$96,4)</f>
        <v>2023</v>
      </c>
      <c r="C70" s="12" t="str">
        <f>data!BS$55</f>
        <v>8660</v>
      </c>
      <c r="D70" s="12" t="s">
        <v>1157</v>
      </c>
      <c r="E70" s="207">
        <f>ROUND(N(data!BS59), 0)</f>
        <v>0</v>
      </c>
      <c r="F70" s="314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26</v>
      </c>
      <c r="AJ70" s="207">
        <f>ROUND(N(data!BS93), 0)</f>
        <v>0</v>
      </c>
      <c r="AK70" s="314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054</v>
      </c>
      <c r="B71" s="209" t="str">
        <f>RIGHT(data!$C$96,4)</f>
        <v>2023</v>
      </c>
      <c r="C71" s="12" t="str">
        <f>data!BT$55</f>
        <v>8670</v>
      </c>
      <c r="D71" s="12" t="s">
        <v>1157</v>
      </c>
      <c r="E71" s="207">
        <f>ROUND(N(data!BT59), 0)</f>
        <v>0</v>
      </c>
      <c r="F71" s="314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4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054</v>
      </c>
      <c r="B72" s="209" t="str">
        <f>RIGHT(data!$C$96,4)</f>
        <v>2023</v>
      </c>
      <c r="C72" s="12" t="str">
        <f>data!BU$55</f>
        <v>8680</v>
      </c>
      <c r="D72" s="12" t="s">
        <v>1157</v>
      </c>
      <c r="E72" s="207">
        <f>ROUND(N(data!BU59), 0)</f>
        <v>0</v>
      </c>
      <c r="F72" s="314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4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054</v>
      </c>
      <c r="B73" s="209" t="str">
        <f>RIGHT(data!$C$96,4)</f>
        <v>2023</v>
      </c>
      <c r="C73" s="12" t="str">
        <f>data!BV$55</f>
        <v>8690</v>
      </c>
      <c r="D73" s="12" t="s">
        <v>1157</v>
      </c>
      <c r="E73" s="207">
        <f>ROUND(N(data!BV59), 0)</f>
        <v>0</v>
      </c>
      <c r="F73" s="314">
        <f>ROUND(N(data!BV60), 2)</f>
        <v>4.66</v>
      </c>
      <c r="G73" s="207">
        <f>ROUND(N(data!BV61), 0)</f>
        <v>254340</v>
      </c>
      <c r="H73" s="207">
        <f>ROUND(N(data!BV62), 0)</f>
        <v>60803</v>
      </c>
      <c r="I73" s="207">
        <f>ROUND(N(data!BV63), 0)</f>
        <v>0</v>
      </c>
      <c r="J73" s="207">
        <f>ROUND(N(data!BV64), 0)</f>
        <v>3396</v>
      </c>
      <c r="K73" s="207">
        <f>ROUND(N(data!BV65), 0)</f>
        <v>0</v>
      </c>
      <c r="L73" s="207">
        <f>ROUND(N(data!BV66), 0)</f>
        <v>38506</v>
      </c>
      <c r="M73" s="207">
        <f>ROUND(N(data!BV67), 0)</f>
        <v>12464</v>
      </c>
      <c r="N73" s="207">
        <f>ROUND(N(data!BV68), 0)</f>
        <v>1791</v>
      </c>
      <c r="O73" s="207">
        <f>ROUND(N(data!BV69), 0)</f>
        <v>22426</v>
      </c>
      <c r="P73" s="207">
        <f>ROUND(N(data!BV70), 0)</f>
        <v>0</v>
      </c>
      <c r="Q73" s="207">
        <f>ROUND(N(data!BV71), 0)</f>
        <v>11028</v>
      </c>
      <c r="R73" s="207">
        <f>ROUND(N(data!BV72), 0)</f>
        <v>740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966</v>
      </c>
      <c r="X73" s="207">
        <f>ROUND(N(data!BV78), 0)</f>
        <v>0</v>
      </c>
      <c r="Y73" s="207">
        <f>ROUND(N(data!BV79), 0)</f>
        <v>0</v>
      </c>
      <c r="Z73" s="207">
        <f>ROUND(N(data!BV80), 0)</f>
        <v>57</v>
      </c>
      <c r="AA73" s="207">
        <f>ROUND(N(data!BV81), 0)</f>
        <v>13</v>
      </c>
      <c r="AB73" s="207">
        <f>ROUND(N(data!BV82), 0)</f>
        <v>683</v>
      </c>
      <c r="AC73" s="207">
        <f>ROUND(N(data!BV83), 0)</f>
        <v>8938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905</v>
      </c>
      <c r="AH73" s="207">
        <f>ROUND(N(data!BV91), 0)</f>
        <v>0</v>
      </c>
      <c r="AI73" s="207">
        <f>ROUND(N(data!BV92), 0)</f>
        <v>86</v>
      </c>
      <c r="AJ73" s="207">
        <f>ROUND(N(data!BV93), 0)</f>
        <v>0</v>
      </c>
      <c r="AK73" s="314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054</v>
      </c>
      <c r="B74" s="209" t="str">
        <f>RIGHT(data!$C$96,4)</f>
        <v>2023</v>
      </c>
      <c r="C74" s="12" t="str">
        <f>data!BW$55</f>
        <v>8700</v>
      </c>
      <c r="D74" s="12" t="s">
        <v>1157</v>
      </c>
      <c r="E74" s="207">
        <f>ROUND(N(data!BW59), 0)</f>
        <v>0</v>
      </c>
      <c r="F74" s="314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10736</v>
      </c>
      <c r="M74" s="207">
        <f>ROUND(N(data!BW67), 0)</f>
        <v>0</v>
      </c>
      <c r="N74" s="207">
        <f>ROUND(N(data!BW68), 0)</f>
        <v>0</v>
      </c>
      <c r="O74" s="207">
        <f>ROUND(N(data!BW69), 0)</f>
        <v>43698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41596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2185</v>
      </c>
      <c r="AA74" s="207">
        <f>ROUND(N(data!BW81), 0)</f>
        <v>0</v>
      </c>
      <c r="AB74" s="207">
        <f>ROUND(N(data!BW82), 0)</f>
        <v>0</v>
      </c>
      <c r="AC74" s="207">
        <f>ROUND(N(data!BW83), 0)</f>
        <v>-83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4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054</v>
      </c>
      <c r="B75" s="209" t="str">
        <f>RIGHT(data!$C$96,4)</f>
        <v>2023</v>
      </c>
      <c r="C75" s="12" t="str">
        <f>data!BX$55</f>
        <v>8710</v>
      </c>
      <c r="D75" s="12" t="s">
        <v>1157</v>
      </c>
      <c r="E75" s="207">
        <f>ROUND(N(data!BX59), 0)</f>
        <v>0</v>
      </c>
      <c r="F75" s="314">
        <f>ROUND(N(data!BX60), 2)</f>
        <v>3.3</v>
      </c>
      <c r="G75" s="207">
        <f>ROUND(N(data!BX61), 0)</f>
        <v>363661</v>
      </c>
      <c r="H75" s="207">
        <f>ROUND(N(data!BX62), 0)</f>
        <v>86937</v>
      </c>
      <c r="I75" s="207">
        <f>ROUND(N(data!BX63), 0)</f>
        <v>0</v>
      </c>
      <c r="J75" s="207">
        <f>ROUND(N(data!BX64), 0)</f>
        <v>1322</v>
      </c>
      <c r="K75" s="207">
        <f>ROUND(N(data!BX65), 0)</f>
        <v>0</v>
      </c>
      <c r="L75" s="207">
        <f>ROUND(N(data!BX66), 0)</f>
        <v>37921</v>
      </c>
      <c r="M75" s="207">
        <f>ROUND(N(data!BX67), 0)</f>
        <v>0</v>
      </c>
      <c r="N75" s="207">
        <f>ROUND(N(data!BX68), 0)</f>
        <v>0</v>
      </c>
      <c r="O75" s="207">
        <f>ROUND(N(data!BX69), 0)</f>
        <v>87761</v>
      </c>
      <c r="P75" s="207">
        <f>ROUND(N(data!BX70), 0)</f>
        <v>0</v>
      </c>
      <c r="Q75" s="207">
        <f>ROUND(N(data!BX71), 0)</f>
        <v>30720</v>
      </c>
      <c r="R75" s="207">
        <f>ROUND(N(data!BX72), 0)</f>
        <v>6598</v>
      </c>
      <c r="S75" s="207">
        <f>ROUND(N(data!BX73), 0)</f>
        <v>0</v>
      </c>
      <c r="T75" s="207">
        <f>ROUND(N(data!BX74), 0)</f>
        <v>0</v>
      </c>
      <c r="U75" s="207">
        <f>ROUND(N(data!BX75), 0)</f>
        <v>36352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1147</v>
      </c>
      <c r="AA75" s="207">
        <f>ROUND(N(data!BX81), 0)</f>
        <v>11101</v>
      </c>
      <c r="AB75" s="207">
        <f>ROUND(N(data!BX82), 0)</f>
        <v>234</v>
      </c>
      <c r="AC75" s="207">
        <f>ROUND(N(data!BX83), 0)</f>
        <v>1610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4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054</v>
      </c>
      <c r="B76" s="209" t="str">
        <f>RIGHT(data!$C$96,4)</f>
        <v>2023</v>
      </c>
      <c r="C76" s="12" t="str">
        <f>data!BY$55</f>
        <v>8720</v>
      </c>
      <c r="D76" s="12" t="s">
        <v>1157</v>
      </c>
      <c r="E76" s="207">
        <f>ROUND(N(data!BY59), 0)</f>
        <v>0</v>
      </c>
      <c r="F76" s="314">
        <f>ROUND(N(data!BY60), 2)</f>
        <v>2.0699999999999998</v>
      </c>
      <c r="G76" s="207">
        <f>ROUND(N(data!BY61), 0)</f>
        <v>237946</v>
      </c>
      <c r="H76" s="207">
        <f>ROUND(N(data!BY62), 0)</f>
        <v>56884</v>
      </c>
      <c r="I76" s="207">
        <f>ROUND(N(data!BY63), 0)</f>
        <v>0</v>
      </c>
      <c r="J76" s="207">
        <f>ROUND(N(data!BY64), 0)</f>
        <v>1594</v>
      </c>
      <c r="K76" s="207">
        <f>ROUND(N(data!BY65), 0)</f>
        <v>0</v>
      </c>
      <c r="L76" s="207">
        <f>ROUND(N(data!BY66), 0)</f>
        <v>0</v>
      </c>
      <c r="M76" s="207">
        <f>ROUND(N(data!BY67), 0)</f>
        <v>9210</v>
      </c>
      <c r="N76" s="207">
        <f>ROUND(N(data!BY68), 0)</f>
        <v>0</v>
      </c>
      <c r="O76" s="207">
        <f>ROUND(N(data!BY69), 0)</f>
        <v>2497</v>
      </c>
      <c r="P76" s="207">
        <f>ROUND(N(data!BY70), 0)</f>
        <v>0</v>
      </c>
      <c r="Q76" s="207">
        <f>ROUND(N(data!BY71), 0)</f>
        <v>0</v>
      </c>
      <c r="R76" s="207">
        <f>ROUND(N(data!BY72), 0)</f>
        <v>483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412</v>
      </c>
      <c r="AC76" s="207">
        <f>ROUND(N(data!BY83), 0)</f>
        <v>1603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902</v>
      </c>
      <c r="AH76" s="207">
        <f>ROUND(N(data!BY91), 0)</f>
        <v>0</v>
      </c>
      <c r="AI76" s="207">
        <f>ROUND(N(data!BY92), 0)</f>
        <v>52</v>
      </c>
      <c r="AJ76" s="207">
        <f>ROUND(N(data!BY93), 0)</f>
        <v>0</v>
      </c>
      <c r="AK76" s="314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054</v>
      </c>
      <c r="B77" s="209" t="str">
        <f>RIGHT(data!$C$96,4)</f>
        <v>2023</v>
      </c>
      <c r="C77" s="12" t="str">
        <f>data!BZ$55</f>
        <v>8730</v>
      </c>
      <c r="D77" s="12" t="s">
        <v>1157</v>
      </c>
      <c r="E77" s="207">
        <f>ROUND(N(data!BZ59), 0)</f>
        <v>0</v>
      </c>
      <c r="F77" s="314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4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054</v>
      </c>
      <c r="B78" s="209" t="str">
        <f>RIGHT(data!$C$96,4)</f>
        <v>2023</v>
      </c>
      <c r="C78" s="12" t="str">
        <f>data!CA$55</f>
        <v>8740</v>
      </c>
      <c r="D78" s="12" t="s">
        <v>1157</v>
      </c>
      <c r="E78" s="207">
        <f>ROUND(N(data!CA59), 0)</f>
        <v>0</v>
      </c>
      <c r="F78" s="314">
        <f>ROUND(N(data!CA60), 2)</f>
        <v>0.32</v>
      </c>
      <c r="G78" s="207">
        <f>ROUND(N(data!CA61), 0)</f>
        <v>29967</v>
      </c>
      <c r="H78" s="207">
        <f>ROUND(N(data!CA62), 0)</f>
        <v>7164</v>
      </c>
      <c r="I78" s="207">
        <f>ROUND(N(data!CA63), 0)</f>
        <v>0</v>
      </c>
      <c r="J78" s="207">
        <f>ROUND(N(data!CA64), 0)</f>
        <v>1528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-1023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-658</v>
      </c>
      <c r="AA78" s="207">
        <f>ROUND(N(data!CA81), 0)</f>
        <v>0</v>
      </c>
      <c r="AB78" s="207">
        <f>ROUND(N(data!CA82), 0)</f>
        <v>0</v>
      </c>
      <c r="AC78" s="207">
        <f>ROUND(N(data!CA83), 0)</f>
        <v>-365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4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054</v>
      </c>
      <c r="B79" s="209" t="str">
        <f>RIGHT(data!$C$96,4)</f>
        <v>2023</v>
      </c>
      <c r="C79" s="12" t="str">
        <f>data!CB$55</f>
        <v>8770</v>
      </c>
      <c r="D79" s="12" t="s">
        <v>1157</v>
      </c>
      <c r="E79" s="207">
        <f>ROUND(N(data!CB59), 0)</f>
        <v>0</v>
      </c>
      <c r="F79" s="314">
        <f>ROUND(N(data!CB60), 2)</f>
        <v>0.5</v>
      </c>
      <c r="G79" s="207">
        <f>ROUND(N(data!CB61), 0)</f>
        <v>34710</v>
      </c>
      <c r="H79" s="207">
        <f>ROUND(N(data!CB62), 0)</f>
        <v>8298</v>
      </c>
      <c r="I79" s="207">
        <f>ROUND(N(data!CB63), 0)</f>
        <v>0</v>
      </c>
      <c r="J79" s="207">
        <f>ROUND(N(data!CB64), 0)</f>
        <v>1349</v>
      </c>
      <c r="K79" s="207">
        <f>ROUND(N(data!CB65), 0)</f>
        <v>0</v>
      </c>
      <c r="L79" s="207">
        <f>ROUND(N(data!CB66), 0)</f>
        <v>0</v>
      </c>
      <c r="M79" s="207">
        <f>ROUND(N(data!CB67), 0)</f>
        <v>1113</v>
      </c>
      <c r="N79" s="207">
        <f>ROUND(N(data!CB68), 0)</f>
        <v>0</v>
      </c>
      <c r="O79" s="207">
        <f>ROUND(N(data!CB69), 0)</f>
        <v>278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278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109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4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054</v>
      </c>
      <c r="B80" s="209" t="str">
        <f>RIGHT(data!$C$96,4)</f>
        <v>2023</v>
      </c>
      <c r="C80" s="12" t="str">
        <f>data!CC$55</f>
        <v>8790</v>
      </c>
      <c r="D80" s="12" t="s">
        <v>1157</v>
      </c>
      <c r="E80" s="207">
        <f>ROUND(N(data!CC59), 0)</f>
        <v>0</v>
      </c>
      <c r="F80" s="314">
        <f>ROUND(N(data!CC60), 2)</f>
        <v>1.39</v>
      </c>
      <c r="G80" s="207">
        <f>ROUND(N(data!CC61), 0)</f>
        <v>34771</v>
      </c>
      <c r="H80" s="207">
        <f>ROUND(N(data!CC62), 0)</f>
        <v>8312</v>
      </c>
      <c r="I80" s="207">
        <f>ROUND(N(data!CC63), 0)</f>
        <v>0</v>
      </c>
      <c r="J80" s="207">
        <f>ROUND(N(data!CC64), 0)</f>
        <v>2036</v>
      </c>
      <c r="K80" s="207">
        <f>ROUND(N(data!CC65), 0)</f>
        <v>0</v>
      </c>
      <c r="L80" s="207">
        <f>ROUND(N(data!CC66), 0)</f>
        <v>2484</v>
      </c>
      <c r="M80" s="207">
        <f>ROUND(N(data!CC67), 0)</f>
        <v>0</v>
      </c>
      <c r="N80" s="207">
        <f>ROUND(N(data!CC68), 0)</f>
        <v>-67559</v>
      </c>
      <c r="O80" s="207">
        <f>ROUND(N(data!CC69), 0)</f>
        <v>12689</v>
      </c>
      <c r="P80" s="207">
        <f>ROUND(N(data!CC70), 0)</f>
        <v>0</v>
      </c>
      <c r="Q80" s="207">
        <f>ROUND(N(data!CC71), 0)</f>
        <v>0</v>
      </c>
      <c r="R80" s="207">
        <f>ROUND(N(data!CC72), 0)</f>
        <v>92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12574</v>
      </c>
      <c r="AC80" s="207">
        <f>ROUND(N(data!CC83), 0)</f>
        <v>23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4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D75F7-EFFC-4507-B171-E42022A0F2E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698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699</v>
      </c>
      <c r="G3" s="10"/>
      <c r="J3" s="108"/>
    </row>
    <row r="4" spans="2:10" x14ac:dyDescent="0.35">
      <c r="B4" s="107"/>
      <c r="F4" s="10" t="s">
        <v>700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701</v>
      </c>
      <c r="G8" s="10"/>
      <c r="J8" s="108"/>
    </row>
    <row r="9" spans="2:10" x14ac:dyDescent="0.3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35">
      <c r="B10" s="107"/>
      <c r="F10" s="10" t="s">
        <v>703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704</v>
      </c>
      <c r="G12" s="10"/>
      <c r="J12" s="108"/>
    </row>
    <row r="13" spans="2:10" x14ac:dyDescent="0.35">
      <c r="B13" s="107"/>
      <c r="F13" s="10" t="s">
        <v>705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706</v>
      </c>
      <c r="J16" s="108"/>
    </row>
    <row r="17" spans="2:10" x14ac:dyDescent="0.35">
      <c r="B17" s="104"/>
      <c r="C17" s="113" t="s">
        <v>707</v>
      </c>
      <c r="D17" s="113"/>
      <c r="E17" s="105" t="str">
        <f>+data!C98</f>
        <v>Forks Community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708</v>
      </c>
      <c r="D18" s="62"/>
      <c r="E18" s="11" t="str">
        <f>+"H-"&amp;data!C97</f>
        <v>H-054</v>
      </c>
      <c r="F18" s="10"/>
      <c r="G18" s="10"/>
      <c r="J18" s="108"/>
    </row>
    <row r="19" spans="2:10" x14ac:dyDescent="0.35">
      <c r="B19" s="107"/>
      <c r="C19" s="62" t="s">
        <v>709</v>
      </c>
      <c r="D19" s="62"/>
      <c r="E19" s="11" t="str">
        <f>+data!C99</f>
        <v>530 Bogachiel Way</v>
      </c>
      <c r="F19" s="10"/>
      <c r="G19" s="10"/>
      <c r="J19" s="108"/>
    </row>
    <row r="20" spans="2:10" x14ac:dyDescent="0.35">
      <c r="B20" s="107"/>
      <c r="C20" s="62" t="s">
        <v>710</v>
      </c>
      <c r="D20" s="62"/>
      <c r="E20" s="11" t="str">
        <f>+data!C100</f>
        <v>Forks</v>
      </c>
      <c r="F20" s="10"/>
      <c r="G20" s="10"/>
      <c r="J20" s="108"/>
    </row>
    <row r="21" spans="2:10" x14ac:dyDescent="0.35">
      <c r="B21" s="107"/>
      <c r="C21" s="62" t="s">
        <v>711</v>
      </c>
      <c r="D21" s="62"/>
      <c r="E21" s="11" t="str">
        <f>+data!C103</f>
        <v>Clallam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3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714</v>
      </c>
      <c r="J29" s="108"/>
    </row>
    <row r="30" spans="2:10" x14ac:dyDescent="0.3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717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E8C2-6671-4FAC-B8F5-FFD99D27E60B}">
  <sheetPr codeName="Sheet9">
    <tabColor rgb="FF92D050"/>
  </sheetPr>
  <dimension ref="A2:M94"/>
  <sheetViews>
    <sheetView topLeftCell="A46" zoomScaleNormal="100" workbookViewId="0">
      <selection activeCell="I21" sqref="I21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054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725</v>
      </c>
      <c r="C13" s="240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40" t="s">
        <v>364</v>
      </c>
      <c r="C14" s="240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736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737</v>
      </c>
      <c r="B17" s="240">
        <f>ROUND(N('Prior Year'!E85), 0)</f>
        <v>3557506</v>
      </c>
      <c r="C17" s="240">
        <f>data!E85</f>
        <v>3361023.38</v>
      </c>
      <c r="D17" s="240">
        <f>ROUND(N('Prior Year'!E59), 0)</f>
        <v>742</v>
      </c>
      <c r="E17" s="1">
        <f>data!E59</f>
        <v>484</v>
      </c>
      <c r="F17" s="216">
        <f t="shared" si="0"/>
        <v>4794.4824797843667</v>
      </c>
      <c r="G17" s="216">
        <f t="shared" si="1"/>
        <v>6944.2631818181817</v>
      </c>
      <c r="H17" s="6">
        <f t="shared" si="2"/>
        <v>0.44838639229535815</v>
      </c>
      <c r="I17" s="240" t="str">
        <f t="shared" si="3"/>
        <v>Please provide explanation for the fluctuation noted here</v>
      </c>
      <c r="J17" s="1" t="s">
        <v>1366</v>
      </c>
      <c r="M17" s="7"/>
    </row>
    <row r="18" spans="1:13" x14ac:dyDescent="0.35">
      <c r="A18" s="1" t="s">
        <v>738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739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740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741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742</v>
      </c>
      <c r="B22" s="240">
        <f>ROUND(N('Prior Year'!J85), 0)</f>
        <v>3836</v>
      </c>
      <c r="C22" s="240">
        <f>data!J85</f>
        <v>3859.5699999999997</v>
      </c>
      <c r="D22" s="240">
        <f>ROUND(N('Prior Year'!J59), 0)</f>
        <v>78</v>
      </c>
      <c r="E22" s="1">
        <f>data!J59</f>
        <v>7</v>
      </c>
      <c r="F22" s="216">
        <f t="shared" si="0"/>
        <v>49.179487179487182</v>
      </c>
      <c r="G22" s="216">
        <f t="shared" si="1"/>
        <v>551.36714285714277</v>
      </c>
      <c r="H22" s="6">
        <f t="shared" si="2"/>
        <v>10.211323551318335</v>
      </c>
      <c r="I22" s="240" t="str">
        <f t="shared" si="3"/>
        <v>Please provide explanation for the fluctuation noted here</v>
      </c>
      <c r="J22" s="1" t="s">
        <v>1367</v>
      </c>
      <c r="M22" s="7"/>
    </row>
    <row r="23" spans="1:13" x14ac:dyDescent="0.35">
      <c r="A23" s="1" t="s">
        <v>743</v>
      </c>
      <c r="B23" s="240">
        <f>ROUND(N('Prior Year'!K85), 0)</f>
        <v>2988855</v>
      </c>
      <c r="C23" s="240">
        <f>data!K85</f>
        <v>333788.42</v>
      </c>
      <c r="D23" s="240">
        <f>ROUND(N('Prior Year'!K59), 0)</f>
        <v>6748</v>
      </c>
      <c r="E23" s="1">
        <f>data!K59</f>
        <v>583</v>
      </c>
      <c r="F23" s="216">
        <f t="shared" si="0"/>
        <v>442.92457024303496</v>
      </c>
      <c r="G23" s="216">
        <f t="shared" si="1"/>
        <v>572.53588336192104</v>
      </c>
      <c r="H23" s="6">
        <f t="shared" si="2"/>
        <v>0.2926261531343084</v>
      </c>
      <c r="I23" s="240" t="str">
        <f t="shared" si="3"/>
        <v>Please provide explanation for the fluctuation noted here</v>
      </c>
      <c r="J23" s="1" t="s">
        <v>1369</v>
      </c>
      <c r="M23" s="7"/>
    </row>
    <row r="24" spans="1:13" x14ac:dyDescent="0.35">
      <c r="A24" s="1" t="s">
        <v>744</v>
      </c>
      <c r="B24" s="240">
        <f>ROUND(N('Prior Year'!L85), 0)</f>
        <v>365443</v>
      </c>
      <c r="C24" s="240">
        <f>data!L85</f>
        <v>3088062.4</v>
      </c>
      <c r="D24" s="240">
        <f>ROUND(N('Prior Year'!L59), 0)</f>
        <v>1067</v>
      </c>
      <c r="E24" s="1">
        <f>data!L59</f>
        <v>6514</v>
      </c>
      <c r="F24" s="216">
        <f t="shared" si="0"/>
        <v>342.49578256794751</v>
      </c>
      <c r="G24" s="216">
        <f t="shared" si="1"/>
        <v>474.06545901136013</v>
      </c>
      <c r="H24" s="6">
        <f t="shared" si="2"/>
        <v>0.38414977100429137</v>
      </c>
      <c r="I24" s="240" t="str">
        <f t="shared" si="3"/>
        <v>Please provide explanation for the fluctuation noted here</v>
      </c>
      <c r="J24" s="1" t="s">
        <v>1369</v>
      </c>
      <c r="M24" s="7"/>
    </row>
    <row r="25" spans="1:13" x14ac:dyDescent="0.35">
      <c r="A25" s="1" t="s">
        <v>745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747</v>
      </c>
      <c r="B27" s="240">
        <f>ROUND(N('Prior Year'!O85), 0)</f>
        <v>633807</v>
      </c>
      <c r="C27" s="240">
        <f>data!O85</f>
        <v>217894.68</v>
      </c>
      <c r="D27" s="240">
        <f>ROUND(N('Prior Year'!O59), 0)</f>
        <v>85</v>
      </c>
      <c r="E27" s="1">
        <f>data!O59</f>
        <v>10</v>
      </c>
      <c r="F27" s="216">
        <f t="shared" si="0"/>
        <v>7456.552941176471</v>
      </c>
      <c r="G27" s="216">
        <f t="shared" si="1"/>
        <v>21789.468000000001</v>
      </c>
      <c r="H27" s="6">
        <f t="shared" si="2"/>
        <v>1.922190477542848</v>
      </c>
      <c r="I27" s="240" t="str">
        <f t="shared" si="3"/>
        <v>Please provide explanation for the fluctuation noted here</v>
      </c>
      <c r="J27" s="1" t="s">
        <v>1368</v>
      </c>
      <c r="M27" s="7"/>
    </row>
    <row r="28" spans="1:13" x14ac:dyDescent="0.35">
      <c r="A28" s="1" t="s">
        <v>748</v>
      </c>
      <c r="B28" s="240">
        <f>ROUND(N('Prior Year'!P85), 0)</f>
        <v>1282781</v>
      </c>
      <c r="C28" s="240">
        <f>data!P85</f>
        <v>1286073.26</v>
      </c>
      <c r="D28" s="240">
        <f>ROUND(N('Prior Year'!P59), 0)</f>
        <v>0</v>
      </c>
      <c r="E28" s="1">
        <f>data!P59</f>
        <v>6722</v>
      </c>
      <c r="F28" s="216" t="str">
        <f t="shared" si="0"/>
        <v/>
      </c>
      <c r="G28" s="216">
        <f t="shared" si="1"/>
        <v>191.32300803332342</v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749</v>
      </c>
      <c r="B29" s="240">
        <f>ROUND(N('Prior Year'!Q85), 0)</f>
        <v>11716</v>
      </c>
      <c r="C29" s="240">
        <f>data!Q85</f>
        <v>2047.78</v>
      </c>
      <c r="D29" s="240">
        <f>ROUND(N('Prior Year'!Q59), 0)</f>
        <v>0</v>
      </c>
      <c r="E29" s="1">
        <f>data!Q59</f>
        <v>8216</v>
      </c>
      <c r="F29" s="216" t="str">
        <f t="shared" si="0"/>
        <v/>
      </c>
      <c r="G29" s="216">
        <f t="shared" si="1"/>
        <v>0.24924294060370009</v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750</v>
      </c>
      <c r="B30" s="240">
        <f>ROUND(N('Prior Year'!R85), 0)</f>
        <v>917225</v>
      </c>
      <c r="C30" s="240">
        <f>data!R85</f>
        <v>772878.53</v>
      </c>
      <c r="D30" s="240">
        <f>ROUND(N('Prior Year'!R59), 0)</f>
        <v>0</v>
      </c>
      <c r="E30" s="1">
        <f>data!R59</f>
        <v>15456</v>
      </c>
      <c r="F30" s="216" t="str">
        <f t="shared" si="0"/>
        <v/>
      </c>
      <c r="G30" s="216">
        <f>IFERROR(IF(C30=0,"",IF(E30=0,"",C30/E30)),"")</f>
        <v>50.005080874741203</v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751</v>
      </c>
      <c r="B31" s="240">
        <f>ROUND(N('Prior Year'!S85), 0)</f>
        <v>171304</v>
      </c>
      <c r="C31" s="240">
        <f>data!S85</f>
        <v>214225.72</v>
      </c>
      <c r="D31" s="240" t="s">
        <v>752</v>
      </c>
      <c r="E31" s="4" t="s">
        <v>752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753</v>
      </c>
      <c r="B32" s="240">
        <f>ROUND(N('Prior Year'!T85), 0)</f>
        <v>0</v>
      </c>
      <c r="C32" s="240">
        <f>data!T85</f>
        <v>0</v>
      </c>
      <c r="D32" s="240" t="s">
        <v>752</v>
      </c>
      <c r="E32" s="4" t="s">
        <v>752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754</v>
      </c>
      <c r="B33" s="240">
        <f>ROUND(N('Prior Year'!U85), 0)</f>
        <v>2197329</v>
      </c>
      <c r="C33" s="240">
        <f>data!U85</f>
        <v>1907535.0099999998</v>
      </c>
      <c r="D33" s="240">
        <f>ROUND(N('Prior Year'!U59), 0)</f>
        <v>65713</v>
      </c>
      <c r="E33" s="1">
        <f>data!U59</f>
        <v>59291</v>
      </c>
      <c r="F33" s="216">
        <f t="shared" si="0"/>
        <v>33.438269444402174</v>
      </c>
      <c r="G33" s="216">
        <f t="shared" ref="G33:G69" si="5">IF(C33=0,"",IF(E33=0,"",C33/E33))</f>
        <v>32.172420940783589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755</v>
      </c>
      <c r="B34" s="240">
        <f>ROUND(N('Prior Year'!V85), 0)</f>
        <v>1534</v>
      </c>
      <c r="C34" s="240">
        <f>data!V85</f>
        <v>2410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756</v>
      </c>
      <c r="B35" s="240">
        <f>ROUND(N('Prior Year'!W85), 0)</f>
        <v>0</v>
      </c>
      <c r="C35" s="240">
        <f>data!W85</f>
        <v>142010.99000000002</v>
      </c>
      <c r="D35" s="240">
        <f>ROUND(N('Prior Year'!W59), 0)</f>
        <v>4010</v>
      </c>
      <c r="E35" s="1">
        <f>data!W59</f>
        <v>4116.99</v>
      </c>
      <c r="F35" s="216" t="str">
        <f t="shared" si="0"/>
        <v/>
      </c>
      <c r="G35" s="216">
        <f t="shared" si="5"/>
        <v>34.493887524623581</v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757</v>
      </c>
      <c r="B36" s="240">
        <f>ROUND(N('Prior Year'!X85), 0)</f>
        <v>0</v>
      </c>
      <c r="C36" s="240">
        <f>data!X85</f>
        <v>90371.8</v>
      </c>
      <c r="D36" s="240">
        <f>ROUND(N('Prior Year'!X59), 0)</f>
        <v>11701</v>
      </c>
      <c r="E36" s="1">
        <f>data!X59</f>
        <v>12926.89</v>
      </c>
      <c r="F36" s="216" t="str">
        <f t="shared" si="0"/>
        <v/>
      </c>
      <c r="G36" s="216">
        <f t="shared" si="5"/>
        <v>6.9909931932583946</v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758</v>
      </c>
      <c r="B37" s="240">
        <f>ROUND(N('Prior Year'!Y85), 0)</f>
        <v>2276582</v>
      </c>
      <c r="C37" s="240">
        <f>data!Y85</f>
        <v>2222486.9500000002</v>
      </c>
      <c r="D37" s="240">
        <f>ROUND(N('Prior Year'!Y59), 0)</f>
        <v>7263</v>
      </c>
      <c r="E37" s="1">
        <f>data!Y59</f>
        <v>7350.1</v>
      </c>
      <c r="F37" s="216">
        <f t="shared" si="0"/>
        <v>313.44926338978382</v>
      </c>
      <c r="G37" s="216">
        <f t="shared" si="5"/>
        <v>302.37506292431397</v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759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760</v>
      </c>
      <c r="B39" s="240">
        <f>ROUND(N('Prior Year'!AA85), 0)</f>
        <v>94160</v>
      </c>
      <c r="C39" s="240">
        <f>data!AA85</f>
        <v>87938.94</v>
      </c>
      <c r="D39" s="240">
        <f>ROUND(N('Prior Year'!AA59), 0)</f>
        <v>436</v>
      </c>
      <c r="E39" s="1">
        <f>data!AA59</f>
        <v>313.74</v>
      </c>
      <c r="F39" s="216">
        <f t="shared" si="0"/>
        <v>215.96330275229357</v>
      </c>
      <c r="G39" s="216">
        <f t="shared" si="5"/>
        <v>280.29240772614264</v>
      </c>
      <c r="H39" s="6">
        <f t="shared" si="6"/>
        <v>0.29787053704968347</v>
      </c>
      <c r="I39" s="240" t="str">
        <f t="shared" si="3"/>
        <v>Please provide explanation for the fluctuation noted here</v>
      </c>
      <c r="J39" s="1" t="s">
        <v>1370</v>
      </c>
      <c r="M39" s="7"/>
    </row>
    <row r="40" spans="1:13" x14ac:dyDescent="0.35">
      <c r="A40" s="1" t="s">
        <v>761</v>
      </c>
      <c r="B40" s="240">
        <f>ROUND(N('Prior Year'!AB85), 0)</f>
        <v>1462227</v>
      </c>
      <c r="C40" s="240">
        <f>data!AB85</f>
        <v>1440893.4300000002</v>
      </c>
      <c r="D40" s="240" t="s">
        <v>752</v>
      </c>
      <c r="E40" s="4" t="s">
        <v>752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762</v>
      </c>
      <c r="B41" s="240">
        <f>ROUND(N('Prior Year'!AC85), 0)</f>
        <v>199202</v>
      </c>
      <c r="C41" s="240">
        <f>data!AC85</f>
        <v>115404.76000000001</v>
      </c>
      <c r="D41" s="240">
        <f>ROUND(N('Prior Year'!AC59), 0)</f>
        <v>858</v>
      </c>
      <c r="E41" s="1">
        <f>data!AC59</f>
        <v>737</v>
      </c>
      <c r="F41" s="216">
        <f t="shared" si="0"/>
        <v>232.17016317016316</v>
      </c>
      <c r="G41" s="216">
        <f t="shared" si="5"/>
        <v>156.58719131614654</v>
      </c>
      <c r="H41" s="6">
        <f t="shared" ref="H41:H59" si="7">IF(B41 = 0, "", IF(C41 = 0, "", IF(D41 = 0, "", IF(E41 = 0, "", IF(G41 / F41 - 1 &lt; -0.25, G41 / F41 - 1, IF(G41 / F41 - 1 &gt; 0.25, G41 / F41 - 1, ""))))))</f>
        <v>-0.32554989332811046</v>
      </c>
      <c r="I41" s="240" t="str">
        <f t="shared" si="3"/>
        <v>Please provide explanation for the fluctuation noted here</v>
      </c>
      <c r="J41" s="1" t="s">
        <v>1371</v>
      </c>
      <c r="M41" s="7"/>
    </row>
    <row r="42" spans="1:13" x14ac:dyDescent="0.35">
      <c r="A42" s="1" t="s">
        <v>763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764</v>
      </c>
      <c r="B43" s="240">
        <f>ROUND(N('Prior Year'!AE85), 0)</f>
        <v>964920</v>
      </c>
      <c r="C43" s="240">
        <f>data!AE85</f>
        <v>1074226.5799999998</v>
      </c>
      <c r="D43" s="240">
        <f>ROUND(N('Prior Year'!AE59), 0)</f>
        <v>6092</v>
      </c>
      <c r="E43" s="1">
        <f>data!AE59</f>
        <v>6238</v>
      </c>
      <c r="F43" s="216">
        <f t="shared" si="0"/>
        <v>158.39133289560078</v>
      </c>
      <c r="G43" s="216">
        <f t="shared" si="5"/>
        <v>172.20689002885538</v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765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766</v>
      </c>
      <c r="B45" s="240">
        <f>ROUND(N('Prior Year'!AG85), 0)</f>
        <v>2023011</v>
      </c>
      <c r="C45" s="240">
        <f>data!AG85</f>
        <v>2634179.5500000003</v>
      </c>
      <c r="D45" s="240">
        <f>ROUND(N('Prior Year'!AG59), 0)</f>
        <v>4991</v>
      </c>
      <c r="E45" s="1">
        <f>data!AG59</f>
        <v>4939</v>
      </c>
      <c r="F45" s="216">
        <f t="shared" si="0"/>
        <v>405.33179723502303</v>
      </c>
      <c r="G45" s="216">
        <f t="shared" si="5"/>
        <v>533.34269082810295</v>
      </c>
      <c r="H45" s="6">
        <f t="shared" si="7"/>
        <v>0.31581754618391189</v>
      </c>
      <c r="I45" s="240" t="str">
        <f t="shared" si="3"/>
        <v>Please provide explanation for the fluctuation noted here</v>
      </c>
      <c r="J45" s="1" t="s">
        <v>1372</v>
      </c>
      <c r="M45" s="7"/>
    </row>
    <row r="46" spans="1:13" x14ac:dyDescent="0.35">
      <c r="A46" s="1" t="s">
        <v>767</v>
      </c>
      <c r="B46" s="240">
        <f>ROUND(N('Prior Year'!AH85), 0)</f>
        <v>657847</v>
      </c>
      <c r="C46" s="240">
        <f>data!AH85</f>
        <v>960705.28000000014</v>
      </c>
      <c r="D46" s="240">
        <f>ROUND(N('Prior Year'!AH59), 0)</f>
        <v>960</v>
      </c>
      <c r="E46" s="1">
        <f>data!AH59</f>
        <v>855</v>
      </c>
      <c r="F46" s="216">
        <f t="shared" si="0"/>
        <v>685.25729166666667</v>
      </c>
      <c r="G46" s="216">
        <f t="shared" si="5"/>
        <v>1123.6319064327488</v>
      </c>
      <c r="H46" s="6">
        <f t="shared" si="7"/>
        <v>0.63972265614259682</v>
      </c>
      <c r="I46" s="240" t="str">
        <f t="shared" si="3"/>
        <v>Please provide explanation for the fluctuation noted here</v>
      </c>
      <c r="J46" s="1" t="s">
        <v>1373</v>
      </c>
      <c r="M46" s="7"/>
    </row>
    <row r="47" spans="1:13" x14ac:dyDescent="0.35">
      <c r="A47" s="1" t="s">
        <v>768</v>
      </c>
      <c r="B47" s="240">
        <f>ROUND(N('Prior Year'!AI85), 0)</f>
        <v>123281</v>
      </c>
      <c r="C47" s="240">
        <f>data!AI85</f>
        <v>127096.96000000001</v>
      </c>
      <c r="D47" s="240">
        <f>ROUND(N('Prior Year'!AI59), 0)</f>
        <v>294</v>
      </c>
      <c r="E47" s="1">
        <f>data!AI59</f>
        <v>0</v>
      </c>
      <c r="F47" s="216">
        <f t="shared" si="0"/>
        <v>419.32312925170066</v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40">
        <f>ROUND(N('Prior Year'!AJ85), 0)</f>
        <v>5265923</v>
      </c>
      <c r="C48" s="240">
        <f>data!AJ85</f>
        <v>6445733.7299999995</v>
      </c>
      <c r="D48" s="240">
        <f>ROUND(N('Prior Year'!AJ59), 0)</f>
        <v>15741</v>
      </c>
      <c r="E48" s="1">
        <f>data!AJ59</f>
        <v>16679</v>
      </c>
      <c r="F48" s="216">
        <f t="shared" si="0"/>
        <v>334.53548059208435</v>
      </c>
      <c r="G48" s="216">
        <f t="shared" si="5"/>
        <v>386.45804484681332</v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770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771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772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773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774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775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776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777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778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779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780</v>
      </c>
      <c r="B59" s="240">
        <f>ROUND(N('Prior Year'!AU85), 0)</f>
        <v>1474282</v>
      </c>
      <c r="C59" s="240">
        <f>data!AU85</f>
        <v>1846593.8599999999</v>
      </c>
      <c r="D59" s="240">
        <f>ROUND(N('Prior Year'!AU59), 0)</f>
        <v>6745</v>
      </c>
      <c r="E59" s="1">
        <f>data!AU59</f>
        <v>8396</v>
      </c>
      <c r="F59" s="216">
        <f t="shared" si="0"/>
        <v>218.57405485544848</v>
      </c>
      <c r="G59" s="216">
        <f t="shared" si="5"/>
        <v>219.93733444497377</v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781</v>
      </c>
      <c r="B60" s="240">
        <f>ROUND(N('Prior Year'!AV85), 0)</f>
        <v>269090</v>
      </c>
      <c r="C60" s="240">
        <f>data!AV85</f>
        <v>427133.47</v>
      </c>
      <c r="D60" s="240" t="s">
        <v>752</v>
      </c>
      <c r="E60" s="4" t="s">
        <v>752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782</v>
      </c>
      <c r="B61" s="240">
        <f>ROUND(N('Prior Year'!AW85), 0)</f>
        <v>0</v>
      </c>
      <c r="C61" s="240">
        <f>data!AW85</f>
        <v>0</v>
      </c>
      <c r="D61" s="240" t="s">
        <v>752</v>
      </c>
      <c r="E61" s="4" t="s">
        <v>752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783</v>
      </c>
      <c r="B62" s="240">
        <f>ROUND(N('Prior Year'!AX85), 0)</f>
        <v>0</v>
      </c>
      <c r="C62" s="240">
        <f>data!AX85</f>
        <v>0</v>
      </c>
      <c r="D62" s="240" t="s">
        <v>752</v>
      </c>
      <c r="E62" s="4" t="s">
        <v>752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784</v>
      </c>
      <c r="B63" s="240">
        <f>ROUND(N('Prior Year'!AY85), 0)</f>
        <v>1031076</v>
      </c>
      <c r="C63" s="240">
        <f>data!AY85</f>
        <v>1168704.1000000001</v>
      </c>
      <c r="D63" s="240">
        <f>ROUND(N('Prior Year'!AY59), 0)</f>
        <v>102663</v>
      </c>
      <c r="E63" s="1">
        <f>data!AY59</f>
        <v>108021</v>
      </c>
      <c r="F63" s="216">
        <f>IF(B63=0,"",IF(D63=0,"",B63/D63))</f>
        <v>10.043306741474533</v>
      </c>
      <c r="G63" s="216">
        <f t="shared" si="5"/>
        <v>10.819230519991484</v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785</v>
      </c>
      <c r="B64" s="240">
        <f>ROUND(N('Prior Year'!AZ85), 0)</f>
        <v>4783</v>
      </c>
      <c r="C64" s="240">
        <f>data!AZ85</f>
        <v>47154.75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786</v>
      </c>
      <c r="B65" s="240">
        <f>ROUND(N('Prior Year'!BA85), 0)</f>
        <v>118779</v>
      </c>
      <c r="C65" s="240">
        <f>data!BA85</f>
        <v>107181.01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787</v>
      </c>
      <c r="B66" s="240">
        <f>ROUND(N('Prior Year'!BB85), 0)</f>
        <v>241813</v>
      </c>
      <c r="C66" s="240">
        <f>data!BB85</f>
        <v>315969.84999999998</v>
      </c>
      <c r="D66" s="240" t="s">
        <v>752</v>
      </c>
      <c r="E66" s="4" t="s">
        <v>752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788</v>
      </c>
      <c r="B67" s="240">
        <f>ROUND(N('Prior Year'!BC85), 0)</f>
        <v>0</v>
      </c>
      <c r="C67" s="240">
        <f>data!BC85</f>
        <v>0</v>
      </c>
      <c r="D67" s="240" t="s">
        <v>752</v>
      </c>
      <c r="E67" s="4" t="s">
        <v>752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789</v>
      </c>
      <c r="B68" s="240">
        <f>ROUND(N('Prior Year'!BD85), 0)</f>
        <v>199323</v>
      </c>
      <c r="C68" s="240">
        <f>data!BD85</f>
        <v>191415.08000000002</v>
      </c>
      <c r="D68" s="240" t="s">
        <v>752</v>
      </c>
      <c r="E68" s="4" t="s">
        <v>752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790</v>
      </c>
      <c r="B69" s="240">
        <f>ROUND(N('Prior Year'!BE85), 0)</f>
        <v>1342900</v>
      </c>
      <c r="C69" s="240">
        <f>data!BE85</f>
        <v>1425537.92</v>
      </c>
      <c r="D69" s="240">
        <f>ROUND(N('Prior Year'!BE59), 0)</f>
        <v>56157</v>
      </c>
      <c r="E69" s="1">
        <f>data!BE59</f>
        <v>60206</v>
      </c>
      <c r="F69" s="216">
        <f>IF(B69=0,"",IF(D69=0,"",B69/D69))</f>
        <v>23.913314457681142</v>
      </c>
      <c r="G69" s="216">
        <f t="shared" si="5"/>
        <v>23.677671992824635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x14ac:dyDescent="0.35">
      <c r="A70" s="1" t="s">
        <v>791</v>
      </c>
      <c r="B70" s="240">
        <f>ROUND(N('Prior Year'!BF85), 0)</f>
        <v>864170</v>
      </c>
      <c r="C70" s="240">
        <f>data!BF85</f>
        <v>981965.64</v>
      </c>
      <c r="D70" s="240" t="s">
        <v>752</v>
      </c>
      <c r="E70" s="4" t="s">
        <v>752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792</v>
      </c>
      <c r="B71" s="240">
        <f>ROUND(N('Prior Year'!BG85), 0)</f>
        <v>557094</v>
      </c>
      <c r="C71" s="240">
        <f>data!BG85</f>
        <v>0</v>
      </c>
      <c r="D71" s="240" t="s">
        <v>752</v>
      </c>
      <c r="E71" s="4" t="s">
        <v>752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793</v>
      </c>
      <c r="B72" s="240">
        <f>ROUND(N('Prior Year'!BH85), 0)</f>
        <v>453933</v>
      </c>
      <c r="C72" s="240">
        <f>data!BH85</f>
        <v>1016157.7600000001</v>
      </c>
      <c r="D72" s="240" t="s">
        <v>752</v>
      </c>
      <c r="E72" s="4" t="s">
        <v>752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794</v>
      </c>
      <c r="B73" s="240">
        <f>ROUND(N('Prior Year'!BI85), 0)</f>
        <v>0</v>
      </c>
      <c r="C73" s="240">
        <f>data!BI85</f>
        <v>0</v>
      </c>
      <c r="D73" s="240" t="s">
        <v>752</v>
      </c>
      <c r="E73" s="4" t="s">
        <v>752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795</v>
      </c>
      <c r="B74" s="240">
        <f>ROUND(N('Prior Year'!BJ85), 0)</f>
        <v>508568</v>
      </c>
      <c r="C74" s="240">
        <f>data!BJ85</f>
        <v>784484.08000000007</v>
      </c>
      <c r="D74" s="240" t="s">
        <v>752</v>
      </c>
      <c r="E74" s="4" t="s">
        <v>752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796</v>
      </c>
      <c r="B75" s="240">
        <f>ROUND(N('Prior Year'!BK85), 0)</f>
        <v>1316583</v>
      </c>
      <c r="C75" s="240">
        <f>data!BK85</f>
        <v>1534311.1300000004</v>
      </c>
      <c r="D75" s="240" t="s">
        <v>752</v>
      </c>
      <c r="E75" s="4" t="s">
        <v>752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797</v>
      </c>
      <c r="B76" s="240">
        <f>ROUND(N('Prior Year'!BL85), 0)</f>
        <v>440490</v>
      </c>
      <c r="C76" s="240">
        <f>data!BL85</f>
        <v>460571.35999999993</v>
      </c>
      <c r="D76" s="240" t="s">
        <v>752</v>
      </c>
      <c r="E76" s="4" t="s">
        <v>752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798</v>
      </c>
      <c r="B77" s="240">
        <f>ROUND(N('Prior Year'!BM85), 0)</f>
        <v>0</v>
      </c>
      <c r="C77" s="240">
        <f>data!BM85</f>
        <v>0</v>
      </c>
      <c r="D77" s="240" t="s">
        <v>752</v>
      </c>
      <c r="E77" s="4" t="s">
        <v>752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799</v>
      </c>
      <c r="B78" s="240">
        <f>ROUND(N('Prior Year'!BN85), 0)</f>
        <v>1428574</v>
      </c>
      <c r="C78" s="240">
        <f>data!BN85</f>
        <v>2388224.5</v>
      </c>
      <c r="D78" s="240" t="s">
        <v>752</v>
      </c>
      <c r="E78" s="4" t="s">
        <v>752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800</v>
      </c>
      <c r="B79" s="240">
        <f>ROUND(N('Prior Year'!BO85), 0)</f>
        <v>0</v>
      </c>
      <c r="C79" s="240">
        <f>data!BO85</f>
        <v>713.01</v>
      </c>
      <c r="D79" s="240" t="s">
        <v>752</v>
      </c>
      <c r="E79" s="4" t="s">
        <v>752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40">
        <f>ROUND(N('Prior Year'!BP85), 0)</f>
        <v>0</v>
      </c>
      <c r="C80" s="240">
        <f>data!BP85</f>
        <v>18670.04</v>
      </c>
      <c r="D80" s="240" t="s">
        <v>752</v>
      </c>
      <c r="E80" s="4" t="s">
        <v>752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802</v>
      </c>
      <c r="B81" s="240">
        <f>ROUND(N('Prior Year'!BQ85), 0)</f>
        <v>0</v>
      </c>
      <c r="C81" s="240">
        <f>data!BQ85</f>
        <v>0</v>
      </c>
      <c r="D81" s="240" t="s">
        <v>752</v>
      </c>
      <c r="E81" s="4" t="s">
        <v>752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803</v>
      </c>
      <c r="B82" s="240">
        <f>ROUND(N('Prior Year'!BR85), 0)</f>
        <v>315818</v>
      </c>
      <c r="C82" s="240">
        <f>data!BR85</f>
        <v>352288.45</v>
      </c>
      <c r="D82" s="240" t="s">
        <v>752</v>
      </c>
      <c r="E82" s="4" t="s">
        <v>752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804</v>
      </c>
      <c r="B83" s="240">
        <f>ROUND(N('Prior Year'!BS85), 0)</f>
        <v>0</v>
      </c>
      <c r="C83" s="240">
        <f>data!BS85</f>
        <v>0</v>
      </c>
      <c r="D83" s="240" t="s">
        <v>752</v>
      </c>
      <c r="E83" s="4" t="s">
        <v>752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805</v>
      </c>
      <c r="B84" s="240">
        <f>ROUND(N('Prior Year'!BT85), 0)</f>
        <v>0</v>
      </c>
      <c r="C84" s="240">
        <f>data!BT85</f>
        <v>0</v>
      </c>
      <c r="D84" s="240" t="s">
        <v>752</v>
      </c>
      <c r="E84" s="4" t="s">
        <v>752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806</v>
      </c>
      <c r="B85" s="240">
        <f>ROUND(N('Prior Year'!BU85), 0)</f>
        <v>0</v>
      </c>
      <c r="C85" s="240">
        <f>data!BU85</f>
        <v>0</v>
      </c>
      <c r="D85" s="240" t="s">
        <v>752</v>
      </c>
      <c r="E85" s="4" t="s">
        <v>752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807</v>
      </c>
      <c r="B86" s="240">
        <f>ROUND(N('Prior Year'!BV85), 0)</f>
        <v>408101</v>
      </c>
      <c r="C86" s="240">
        <f>data!BV85</f>
        <v>393725.97</v>
      </c>
      <c r="D86" s="240" t="s">
        <v>752</v>
      </c>
      <c r="E86" s="4" t="s">
        <v>752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808</v>
      </c>
      <c r="B87" s="240">
        <f>ROUND(N('Prior Year'!BW85), 0)</f>
        <v>0</v>
      </c>
      <c r="C87" s="240">
        <f>data!BW85</f>
        <v>54434.1</v>
      </c>
      <c r="D87" s="240" t="s">
        <v>752</v>
      </c>
      <c r="E87" s="4" t="s">
        <v>752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809</v>
      </c>
      <c r="B88" s="240">
        <f>ROUND(N('Prior Year'!BX85), 0)</f>
        <v>575619</v>
      </c>
      <c r="C88" s="240">
        <f>data!BX85</f>
        <v>577600.72</v>
      </c>
      <c r="D88" s="240" t="s">
        <v>752</v>
      </c>
      <c r="E88" s="4" t="s">
        <v>752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810</v>
      </c>
      <c r="B89" s="240">
        <f>ROUND(N('Prior Year'!BY85), 0)</f>
        <v>282626</v>
      </c>
      <c r="C89" s="240">
        <f>data!BY85</f>
        <v>308131.63</v>
      </c>
      <c r="D89" s="240" t="s">
        <v>752</v>
      </c>
      <c r="E89" s="4" t="s">
        <v>752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811</v>
      </c>
      <c r="B90" s="240">
        <f>ROUND(N('Prior Year'!BZ85), 0)</f>
        <v>0</v>
      </c>
      <c r="C90" s="240">
        <f>data!BZ85</f>
        <v>0</v>
      </c>
      <c r="D90" s="240" t="s">
        <v>752</v>
      </c>
      <c r="E90" s="4" t="s">
        <v>752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812</v>
      </c>
      <c r="B91" s="240">
        <f>ROUND(N('Prior Year'!CA85), 0)</f>
        <v>88941</v>
      </c>
      <c r="C91" s="240">
        <f>data!CA85</f>
        <v>37635.43</v>
      </c>
      <c r="D91" s="240" t="s">
        <v>752</v>
      </c>
      <c r="E91" s="4" t="s">
        <v>752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813</v>
      </c>
      <c r="B92" s="240">
        <f>ROUND(N('Prior Year'!CB85), 0)</f>
        <v>39929</v>
      </c>
      <c r="C92" s="240">
        <f>data!CB85</f>
        <v>45747.7</v>
      </c>
      <c r="D92" s="240" t="s">
        <v>752</v>
      </c>
      <c r="E92" s="4" t="s">
        <v>752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814</v>
      </c>
      <c r="B93" s="240">
        <f>ROUND(N('Prior Year'!CC85), 0)</f>
        <v>742271</v>
      </c>
      <c r="C93" s="240">
        <f>data!CC85</f>
        <v>-7267.2199999999993</v>
      </c>
      <c r="D93" s="240" t="s">
        <v>752</v>
      </c>
      <c r="E93" s="4" t="s">
        <v>752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815</v>
      </c>
      <c r="B94" s="240">
        <f>ROUND(N('Prior Year'!CD85), 0)</f>
        <v>-945935</v>
      </c>
      <c r="C94" s="240">
        <f>data!CD85</f>
        <v>291903</v>
      </c>
      <c r="D94" s="240" t="s">
        <v>752</v>
      </c>
      <c r="E94" s="4" t="s">
        <v>752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88346-DA80-49FE-976F-A9F58BD16D5B}">
  <sheetPr>
    <tabColor rgb="FF92D050"/>
  </sheetPr>
  <dimension ref="A1:D36"/>
  <sheetViews>
    <sheetView topLeftCell="A11" workbookViewId="0">
      <selection activeCell="G22" sqref="G22"/>
    </sheetView>
  </sheetViews>
  <sheetFormatPr defaultRowHeight="12.5" x14ac:dyDescent="0.25"/>
  <sheetData>
    <row r="1" spans="1:4" ht="14.5" x14ac:dyDescent="0.35">
      <c r="A1" s="261" t="s">
        <v>816</v>
      </c>
      <c r="B1" s="260"/>
      <c r="C1" s="260"/>
      <c r="D1" s="260"/>
    </row>
    <row r="2" spans="1:4" ht="14.5" x14ac:dyDescent="0.35">
      <c r="A2" s="260"/>
      <c r="B2" s="260"/>
      <c r="C2" s="260"/>
      <c r="D2" s="260"/>
    </row>
    <row r="3" spans="1:4" ht="14.5" x14ac:dyDescent="0.35">
      <c r="A3" s="263" t="s">
        <v>817</v>
      </c>
      <c r="B3" s="260"/>
      <c r="C3" s="260"/>
      <c r="D3" s="260"/>
    </row>
    <row r="4" spans="1:4" ht="14.5" x14ac:dyDescent="0.35">
      <c r="A4" s="260" t="s">
        <v>818</v>
      </c>
      <c r="B4" s="260"/>
      <c r="C4" s="260"/>
      <c r="D4" s="260"/>
    </row>
    <row r="5" spans="1:4" ht="14.5" x14ac:dyDescent="0.35">
      <c r="A5" s="260" t="s">
        <v>819</v>
      </c>
      <c r="B5" s="260"/>
      <c r="C5" s="260"/>
      <c r="D5" s="260"/>
    </row>
    <row r="6" spans="1:4" ht="14.5" x14ac:dyDescent="0.35">
      <c r="A6" s="260"/>
      <c r="B6" s="260"/>
      <c r="C6" s="260"/>
      <c r="D6" s="260"/>
    </row>
    <row r="7" spans="1:4" ht="14.5" x14ac:dyDescent="0.35">
      <c r="A7" s="260" t="s">
        <v>820</v>
      </c>
      <c r="B7" s="260"/>
      <c r="C7" s="260"/>
      <c r="D7" s="260"/>
    </row>
    <row r="8" spans="1:4" ht="14.5" x14ac:dyDescent="0.35">
      <c r="A8" s="260" t="s">
        <v>821</v>
      </c>
      <c r="B8" s="260"/>
      <c r="C8" s="260"/>
      <c r="D8" s="260"/>
    </row>
    <row r="9" spans="1:4" ht="14.5" x14ac:dyDescent="0.35">
      <c r="A9" s="260"/>
      <c r="B9" s="260"/>
      <c r="C9" s="260"/>
      <c r="D9" s="260"/>
    </row>
    <row r="10" spans="1:4" ht="14.5" x14ac:dyDescent="0.35">
      <c r="A10" s="260"/>
      <c r="B10" s="260"/>
      <c r="C10" s="260"/>
      <c r="D10" s="260"/>
    </row>
    <row r="11" spans="1:4" ht="14.5" x14ac:dyDescent="0.35">
      <c r="A11" s="262" t="s">
        <v>822</v>
      </c>
      <c r="B11" s="260"/>
      <c r="C11" s="260"/>
      <c r="D11" s="260">
        <f>N(data!C380)</f>
        <v>154069</v>
      </c>
    </row>
    <row r="12" spans="1:4" ht="14.5" x14ac:dyDescent="0.35">
      <c r="A12" s="262" t="s">
        <v>823</v>
      </c>
      <c r="B12" s="260"/>
      <c r="C12" s="260"/>
      <c r="D12" s="260" t="str">
        <f>IF(OR(N(data!C380) &gt; 1000000, N(data!C380) / (N(data!D360) + N(data!D383)) &gt; 0.01), "Yes", "No")</f>
        <v>No</v>
      </c>
    </row>
    <row r="13" spans="1:4" ht="14.5" x14ac:dyDescent="0.35">
      <c r="A13" s="260"/>
      <c r="B13" s="260"/>
      <c r="C13" s="260"/>
      <c r="D13" s="260"/>
    </row>
    <row r="14" spans="1:4" ht="14.5" x14ac:dyDescent="0.35">
      <c r="A14" s="262" t="s">
        <v>824</v>
      </c>
      <c r="B14" s="260"/>
      <c r="C14" s="260"/>
      <c r="D14" s="262" t="s">
        <v>825</v>
      </c>
    </row>
    <row r="15" spans="1:4" ht="14.5" x14ac:dyDescent="0.35">
      <c r="A15" s="260" t="s">
        <v>826</v>
      </c>
      <c r="B15" s="260"/>
      <c r="C15" s="260"/>
      <c r="D15" s="260"/>
    </row>
    <row r="16" spans="1:4" ht="14.5" x14ac:dyDescent="0.35">
      <c r="A16" s="260" t="s">
        <v>826</v>
      </c>
      <c r="B16" s="260"/>
      <c r="C16" s="260"/>
      <c r="D16" s="260"/>
    </row>
    <row r="17" spans="1:4" ht="14.5" x14ac:dyDescent="0.35">
      <c r="A17" s="260" t="s">
        <v>826</v>
      </c>
      <c r="B17" s="260"/>
      <c r="C17" s="260"/>
      <c r="D17" s="260"/>
    </row>
    <row r="18" spans="1:4" ht="14.5" x14ac:dyDescent="0.35">
      <c r="A18" s="260" t="s">
        <v>826</v>
      </c>
      <c r="B18" s="260"/>
      <c r="C18" s="260"/>
      <c r="D18" s="260"/>
    </row>
    <row r="19" spans="1:4" ht="14.5" x14ac:dyDescent="0.35">
      <c r="A19" s="260" t="s">
        <v>826</v>
      </c>
      <c r="B19" s="260"/>
      <c r="C19" s="260"/>
      <c r="D19" s="260"/>
    </row>
    <row r="20" spans="1:4" ht="14.5" x14ac:dyDescent="0.35">
      <c r="A20" s="260" t="s">
        <v>826</v>
      </c>
      <c r="B20" s="260"/>
      <c r="C20" s="260"/>
      <c r="D20" s="260"/>
    </row>
    <row r="21" spans="1:4" ht="14.5" x14ac:dyDescent="0.35">
      <c r="A21" s="260" t="s">
        <v>826</v>
      </c>
      <c r="B21" s="260"/>
      <c r="C21" s="260"/>
      <c r="D21" s="260"/>
    </row>
    <row r="22" spans="1:4" ht="14.5" x14ac:dyDescent="0.35">
      <c r="A22" s="260"/>
      <c r="B22" s="260"/>
      <c r="C22" s="260"/>
      <c r="D22" s="260"/>
    </row>
    <row r="23" spans="1:4" ht="14.5" x14ac:dyDescent="0.35">
      <c r="A23" s="260"/>
      <c r="B23" s="260"/>
      <c r="C23" s="260"/>
      <c r="D23" s="260"/>
    </row>
    <row r="24" spans="1:4" ht="14.5" x14ac:dyDescent="0.35">
      <c r="A24" s="260"/>
      <c r="B24" s="260"/>
      <c r="C24" s="260"/>
      <c r="D24" s="260"/>
    </row>
    <row r="25" spans="1:4" ht="14.5" x14ac:dyDescent="0.35">
      <c r="A25" s="262" t="s">
        <v>827</v>
      </c>
      <c r="B25" s="260"/>
      <c r="C25" s="260"/>
      <c r="D25" s="260">
        <f>N(data!C414)</f>
        <v>388170</v>
      </c>
    </row>
    <row r="26" spans="1:4" ht="14.5" x14ac:dyDescent="0.35">
      <c r="A26" s="262" t="s">
        <v>823</v>
      </c>
      <c r="B26" s="260"/>
      <c r="C26" s="260"/>
      <c r="D26" s="260" t="str">
        <f>IF(OR(N(data!C414)&gt;1000000,N(data!C414)/(N(data!D416))&gt;0.01),"Yes","No")</f>
        <v>No</v>
      </c>
    </row>
    <row r="27" spans="1:4" ht="14.5" x14ac:dyDescent="0.35">
      <c r="A27" s="260"/>
      <c r="B27" s="260"/>
      <c r="C27" s="260"/>
      <c r="D27" s="260"/>
    </row>
    <row r="28" spans="1:4" ht="14.5" x14ac:dyDescent="0.35">
      <c r="A28" s="262" t="s">
        <v>824</v>
      </c>
      <c r="B28" s="260"/>
      <c r="C28" s="260"/>
      <c r="D28" s="262" t="s">
        <v>825</v>
      </c>
    </row>
    <row r="29" spans="1:4" ht="14.5" x14ac:dyDescent="0.35">
      <c r="A29" s="260" t="s">
        <v>828</v>
      </c>
      <c r="B29" s="260"/>
      <c r="C29" s="260"/>
      <c r="D29" s="260"/>
    </row>
    <row r="30" spans="1:4" ht="14.5" x14ac:dyDescent="0.35">
      <c r="A30" s="260" t="s">
        <v>828</v>
      </c>
      <c r="B30" s="260"/>
      <c r="C30" s="260"/>
      <c r="D30" s="260"/>
    </row>
    <row r="31" spans="1:4" ht="14.5" x14ac:dyDescent="0.35">
      <c r="A31" s="260" t="s">
        <v>828</v>
      </c>
      <c r="B31" s="260"/>
      <c r="C31" s="260"/>
      <c r="D31" s="260"/>
    </row>
    <row r="32" spans="1:4" ht="14.5" x14ac:dyDescent="0.35">
      <c r="A32" s="260" t="s">
        <v>828</v>
      </c>
      <c r="B32" s="260"/>
      <c r="C32" s="260"/>
      <c r="D32" s="260"/>
    </row>
    <row r="33" spans="1:4" ht="14.5" x14ac:dyDescent="0.35">
      <c r="A33" s="260" t="s">
        <v>828</v>
      </c>
      <c r="B33" s="260"/>
      <c r="C33" s="260"/>
      <c r="D33" s="260"/>
    </row>
    <row r="34" spans="1:4" ht="14.5" x14ac:dyDescent="0.35">
      <c r="A34" s="260" t="s">
        <v>828</v>
      </c>
      <c r="B34" s="260"/>
      <c r="C34" s="260"/>
      <c r="D34" s="260"/>
    </row>
    <row r="35" spans="1:4" ht="14.5" x14ac:dyDescent="0.35">
      <c r="A35" s="260" t="s">
        <v>828</v>
      </c>
      <c r="B35" s="260"/>
      <c r="C35" s="260"/>
      <c r="D35" s="260"/>
    </row>
    <row r="36" spans="1:4" ht="14.5" x14ac:dyDescent="0.35">
      <c r="A36" s="260"/>
      <c r="B36" s="260"/>
      <c r="C36" s="260"/>
      <c r="D36" s="2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CE0DC-A8BE-4A71-8F1A-33ADE4D63ABB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829</v>
      </c>
    </row>
    <row r="2" spans="1:7" ht="20.149999999999999" customHeight="1" x14ac:dyDescent="0.35">
      <c r="A2" s="71" t="s">
        <v>830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H-54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Forks Community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98331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831</v>
      </c>
      <c r="C7" s="76"/>
      <c r="D7" s="73" t="e">
        <f>"  "&amp;data!#REF!</f>
        <v>#REF!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832</v>
      </c>
      <c r="C8" s="76"/>
      <c r="D8" s="73" t="str">
        <f>"  "&amp;data!C104</f>
        <v xml:space="preserve">  Heidi Anderson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833</v>
      </c>
      <c r="C9" s="76"/>
      <c r="D9" s="73" t="str">
        <f>"  "&amp;data!C105</f>
        <v xml:space="preserve">  Paul Babcock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834</v>
      </c>
      <c r="C10" s="76"/>
      <c r="D10" s="73" t="str">
        <f>"  "&amp;data!C107</f>
        <v xml:space="preserve">  (360)374-6271 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835</v>
      </c>
      <c r="C11" s="76"/>
      <c r="D11" s="73" t="str">
        <f>"  "&amp;data!C108</f>
        <v xml:space="preserve">  (360)374-5220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837</v>
      </c>
      <c r="E16" s="241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1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72"/>
      <c r="B18" s="76" t="s">
        <v>838</v>
      </c>
      <c r="C18" s="76"/>
      <c r="D18" s="76"/>
      <c r="E18" s="241" t="str">
        <f>IF(data!C122&gt;0," X","")</f>
        <v/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839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840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841</v>
      </c>
      <c r="C23" s="73"/>
      <c r="D23" s="73"/>
      <c r="E23" s="73"/>
      <c r="F23" s="72">
        <f>data!C127</f>
        <v>257</v>
      </c>
      <c r="G23" s="76">
        <f>data!D127</f>
        <v>484</v>
      </c>
    </row>
    <row r="24" spans="1:7" ht="20.149999999999999" customHeight="1" x14ac:dyDescent="0.35">
      <c r="A24" s="72"/>
      <c r="B24" s="73" t="s">
        <v>842</v>
      </c>
      <c r="C24" s="73"/>
      <c r="D24" s="73"/>
      <c r="E24" s="73"/>
      <c r="F24" s="72">
        <f>data!C128</f>
        <v>41</v>
      </c>
      <c r="G24" s="76">
        <f>data!D128</f>
        <v>7097</v>
      </c>
    </row>
    <row r="25" spans="1:7" ht="20.149999999999999" customHeight="1" x14ac:dyDescent="0.3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340</v>
      </c>
      <c r="C26" s="73"/>
      <c r="D26" s="73"/>
      <c r="E26" s="73"/>
      <c r="F26" s="72">
        <f>data!C130</f>
        <v>5</v>
      </c>
      <c r="G26" s="76">
        <f>data!D130</f>
        <v>7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49999999999999" customHeight="1" x14ac:dyDescent="0.35">
      <c r="A30" s="72"/>
      <c r="B30" s="73" t="s">
        <v>342</v>
      </c>
      <c r="C30" s="76"/>
      <c r="D30" s="76">
        <f>data!C132</f>
        <v>0</v>
      </c>
      <c r="E30" s="73" t="s">
        <v>348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845</v>
      </c>
      <c r="C31" s="76"/>
      <c r="D31" s="76">
        <f>data!C133</f>
        <v>17</v>
      </c>
      <c r="E31" s="73" t="s">
        <v>349</v>
      </c>
      <c r="F31" s="76"/>
      <c r="G31" s="76">
        <f>data!C140</f>
        <v>20</v>
      </c>
    </row>
    <row r="32" spans="1:7" ht="20.149999999999999" customHeight="1" x14ac:dyDescent="0.35">
      <c r="A32" s="72"/>
      <c r="B32" s="92" t="s">
        <v>846</v>
      </c>
      <c r="C32" s="76"/>
      <c r="D32" s="76">
        <f>data!C134</f>
        <v>0</v>
      </c>
      <c r="E32" s="73" t="s">
        <v>847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848</v>
      </c>
      <c r="C33" s="76"/>
      <c r="D33" s="76">
        <f>data!C135</f>
        <v>0</v>
      </c>
      <c r="E33" s="73" t="s">
        <v>849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850</v>
      </c>
      <c r="C34" s="76"/>
      <c r="D34" s="76">
        <f>data!C136</f>
        <v>0</v>
      </c>
      <c r="E34" s="73" t="s">
        <v>351</v>
      </c>
      <c r="F34" s="76"/>
      <c r="G34" s="76">
        <f>data!E143</f>
        <v>37</v>
      </c>
    </row>
    <row r="35" spans="1:7" ht="20.149999999999999" customHeight="1" x14ac:dyDescent="0.35">
      <c r="A35" s="72"/>
      <c r="B35" s="92" t="s">
        <v>851</v>
      </c>
      <c r="C35" s="76"/>
      <c r="D35" s="76">
        <f>data!C137</f>
        <v>0</v>
      </c>
      <c r="E35" s="73" t="s">
        <v>852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0</v>
      </c>
    </row>
    <row r="37" spans="1:7" ht="20.149999999999999" customHeight="1" x14ac:dyDescent="0.35">
      <c r="A37" s="72"/>
      <c r="E37" s="73" t="s">
        <v>353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853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676C-A6E8-4D7C-98FB-9A62C4A18134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854</v>
      </c>
      <c r="G1" s="70" t="s">
        <v>855</v>
      </c>
    </row>
    <row r="2" spans="1:7" ht="20.149999999999999" customHeight="1" x14ac:dyDescent="0.35">
      <c r="A2" s="1" t="str">
        <f>"Hospital: "&amp;data!C98</f>
        <v>Hospital: Forks Community Hospital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857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858</v>
      </c>
      <c r="C5" s="83"/>
      <c r="D5" s="83"/>
      <c r="E5" s="134" t="s">
        <v>363</v>
      </c>
      <c r="F5" s="83"/>
      <c r="G5" s="83"/>
    </row>
    <row r="6" spans="1:7" ht="20.149999999999999" customHeight="1" x14ac:dyDescent="0.35">
      <c r="A6" s="135" t="s">
        <v>859</v>
      </c>
      <c r="B6" s="88" t="s">
        <v>336</v>
      </c>
      <c r="C6" s="88" t="s">
        <v>860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357</v>
      </c>
      <c r="B7" s="136">
        <f>data!B154</f>
        <v>175</v>
      </c>
      <c r="C7" s="136">
        <f>data!B155</f>
        <v>375</v>
      </c>
      <c r="D7" s="136">
        <f>data!B156</f>
        <v>13238</v>
      </c>
      <c r="E7" s="136">
        <f>data!B157</f>
        <v>2553005</v>
      </c>
      <c r="F7" s="136">
        <f>data!B158</f>
        <v>24675996</v>
      </c>
      <c r="G7" s="136">
        <f>data!B157+data!B158</f>
        <v>27229001</v>
      </c>
    </row>
    <row r="8" spans="1:7" ht="20.149999999999999" customHeight="1" x14ac:dyDescent="0.35">
      <c r="A8" s="72" t="s">
        <v>358</v>
      </c>
      <c r="B8" s="136">
        <f>data!C154</f>
        <v>23</v>
      </c>
      <c r="C8" s="136">
        <f>data!C155</f>
        <v>32</v>
      </c>
      <c r="D8" s="136">
        <f>data!C156</f>
        <v>16936</v>
      </c>
      <c r="E8" s="136">
        <f>data!C157</f>
        <v>515771</v>
      </c>
      <c r="F8" s="136">
        <f>data!C158</f>
        <v>14796765</v>
      </c>
      <c r="G8" s="136">
        <f>data!C157+data!C158</f>
        <v>15312536</v>
      </c>
    </row>
    <row r="9" spans="1:7" ht="20.149999999999999" customHeight="1" x14ac:dyDescent="0.35">
      <c r="A9" s="72" t="s">
        <v>861</v>
      </c>
      <c r="B9" s="136">
        <f>data!D154</f>
        <v>59</v>
      </c>
      <c r="C9" s="136">
        <f>data!D155</f>
        <v>77</v>
      </c>
      <c r="D9" s="136">
        <f>data!D156</f>
        <v>16656</v>
      </c>
      <c r="E9" s="136">
        <f>data!D157</f>
        <v>529377</v>
      </c>
      <c r="F9" s="136">
        <f>data!D158</f>
        <v>21197544</v>
      </c>
      <c r="G9" s="136">
        <f>data!D157+data!D158</f>
        <v>21726921</v>
      </c>
    </row>
    <row r="10" spans="1:7" ht="20.149999999999999" customHeight="1" x14ac:dyDescent="0.35">
      <c r="A10" s="87" t="s">
        <v>230</v>
      </c>
      <c r="B10" s="136">
        <f>data!E154</f>
        <v>257</v>
      </c>
      <c r="C10" s="136">
        <f>data!E155</f>
        <v>484</v>
      </c>
      <c r="D10" s="136">
        <f>data!E156</f>
        <v>46830</v>
      </c>
      <c r="E10" s="136">
        <f>data!E157</f>
        <v>3598153</v>
      </c>
      <c r="F10" s="136">
        <f>data!E158</f>
        <v>60670305</v>
      </c>
      <c r="G10" s="136">
        <f>E10+F10</f>
        <v>64268458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862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858</v>
      </c>
      <c r="C14" s="142"/>
      <c r="D14" s="142"/>
      <c r="E14" s="142" t="s">
        <v>363</v>
      </c>
      <c r="F14" s="142"/>
      <c r="G14" s="142"/>
    </row>
    <row r="15" spans="1:7" ht="20.149999999999999" customHeight="1" x14ac:dyDescent="0.35">
      <c r="A15" s="135" t="s">
        <v>859</v>
      </c>
      <c r="B15" s="88" t="s">
        <v>336</v>
      </c>
      <c r="C15" s="88" t="s">
        <v>860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357</v>
      </c>
      <c r="B16" s="136">
        <f>data!B160</f>
        <v>35</v>
      </c>
      <c r="C16" s="136">
        <f>data!B161</f>
        <v>465</v>
      </c>
      <c r="D16" s="136">
        <f>data!B162</f>
        <v>0</v>
      </c>
      <c r="E16" s="136">
        <f>data!B163</f>
        <v>1814132</v>
      </c>
      <c r="F16" s="136">
        <f>data!B164</f>
        <v>0</v>
      </c>
      <c r="G16" s="136">
        <f>data!C163+data!C164</f>
        <v>1747714</v>
      </c>
    </row>
    <row r="17" spans="1:7" ht="20.149999999999999" customHeight="1" x14ac:dyDescent="0.35">
      <c r="A17" s="72" t="s">
        <v>358</v>
      </c>
      <c r="B17" s="136">
        <f>data!C160</f>
        <v>1</v>
      </c>
      <c r="C17" s="136">
        <f>data!C161</f>
        <v>4773</v>
      </c>
      <c r="D17" s="136">
        <f>data!C162</f>
        <v>0</v>
      </c>
      <c r="E17" s="136">
        <f>data!C163</f>
        <v>1747714</v>
      </c>
      <c r="F17" s="136">
        <f>data!C164</f>
        <v>0</v>
      </c>
      <c r="G17" s="136">
        <f>data!C163+data!C164</f>
        <v>1747714</v>
      </c>
    </row>
    <row r="18" spans="1:7" ht="20.149999999999999" customHeight="1" x14ac:dyDescent="0.35">
      <c r="A18" s="72" t="s">
        <v>861</v>
      </c>
      <c r="B18" s="136">
        <f>data!D160</f>
        <v>5</v>
      </c>
      <c r="C18" s="136">
        <f>data!D161</f>
        <v>1859</v>
      </c>
      <c r="D18" s="136">
        <f>data!D162</f>
        <v>0</v>
      </c>
      <c r="E18" s="136">
        <f>data!D163</f>
        <v>701783</v>
      </c>
      <c r="F18" s="136">
        <f>data!D164</f>
        <v>0</v>
      </c>
      <c r="G18" s="136">
        <f>data!D163+data!D164</f>
        <v>701783</v>
      </c>
    </row>
    <row r="19" spans="1:7" ht="20.149999999999999" customHeight="1" x14ac:dyDescent="0.35">
      <c r="A19" s="87" t="s">
        <v>230</v>
      </c>
      <c r="B19" s="136">
        <f>data!E160</f>
        <v>41</v>
      </c>
      <c r="C19" s="136">
        <f>data!E161</f>
        <v>7097</v>
      </c>
      <c r="D19" s="136">
        <f>data!E162</f>
        <v>0</v>
      </c>
      <c r="E19" s="136">
        <f>data!E163</f>
        <v>4263629</v>
      </c>
      <c r="F19" s="136">
        <f>data!E164</f>
        <v>0</v>
      </c>
      <c r="G19" s="136">
        <f>data!E163+data!E164</f>
        <v>4263629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863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858</v>
      </c>
      <c r="C23" s="83"/>
      <c r="D23" s="83"/>
      <c r="E23" s="83" t="s">
        <v>363</v>
      </c>
      <c r="F23" s="83"/>
      <c r="G23" s="83"/>
    </row>
    <row r="24" spans="1:7" ht="20.149999999999999" customHeight="1" x14ac:dyDescent="0.35">
      <c r="A24" s="135" t="s">
        <v>859</v>
      </c>
      <c r="B24" s="88" t="s">
        <v>336</v>
      </c>
      <c r="C24" s="88" t="s">
        <v>860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864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865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866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02F96-FEFF-4874-A5E1-24D547F13543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366</v>
      </c>
      <c r="B1" s="71"/>
      <c r="C1" s="70" t="s">
        <v>867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Forks Community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367</v>
      </c>
      <c r="C5" s="132"/>
    </row>
    <row r="6" spans="1:3" ht="20.149999999999999" customHeight="1" x14ac:dyDescent="0.35">
      <c r="A6" s="152">
        <v>2</v>
      </c>
      <c r="B6" s="73" t="s">
        <v>868</v>
      </c>
      <c r="C6" s="72">
        <f>data!C181</f>
        <v>296533</v>
      </c>
    </row>
    <row r="7" spans="1:3" ht="20.149999999999999" customHeight="1" x14ac:dyDescent="0.35">
      <c r="A7" s="153">
        <v>3</v>
      </c>
      <c r="B7" s="92" t="s">
        <v>369</v>
      </c>
      <c r="C7" s="72">
        <f>data!C182</f>
        <v>47414</v>
      </c>
    </row>
    <row r="8" spans="1:3" ht="20.149999999999999" customHeight="1" x14ac:dyDescent="0.35">
      <c r="A8" s="153">
        <v>4</v>
      </c>
      <c r="B8" s="73" t="s">
        <v>370</v>
      </c>
      <c r="C8" s="72">
        <f>data!C183</f>
        <v>195901</v>
      </c>
    </row>
    <row r="9" spans="1:3" ht="20.149999999999999" customHeight="1" x14ac:dyDescent="0.35">
      <c r="A9" s="153">
        <v>5</v>
      </c>
      <c r="B9" s="73" t="s">
        <v>371</v>
      </c>
      <c r="C9" s="72">
        <f>data!C184</f>
        <v>3612760</v>
      </c>
    </row>
    <row r="10" spans="1:3" ht="20.149999999999999" customHeight="1" x14ac:dyDescent="0.35">
      <c r="A10" s="153">
        <v>6</v>
      </c>
      <c r="B10" s="73" t="s">
        <v>372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373</v>
      </c>
      <c r="C11" s="72">
        <f>data!C186</f>
        <v>1758193</v>
      </c>
    </row>
    <row r="12" spans="1:3" ht="20.149999999999999" customHeight="1" x14ac:dyDescent="0.35">
      <c r="A12" s="153">
        <v>8</v>
      </c>
      <c r="B12" s="73" t="s">
        <v>374</v>
      </c>
      <c r="C12" s="72">
        <f>data!C187</f>
        <v>102850</v>
      </c>
    </row>
    <row r="13" spans="1:3" ht="20.149999999999999" customHeight="1" x14ac:dyDescent="0.35">
      <c r="A13" s="153">
        <v>9</v>
      </c>
      <c r="B13" s="73" t="s">
        <v>374</v>
      </c>
      <c r="C13" s="72">
        <f>data!C188</f>
        <v>100468</v>
      </c>
    </row>
    <row r="14" spans="1:3" ht="20.149999999999999" customHeight="1" x14ac:dyDescent="0.35">
      <c r="A14" s="153">
        <v>10</v>
      </c>
      <c r="B14" s="73" t="s">
        <v>869</v>
      </c>
      <c r="C14" s="72">
        <f>data!D189</f>
        <v>6114119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375</v>
      </c>
      <c r="C17" s="86"/>
    </row>
    <row r="18" spans="1:3" ht="20.149999999999999" customHeight="1" x14ac:dyDescent="0.35">
      <c r="A18" s="72">
        <v>12</v>
      </c>
      <c r="B18" s="73" t="s">
        <v>870</v>
      </c>
      <c r="C18" s="72">
        <f>data!C191</f>
        <v>37590</v>
      </c>
    </row>
    <row r="19" spans="1:3" ht="20.149999999999999" customHeight="1" x14ac:dyDescent="0.35">
      <c r="A19" s="72">
        <v>13</v>
      </c>
      <c r="B19" s="73" t="s">
        <v>871</v>
      </c>
      <c r="C19" s="72">
        <f>data!C192</f>
        <v>50534</v>
      </c>
    </row>
    <row r="20" spans="1:3" ht="20.149999999999999" customHeight="1" x14ac:dyDescent="0.35">
      <c r="A20" s="72">
        <v>14</v>
      </c>
      <c r="B20" s="73" t="s">
        <v>872</v>
      </c>
      <c r="C20" s="72">
        <f>data!D193</f>
        <v>88124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378</v>
      </c>
      <c r="C23" s="132"/>
    </row>
    <row r="24" spans="1:3" ht="20.149999999999999" customHeight="1" x14ac:dyDescent="0.35">
      <c r="A24" s="72">
        <v>16</v>
      </c>
      <c r="B24" s="84" t="s">
        <v>873</v>
      </c>
      <c r="C24" s="157"/>
    </row>
    <row r="25" spans="1:3" ht="20.149999999999999" customHeight="1" x14ac:dyDescent="0.35">
      <c r="A25" s="72">
        <v>17</v>
      </c>
      <c r="B25" s="73" t="s">
        <v>874</v>
      </c>
      <c r="C25" s="72">
        <f>data!C195</f>
        <v>221932</v>
      </c>
    </row>
    <row r="26" spans="1:3" ht="20.149999999999999" customHeight="1" x14ac:dyDescent="0.35">
      <c r="A26" s="72">
        <v>18</v>
      </c>
      <c r="B26" s="73" t="s">
        <v>380</v>
      </c>
      <c r="C26" s="72">
        <f>data!C196</f>
        <v>321997</v>
      </c>
    </row>
    <row r="27" spans="1:3" ht="20.149999999999999" customHeight="1" x14ac:dyDescent="0.35">
      <c r="A27" s="72">
        <v>19</v>
      </c>
      <c r="B27" s="73" t="s">
        <v>875</v>
      </c>
      <c r="C27" s="72">
        <f>data!D197</f>
        <v>543929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876</v>
      </c>
      <c r="C30" s="142"/>
    </row>
    <row r="31" spans="1:3" ht="20.149999999999999" customHeight="1" x14ac:dyDescent="0.35">
      <c r="A31" s="72">
        <v>21</v>
      </c>
      <c r="B31" s="73" t="s">
        <v>382</v>
      </c>
      <c r="C31" s="72">
        <f>data!C199</f>
        <v>98355</v>
      </c>
    </row>
    <row r="32" spans="1:3" ht="20.149999999999999" customHeight="1" x14ac:dyDescent="0.35">
      <c r="A32" s="72">
        <v>22</v>
      </c>
      <c r="B32" s="73" t="s">
        <v>877</v>
      </c>
      <c r="C32" s="72">
        <f>data!C200</f>
        <v>403525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878</v>
      </c>
      <c r="C34" s="72">
        <f>data!D202</f>
        <v>501880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384</v>
      </c>
      <c r="C37" s="132"/>
    </row>
    <row r="38" spans="1:3" ht="20.149999999999999" customHeight="1" x14ac:dyDescent="0.35">
      <c r="A38" s="72">
        <v>26</v>
      </c>
      <c r="B38" s="73" t="s">
        <v>879</v>
      </c>
      <c r="C38" s="72">
        <f>data!C204</f>
        <v>38008</v>
      </c>
    </row>
    <row r="39" spans="1:3" ht="20.149999999999999" customHeight="1" x14ac:dyDescent="0.35">
      <c r="A39" s="72">
        <v>27</v>
      </c>
      <c r="B39" s="73" t="s">
        <v>386</v>
      </c>
      <c r="C39" s="72">
        <f>data!C205</f>
        <v>476650</v>
      </c>
    </row>
    <row r="40" spans="1:3" ht="20.149999999999999" customHeight="1" x14ac:dyDescent="0.35">
      <c r="A40" s="72">
        <v>28</v>
      </c>
      <c r="B40" s="73" t="s">
        <v>880</v>
      </c>
      <c r="C40" s="72">
        <f>data!D206</f>
        <v>514658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3A7F-2316-4EEC-A1C3-D0A582A2464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387</v>
      </c>
      <c r="B1" s="71"/>
      <c r="C1" s="71"/>
      <c r="D1" s="71"/>
      <c r="E1" s="71"/>
      <c r="F1" s="70" t="s">
        <v>881</v>
      </c>
    </row>
    <row r="3" spans="1:6" ht="20.149999999999999" customHeight="1" x14ac:dyDescent="0.35">
      <c r="A3" s="129" t="str">
        <f>"Hospital: "&amp;data!C98</f>
        <v>Hospital: Forks Community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388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882</v>
      </c>
      <c r="D5" s="160"/>
      <c r="E5" s="160"/>
      <c r="F5" s="160" t="s">
        <v>883</v>
      </c>
    </row>
    <row r="6" spans="1:6" ht="20.149999999999999" customHeight="1" x14ac:dyDescent="0.35">
      <c r="A6" s="161"/>
      <c r="B6" s="79"/>
      <c r="C6" s="162" t="s">
        <v>884</v>
      </c>
      <c r="D6" s="162" t="s">
        <v>390</v>
      </c>
      <c r="E6" s="162" t="s">
        <v>885</v>
      </c>
      <c r="F6" s="162" t="s">
        <v>884</v>
      </c>
    </row>
    <row r="7" spans="1:6" ht="20.149999999999999" customHeight="1" x14ac:dyDescent="0.35">
      <c r="A7" s="72">
        <v>1</v>
      </c>
      <c r="B7" s="76" t="s">
        <v>393</v>
      </c>
      <c r="C7" s="76">
        <f>data!B211</f>
        <v>510757.18</v>
      </c>
      <c r="D7" s="76">
        <f>data!C211</f>
        <v>0</v>
      </c>
      <c r="E7" s="76">
        <f>data!D211</f>
        <v>0</v>
      </c>
      <c r="F7" s="76">
        <f>data!E211</f>
        <v>510757.18</v>
      </c>
    </row>
    <row r="8" spans="1:6" ht="20.149999999999999" customHeight="1" x14ac:dyDescent="0.35">
      <c r="A8" s="72">
        <v>2</v>
      </c>
      <c r="B8" s="76" t="s">
        <v>394</v>
      </c>
      <c r="C8" s="76">
        <f>data!B212</f>
        <v>951772.97</v>
      </c>
      <c r="D8" s="76">
        <f>data!C212</f>
        <v>74946</v>
      </c>
      <c r="E8" s="76">
        <f>data!D212</f>
        <v>0</v>
      </c>
      <c r="F8" s="76">
        <f>data!E212</f>
        <v>1026718.97</v>
      </c>
    </row>
    <row r="9" spans="1:6" ht="20.149999999999999" customHeight="1" x14ac:dyDescent="0.35">
      <c r="A9" s="72">
        <v>3</v>
      </c>
      <c r="B9" s="76" t="s">
        <v>395</v>
      </c>
      <c r="C9" s="76">
        <f>data!B213</f>
        <v>24966812</v>
      </c>
      <c r="D9" s="76">
        <f>data!C213</f>
        <v>2773754.7</v>
      </c>
      <c r="E9" s="76">
        <f>data!D213</f>
        <v>0</v>
      </c>
      <c r="F9" s="76">
        <f>data!E213</f>
        <v>27740566.699999999</v>
      </c>
    </row>
    <row r="10" spans="1:6" ht="20.149999999999999" customHeight="1" x14ac:dyDescent="0.35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887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888</v>
      </c>
      <c r="C12" s="76">
        <f>data!B216</f>
        <v>18121949.260000002</v>
      </c>
      <c r="D12" s="76">
        <f>data!C216</f>
        <v>960315.02</v>
      </c>
      <c r="E12" s="76">
        <f>data!D216</f>
        <v>29186</v>
      </c>
      <c r="F12" s="76">
        <f>data!E216</f>
        <v>19053078.280000001</v>
      </c>
    </row>
    <row r="13" spans="1:6" ht="20.149999999999999" customHeight="1" x14ac:dyDescent="0.35">
      <c r="A13" s="72">
        <v>7</v>
      </c>
      <c r="B13" s="76" t="s">
        <v>889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400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890</v>
      </c>
      <c r="C15" s="76">
        <f>data!B219</f>
        <v>1390057</v>
      </c>
      <c r="D15" s="76">
        <f>data!C219</f>
        <v>-1101795</v>
      </c>
      <c r="E15" s="76">
        <f>data!D219</f>
        <v>0</v>
      </c>
      <c r="F15" s="76">
        <f>data!E219</f>
        <v>288262</v>
      </c>
    </row>
    <row r="16" spans="1:6" ht="20.149999999999999" customHeight="1" x14ac:dyDescent="0.35">
      <c r="A16" s="72">
        <v>10</v>
      </c>
      <c r="B16" s="76" t="s">
        <v>614</v>
      </c>
      <c r="C16" s="76">
        <f>data!B220</f>
        <v>45941348.409999996</v>
      </c>
      <c r="D16" s="76">
        <f>data!C220</f>
        <v>2707220.72</v>
      </c>
      <c r="E16" s="76">
        <f>data!D220</f>
        <v>29186</v>
      </c>
      <c r="F16" s="76">
        <f>data!E220</f>
        <v>48619383.129999995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402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49999999999999" customHeight="1" x14ac:dyDescent="0.3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49999999999999" customHeight="1" x14ac:dyDescent="0.35">
      <c r="A23" s="72">
        <v>11</v>
      </c>
      <c r="B23" s="164" t="s">
        <v>393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394</v>
      </c>
      <c r="C24" s="76">
        <f>data!B225</f>
        <v>895176.85</v>
      </c>
      <c r="D24" s="76">
        <f>data!C225</f>
        <v>71542.95</v>
      </c>
      <c r="E24" s="76">
        <f>data!D225</f>
        <v>0</v>
      </c>
      <c r="F24" s="76">
        <f>data!E225</f>
        <v>966719.79999999993</v>
      </c>
    </row>
    <row r="25" spans="1:6" ht="20.149999999999999" customHeight="1" x14ac:dyDescent="0.35">
      <c r="A25" s="72">
        <v>13</v>
      </c>
      <c r="B25" s="76" t="s">
        <v>395</v>
      </c>
      <c r="C25" s="76">
        <f>data!B226</f>
        <v>13097679.23</v>
      </c>
      <c r="D25" s="76">
        <f>data!C226</f>
        <v>435852.27</v>
      </c>
      <c r="E25" s="76">
        <f>data!D226</f>
        <v>0</v>
      </c>
      <c r="F25" s="76">
        <f>data!E226</f>
        <v>13533531.5</v>
      </c>
    </row>
    <row r="26" spans="1:6" ht="20.149999999999999" customHeight="1" x14ac:dyDescent="0.35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887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888</v>
      </c>
      <c r="C28" s="76">
        <f>data!B229</f>
        <v>15845687.199999999</v>
      </c>
      <c r="D28" s="76">
        <f>data!C229</f>
        <v>1458297</v>
      </c>
      <c r="E28" s="76">
        <f>data!D229</f>
        <v>29186</v>
      </c>
      <c r="F28" s="76">
        <f>data!E229</f>
        <v>17274798.199999999</v>
      </c>
    </row>
    <row r="29" spans="1:6" ht="20.149999999999999" customHeight="1" x14ac:dyDescent="0.35">
      <c r="A29" s="72">
        <v>17</v>
      </c>
      <c r="B29" s="76" t="s">
        <v>889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400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614</v>
      </c>
      <c r="C32" s="76">
        <f>data!B233</f>
        <v>29838543.280000001</v>
      </c>
      <c r="D32" s="76">
        <f>data!C233</f>
        <v>1965692.22</v>
      </c>
      <c r="E32" s="76">
        <f>data!D233</f>
        <v>29186</v>
      </c>
      <c r="F32" s="76">
        <f>data!E233</f>
        <v>31775049.5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B791-3674-4C37-939E-7D6693C1340D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892</v>
      </c>
      <c r="B1" s="71"/>
      <c r="C1" s="71"/>
      <c r="D1" s="70" t="s">
        <v>893</v>
      </c>
    </row>
    <row r="2" spans="1:4" ht="20.149999999999999" customHeight="1" x14ac:dyDescent="0.35">
      <c r="A2" s="129" t="str">
        <f>"Hospital: "&amp;data!C98</f>
        <v>Hospital: Forks Community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894</v>
      </c>
      <c r="C4" s="165" t="s">
        <v>895</v>
      </c>
      <c r="D4" s="166"/>
    </row>
    <row r="5" spans="1:4" ht="20.149999999999999" customHeight="1" x14ac:dyDescent="0.35">
      <c r="A5" s="133">
        <v>1</v>
      </c>
      <c r="B5" s="167"/>
      <c r="C5" s="89" t="s">
        <v>404</v>
      </c>
      <c r="D5" s="76">
        <f>data!D237</f>
        <v>961744</v>
      </c>
    </row>
    <row r="6" spans="1:4" ht="20.149999999999999" customHeight="1" x14ac:dyDescent="0.35">
      <c r="A6" s="72">
        <v>2</v>
      </c>
      <c r="B6" s="78"/>
      <c r="C6" s="151" t="s">
        <v>500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357</v>
      </c>
      <c r="D7" s="76">
        <f>data!C239</f>
        <v>12047423</v>
      </c>
    </row>
    <row r="8" spans="1:4" ht="20.149999999999999" customHeight="1" x14ac:dyDescent="0.35">
      <c r="A8" s="72">
        <v>4</v>
      </c>
      <c r="B8" s="167">
        <v>5820</v>
      </c>
      <c r="C8" s="76" t="s">
        <v>358</v>
      </c>
      <c r="D8" s="76">
        <f>data!C240</f>
        <v>9264926</v>
      </c>
    </row>
    <row r="9" spans="1:4" ht="20.149999999999999" customHeight="1" x14ac:dyDescent="0.35">
      <c r="A9" s="72">
        <v>5</v>
      </c>
      <c r="B9" s="167">
        <v>5830</v>
      </c>
      <c r="C9" s="76" t="s">
        <v>370</v>
      </c>
      <c r="D9" s="76">
        <f>data!C241</f>
        <v>339044</v>
      </c>
    </row>
    <row r="10" spans="1:4" ht="20.149999999999999" customHeight="1" x14ac:dyDescent="0.35">
      <c r="A10" s="72">
        <v>6</v>
      </c>
      <c r="B10" s="167">
        <v>5840</v>
      </c>
      <c r="C10" s="76" t="s">
        <v>409</v>
      </c>
      <c r="D10" s="76">
        <f>data!C242</f>
        <v>13123</v>
      </c>
    </row>
    <row r="11" spans="1:4" ht="20.149999999999999" customHeight="1" x14ac:dyDescent="0.35">
      <c r="A11" s="72">
        <v>7</v>
      </c>
      <c r="B11" s="167">
        <v>5850</v>
      </c>
      <c r="C11" s="76" t="s">
        <v>896</v>
      </c>
      <c r="D11" s="76">
        <f>data!C243</f>
        <v>6734446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-41779</v>
      </c>
    </row>
    <row r="13" spans="1:4" ht="20.149999999999999" customHeight="1" x14ac:dyDescent="0.35">
      <c r="A13" s="72">
        <v>9</v>
      </c>
      <c r="B13" s="76"/>
      <c r="C13" s="76" t="s">
        <v>897</v>
      </c>
      <c r="D13" s="76">
        <f>data!D245</f>
        <v>28357183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413</v>
      </c>
      <c r="D15" s="162"/>
    </row>
    <row r="16" spans="1:4" ht="20.149999999999999" customHeight="1" x14ac:dyDescent="0.35">
      <c r="A16" s="161">
        <v>12</v>
      </c>
      <c r="B16" s="88"/>
      <c r="C16" s="73" t="s">
        <v>898</v>
      </c>
      <c r="D16" s="72">
        <f>data!C247</f>
        <v>353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415</v>
      </c>
      <c r="D18" s="76">
        <f>data!C249</f>
        <v>7042.9</v>
      </c>
    </row>
    <row r="19" spans="1:4" ht="20.149999999999999" customHeight="1" x14ac:dyDescent="0.35">
      <c r="A19" s="170">
        <v>15</v>
      </c>
      <c r="B19" s="167">
        <v>5910</v>
      </c>
      <c r="C19" s="89" t="s">
        <v>899</v>
      </c>
      <c r="D19" s="76">
        <f>data!C250</f>
        <v>895704.1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900</v>
      </c>
      <c r="D22" s="76">
        <f>data!D252</f>
        <v>902747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419</v>
      </c>
      <c r="D24" s="76">
        <f>data!C254</f>
        <v>945800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901</v>
      </c>
      <c r="D26" s="76">
        <f>data!C255</f>
        <v>575530</v>
      </c>
    </row>
    <row r="27" spans="1:4" ht="20.149999999999999" customHeight="1" x14ac:dyDescent="0.35">
      <c r="A27" s="153">
        <v>23</v>
      </c>
      <c r="B27" s="172" t="s">
        <v>902</v>
      </c>
      <c r="C27" s="88"/>
      <c r="D27" s="76">
        <f>data!D256</f>
        <v>1521330</v>
      </c>
    </row>
    <row r="28" spans="1:4" ht="20.149999999999999" customHeight="1" x14ac:dyDescent="0.35">
      <c r="A28" s="81">
        <v>24</v>
      </c>
      <c r="B28" s="147" t="s">
        <v>903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2024-07-31T17:16:12Z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