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2ADDA107-38BD-402C-B1DC-ED348970ABDB}" xr6:coauthVersionLast="47" xr6:coauthVersionMax="47" xr10:uidLastSave="{00000000-0000-0000-0000-000000000000}"/>
  <bookViews>
    <workbookView xWindow="28680" yWindow="-120" windowWidth="29040" windowHeight="15840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4" i="24" l="1"/>
  <c r="AP94" i="24"/>
  <c r="AI94" i="24"/>
  <c r="Y94" i="24"/>
  <c r="F94" i="24"/>
  <c r="C94" i="24"/>
  <c r="W84" i="34" l="1"/>
  <c r="AB84" i="34"/>
  <c r="D24" i="33"/>
  <c r="AJ60" i="24" l="1"/>
  <c r="O88" i="24" l="1"/>
  <c r="F88" i="24"/>
  <c r="C414" i="24"/>
  <c r="BH83" i="24" l="1"/>
  <c r="AP83" i="24"/>
  <c r="BD83" i="24"/>
  <c r="AP88" i="24"/>
  <c r="AI88" i="24"/>
  <c r="AG87" i="24"/>
  <c r="CC66" i="24" l="1"/>
  <c r="AP66" i="24"/>
  <c r="BN66" i="24"/>
  <c r="C380" i="24"/>
  <c r="C418" i="24"/>
  <c r="CD84" i="24"/>
  <c r="BD64" i="24"/>
  <c r="Z64" i="24"/>
  <c r="S64" i="24"/>
  <c r="AB64" i="24"/>
  <c r="CB92" i="24"/>
  <c r="CA92" i="24"/>
  <c r="BZ92" i="24"/>
  <c r="BY92" i="24"/>
  <c r="BX92" i="24"/>
  <c r="BW92" i="24"/>
  <c r="BV92" i="24"/>
  <c r="BU92" i="24"/>
  <c r="BT92" i="24"/>
  <c r="BS92" i="24"/>
  <c r="BM92" i="24"/>
  <c r="BL92" i="24"/>
  <c r="BK92" i="24"/>
  <c r="BI92" i="24"/>
  <c r="BH92" i="24"/>
  <c r="BC92" i="24"/>
  <c r="BB92" i="24"/>
  <c r="BA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W92" i="24"/>
  <c r="X92" i="24"/>
  <c r="Y92" i="24"/>
  <c r="Z92" i="24"/>
  <c r="AA92" i="24"/>
  <c r="AB92" i="24"/>
  <c r="AC92" i="24"/>
  <c r="AD92" i="24"/>
  <c r="AE92" i="24"/>
  <c r="AF92" i="24"/>
  <c r="AG92" i="24"/>
  <c r="AH92" i="24"/>
  <c r="AI92" i="24"/>
  <c r="AJ92" i="24"/>
  <c r="AK92" i="24"/>
  <c r="AL92" i="24"/>
  <c r="AM92" i="24"/>
  <c r="AN92" i="24"/>
  <c r="AO92" i="24"/>
  <c r="AP92" i="24"/>
  <c r="AQ92" i="24"/>
  <c r="AR92" i="24"/>
  <c r="AS92" i="24"/>
  <c r="AT92" i="24"/>
  <c r="AU92" i="24"/>
  <c r="AV92" i="24"/>
  <c r="AW92" i="24"/>
  <c r="C92" i="24"/>
  <c r="S84" i="24"/>
  <c r="CC80" i="24" l="1"/>
  <c r="AP80" i="24"/>
  <c r="CC79" i="24"/>
  <c r="BN79" i="24"/>
  <c r="AP73" i="24"/>
  <c r="O71" i="24" l="1"/>
  <c r="J71" i="24"/>
  <c r="E71" i="24"/>
  <c r="P68" i="24" l="1"/>
  <c r="AP65" i="24"/>
  <c r="BD65" i="24"/>
  <c r="AG65" i="24"/>
  <c r="AI59" i="24" l="1"/>
  <c r="AI64" i="24"/>
  <c r="AJ64" i="24"/>
  <c r="AG64" i="24"/>
  <c r="CC64" i="24"/>
  <c r="BX64" i="24"/>
  <c r="BE64" i="24"/>
  <c r="AP64" i="24"/>
  <c r="AW64" i="24"/>
  <c r="AE64" i="24"/>
  <c r="Y64" i="24"/>
  <c r="X64" i="24"/>
  <c r="W64" i="24"/>
  <c r="U64" i="24"/>
  <c r="P64" i="24"/>
  <c r="C64" i="24"/>
  <c r="AW63" i="24"/>
  <c r="BN63" i="24"/>
  <c r="BE90" i="24" l="1"/>
  <c r="E90" i="24"/>
  <c r="AP59" i="24" l="1"/>
  <c r="AJ59" i="24"/>
  <c r="AG59" i="24"/>
  <c r="AE59" i="24"/>
  <c r="Y59" i="24"/>
  <c r="X59" i="24"/>
  <c r="W59" i="24"/>
  <c r="U59" i="24"/>
  <c r="E59" i="24"/>
  <c r="C154" i="24" l="1"/>
  <c r="B154" i="24"/>
  <c r="C155" i="24"/>
  <c r="B155" i="24"/>
  <c r="AI91" i="24" l="1"/>
  <c r="C91" i="24"/>
  <c r="AI93" i="24"/>
  <c r="E93" i="24"/>
  <c r="C378" i="24" l="1"/>
  <c r="C370" i="24"/>
  <c r="C411" i="24" l="1"/>
  <c r="C410" i="24"/>
  <c r="C409" i="24"/>
  <c r="C161" i="8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69" i="34" s="1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C48" i="34" s="1"/>
  <c r="CC62" i="34" s="1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BQ48" i="34"/>
  <c r="BQ62" i="34" s="1"/>
  <c r="BP48" i="34"/>
  <c r="BP62" i="34" s="1"/>
  <c r="BK48" i="34"/>
  <c r="BK62" i="34" s="1"/>
  <c r="BJ48" i="34"/>
  <c r="BJ62" i="34" s="1"/>
  <c r="BJ85" i="34" s="1"/>
  <c r="C617" i="34" s="1"/>
  <c r="BE48" i="34"/>
  <c r="BE62" i="34" s="1"/>
  <c r="BD48" i="34"/>
  <c r="BD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Q85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K85" i="34" s="1"/>
  <c r="C70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S85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M85" i="34" s="1"/>
  <c r="C678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2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381" i="24"/>
  <c r="BQ2" i="30" s="1"/>
  <c r="D366" i="24"/>
  <c r="BN2" i="30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E47" i="24"/>
  <c r="D367" i="34" l="1"/>
  <c r="D384" i="34" s="1"/>
  <c r="D417" i="34" s="1"/>
  <c r="D421" i="34" s="1"/>
  <c r="D424" i="34" s="1"/>
  <c r="E380" i="34"/>
  <c r="D341" i="34"/>
  <c r="D350" i="34" s="1"/>
  <c r="D258" i="34"/>
  <c r="E220" i="34"/>
  <c r="D85" i="34"/>
  <c r="C669" i="34" s="1"/>
  <c r="P85" i="34"/>
  <c r="C681" i="34" s="1"/>
  <c r="V85" i="34"/>
  <c r="AB85" i="34"/>
  <c r="C693" i="34" s="1"/>
  <c r="AT85" i="34"/>
  <c r="B25" i="15"/>
  <c r="H25" i="15" s="1"/>
  <c r="I25" i="15" s="1"/>
  <c r="U85" i="34"/>
  <c r="C686" i="34" s="1"/>
  <c r="AA85" i="34"/>
  <c r="C692" i="34" s="1"/>
  <c r="AS85" i="34"/>
  <c r="C710" i="34" s="1"/>
  <c r="AY85" i="34"/>
  <c r="C625" i="34" s="1"/>
  <c r="BQ85" i="34"/>
  <c r="C623" i="34" s="1"/>
  <c r="B49" i="15"/>
  <c r="H49" i="15" s="1"/>
  <c r="I49" i="15" s="1"/>
  <c r="CF90" i="34"/>
  <c r="CE89" i="34"/>
  <c r="K612" i="34" s="1"/>
  <c r="B74" i="15"/>
  <c r="E85" i="34"/>
  <c r="K85" i="34"/>
  <c r="C676" i="34" s="1"/>
  <c r="AC85" i="34"/>
  <c r="AI85" i="34"/>
  <c r="C700" i="34" s="1"/>
  <c r="F85" i="34"/>
  <c r="C671" i="34" s="1"/>
  <c r="L85" i="34"/>
  <c r="AD85" i="34"/>
  <c r="AJ85" i="34"/>
  <c r="AV85" i="34"/>
  <c r="C713" i="34" s="1"/>
  <c r="B33" i="15"/>
  <c r="F33" i="15" s="1"/>
  <c r="H33" i="15" s="1"/>
  <c r="I33" i="15" s="1"/>
  <c r="B57" i="15"/>
  <c r="H57" i="15" s="1"/>
  <c r="I57" i="15" s="1"/>
  <c r="N85" i="34"/>
  <c r="T85" i="34"/>
  <c r="AL85" i="34"/>
  <c r="AR85" i="34"/>
  <c r="BP85" i="34"/>
  <c r="AZ48" i="34"/>
  <c r="AZ62" i="34" s="1"/>
  <c r="AZ85" i="34" s="1"/>
  <c r="C628" i="34" s="1"/>
  <c r="BF48" i="34"/>
  <c r="BF62" i="34" s="1"/>
  <c r="BL48" i="34"/>
  <c r="BL62" i="34" s="1"/>
  <c r="BR48" i="34"/>
  <c r="BR62" i="34" s="1"/>
  <c r="BR85" i="34" s="1"/>
  <c r="C626" i="34" s="1"/>
  <c r="BA48" i="34"/>
  <c r="BA62" i="34" s="1"/>
  <c r="BA85" i="34" s="1"/>
  <c r="BG48" i="34"/>
  <c r="BG62" i="34" s="1"/>
  <c r="BG85" i="34" s="1"/>
  <c r="C618" i="34" s="1"/>
  <c r="BM48" i="34"/>
  <c r="BM62" i="34" s="1"/>
  <c r="BS48" i="34"/>
  <c r="BS62" i="34" s="1"/>
  <c r="BB48" i="34"/>
  <c r="BB62" i="34" s="1"/>
  <c r="BB85" i="34" s="1"/>
  <c r="C632" i="34" s="1"/>
  <c r="BH48" i="34"/>
  <c r="BH62" i="34" s="1"/>
  <c r="BH85" i="34" s="1"/>
  <c r="BN48" i="34"/>
  <c r="BN62" i="34" s="1"/>
  <c r="BT48" i="34"/>
  <c r="BT62" i="34" s="1"/>
  <c r="BC48" i="34"/>
  <c r="BC62" i="34" s="1"/>
  <c r="BI48" i="34"/>
  <c r="BI62" i="34" s="1"/>
  <c r="BI85" i="34" s="1"/>
  <c r="BO48" i="34"/>
  <c r="BO62" i="34" s="1"/>
  <c r="BO85" i="34" s="1"/>
  <c r="C627" i="34" s="1"/>
  <c r="BU48" i="34"/>
  <c r="BU62" i="34" s="1"/>
  <c r="BV48" i="34"/>
  <c r="BV62" i="34" s="1"/>
  <c r="BW48" i="34"/>
  <c r="BW62" i="34" s="1"/>
  <c r="BW85" i="34" s="1"/>
  <c r="C643" i="34" s="1"/>
  <c r="BX48" i="34"/>
  <c r="BX62" i="34" s="1"/>
  <c r="BX85" i="34" s="1"/>
  <c r="C644" i="34" s="1"/>
  <c r="BY48" i="34"/>
  <c r="BY62" i="34" s="1"/>
  <c r="BY85" i="34" s="1"/>
  <c r="BZ48" i="34"/>
  <c r="BZ62" i="34" s="1"/>
  <c r="BZ85" i="34" s="1"/>
  <c r="C646" i="34" s="1"/>
  <c r="CA48" i="34"/>
  <c r="CA62" i="34" s="1"/>
  <c r="CB48" i="34"/>
  <c r="CB62" i="34" s="1"/>
  <c r="CB85" i="34" s="1"/>
  <c r="C622" i="34" s="1"/>
  <c r="B28" i="15"/>
  <c r="C684" i="34"/>
  <c r="B31" i="15"/>
  <c r="C708" i="34"/>
  <c r="B55" i="15"/>
  <c r="H55" i="15" s="1"/>
  <c r="I55" i="15" s="1"/>
  <c r="C679" i="34"/>
  <c r="B26" i="15"/>
  <c r="H26" i="15" s="1"/>
  <c r="I26" i="15" s="1"/>
  <c r="C687" i="34"/>
  <c r="B34" i="15"/>
  <c r="B39" i="15"/>
  <c r="C62" i="34"/>
  <c r="CE89" i="24"/>
  <c r="I378" i="32" s="1"/>
  <c r="CE69" i="24"/>
  <c r="I371" i="32" s="1"/>
  <c r="D48" i="24"/>
  <c r="D62" i="24" s="1"/>
  <c r="D85" i="24" s="1"/>
  <c r="C16" i="15" s="1"/>
  <c r="G16" i="15" s="1"/>
  <c r="P48" i="24"/>
  <c r="P62" i="24" s="1"/>
  <c r="V48" i="24"/>
  <c r="V62" i="24" s="1"/>
  <c r="H76" i="32" s="1"/>
  <c r="AH48" i="24"/>
  <c r="AH62" i="24" s="1"/>
  <c r="H33" i="31" s="1"/>
  <c r="AT48" i="24"/>
  <c r="AT62" i="24" s="1"/>
  <c r="AT85" i="24" s="1"/>
  <c r="BL48" i="24"/>
  <c r="BL62" i="24" s="1"/>
  <c r="H63" i="31" s="1"/>
  <c r="CD48" i="24"/>
  <c r="K48" i="24"/>
  <c r="K62" i="24" s="1"/>
  <c r="AC48" i="24"/>
  <c r="AC62" i="24" s="1"/>
  <c r="AC85" i="24" s="1"/>
  <c r="AO48" i="24"/>
  <c r="AO62" i="24" s="1"/>
  <c r="H40" i="31" s="1"/>
  <c r="BM48" i="24"/>
  <c r="BM62" i="24" s="1"/>
  <c r="I268" i="32" s="1"/>
  <c r="BT48" i="24"/>
  <c r="BT62" i="24" s="1"/>
  <c r="BT85" i="24" s="1"/>
  <c r="BF48" i="24"/>
  <c r="BF62" i="24" s="1"/>
  <c r="H57" i="31" s="1"/>
  <c r="BR48" i="24"/>
  <c r="BR62" i="24" s="1"/>
  <c r="Q48" i="24"/>
  <c r="Q62" i="24" s="1"/>
  <c r="C76" i="32" s="1"/>
  <c r="AI48" i="24"/>
  <c r="AI62" i="24" s="1"/>
  <c r="H34" i="31" s="1"/>
  <c r="BA48" i="24"/>
  <c r="BA62" i="24" s="1"/>
  <c r="H52" i="31" s="1"/>
  <c r="BS48" i="24"/>
  <c r="BS62" i="24" s="1"/>
  <c r="H300" i="32" s="1"/>
  <c r="F48" i="24"/>
  <c r="F62" i="24" s="1"/>
  <c r="F85" i="24" s="1"/>
  <c r="R48" i="24"/>
  <c r="R62" i="24" s="1"/>
  <c r="AV48" i="24"/>
  <c r="AV62" i="24" s="1"/>
  <c r="AV85" i="24" s="1"/>
  <c r="S48" i="24"/>
  <c r="S62" i="24" s="1"/>
  <c r="H18" i="31" s="1"/>
  <c r="AE48" i="24"/>
  <c r="AE62" i="24" s="1"/>
  <c r="H30" i="31" s="1"/>
  <c r="AW48" i="24"/>
  <c r="AW62" i="24" s="1"/>
  <c r="H48" i="31" s="1"/>
  <c r="CA48" i="24"/>
  <c r="CA62" i="24" s="1"/>
  <c r="I332" i="32" s="1"/>
  <c r="H48" i="24"/>
  <c r="H62" i="24" s="1"/>
  <c r="N48" i="24"/>
  <c r="N62" i="24" s="1"/>
  <c r="N85" i="24" s="1"/>
  <c r="T48" i="24"/>
  <c r="T62" i="24" s="1"/>
  <c r="T85" i="24" s="1"/>
  <c r="Z48" i="24"/>
  <c r="Z62" i="24" s="1"/>
  <c r="H25" i="31" s="1"/>
  <c r="AF48" i="24"/>
  <c r="AF62" i="24" s="1"/>
  <c r="H31" i="31" s="1"/>
  <c r="AL48" i="24"/>
  <c r="AL62" i="24" s="1"/>
  <c r="AL85" i="24" s="1"/>
  <c r="AR48" i="24"/>
  <c r="AR62" i="24" s="1"/>
  <c r="AX48" i="24"/>
  <c r="AX62" i="24" s="1"/>
  <c r="H49" i="31" s="1"/>
  <c r="BD48" i="24"/>
  <c r="BD62" i="24" s="1"/>
  <c r="G236" i="32" s="1"/>
  <c r="BJ48" i="24"/>
  <c r="BJ62" i="24" s="1"/>
  <c r="H61" i="31" s="1"/>
  <c r="BP48" i="24"/>
  <c r="BP62" i="24" s="1"/>
  <c r="H67" i="31" s="1"/>
  <c r="BV48" i="24"/>
  <c r="BV62" i="24" s="1"/>
  <c r="H73" i="31" s="1"/>
  <c r="CB48" i="24"/>
  <c r="CB62" i="24" s="1"/>
  <c r="J48" i="24"/>
  <c r="J62" i="24" s="1"/>
  <c r="J85" i="24" s="1"/>
  <c r="AB48" i="24"/>
  <c r="AB62" i="24" s="1"/>
  <c r="G108" i="32" s="1"/>
  <c r="AN48" i="24"/>
  <c r="AN62" i="24" s="1"/>
  <c r="AN85" i="24" s="1"/>
  <c r="AZ48" i="24"/>
  <c r="AZ62" i="24" s="1"/>
  <c r="H51" i="31" s="1"/>
  <c r="BX48" i="24"/>
  <c r="BX62" i="24" s="1"/>
  <c r="BX85" i="24" s="1"/>
  <c r="C644" i="24" s="1"/>
  <c r="E48" i="24"/>
  <c r="E62" i="24" s="1"/>
  <c r="W48" i="24"/>
  <c r="W62" i="24" s="1"/>
  <c r="W85" i="24" s="1"/>
  <c r="AU48" i="24"/>
  <c r="AU62" i="24" s="1"/>
  <c r="E204" i="32" s="1"/>
  <c r="BG48" i="24"/>
  <c r="BG62" i="24" s="1"/>
  <c r="H58" i="31" s="1"/>
  <c r="BY48" i="24"/>
  <c r="BY62" i="24" s="1"/>
  <c r="H76" i="31" s="1"/>
  <c r="L48" i="24"/>
  <c r="L62" i="24" s="1"/>
  <c r="L85" i="24" s="1"/>
  <c r="C677" i="24" s="1"/>
  <c r="X48" i="24"/>
  <c r="X62" i="24" s="1"/>
  <c r="H23" i="31" s="1"/>
  <c r="AD48" i="24"/>
  <c r="AD62" i="24" s="1"/>
  <c r="I108" i="32" s="1"/>
  <c r="AJ48" i="24"/>
  <c r="AJ62" i="24" s="1"/>
  <c r="H35" i="31" s="1"/>
  <c r="AP48" i="24"/>
  <c r="AP62" i="24" s="1"/>
  <c r="G172" i="32" s="1"/>
  <c r="BB48" i="24"/>
  <c r="BB62" i="24" s="1"/>
  <c r="H53" i="31" s="1"/>
  <c r="BH48" i="24"/>
  <c r="BH62" i="24" s="1"/>
  <c r="D268" i="32" s="1"/>
  <c r="BN48" i="24"/>
  <c r="BN62" i="24" s="1"/>
  <c r="BZ48" i="24"/>
  <c r="BZ62" i="24" s="1"/>
  <c r="BZ85" i="24" s="1"/>
  <c r="G48" i="24"/>
  <c r="G62" i="24" s="1"/>
  <c r="H6" i="31" s="1"/>
  <c r="M48" i="24"/>
  <c r="M62" i="24" s="1"/>
  <c r="H12" i="31" s="1"/>
  <c r="Y48" i="24"/>
  <c r="Y62" i="24" s="1"/>
  <c r="Y85" i="24" s="1"/>
  <c r="C37" i="15" s="1"/>
  <c r="G37" i="15" s="1"/>
  <c r="AK48" i="24"/>
  <c r="AK62" i="24" s="1"/>
  <c r="I140" i="32" s="1"/>
  <c r="AQ48" i="24"/>
  <c r="AQ62" i="24" s="1"/>
  <c r="H172" i="32" s="1"/>
  <c r="BC48" i="24"/>
  <c r="BC62" i="24" s="1"/>
  <c r="H54" i="31" s="1"/>
  <c r="BI48" i="24"/>
  <c r="BI62" i="24" s="1"/>
  <c r="H60" i="31" s="1"/>
  <c r="BO48" i="24"/>
  <c r="BO62" i="24" s="1"/>
  <c r="D300" i="32" s="1"/>
  <c r="BU48" i="24"/>
  <c r="BU62" i="24" s="1"/>
  <c r="BU85" i="24" s="1"/>
  <c r="C48" i="24"/>
  <c r="C62" i="24" s="1"/>
  <c r="H2" i="31" s="1"/>
  <c r="I48" i="24"/>
  <c r="I62" i="24" s="1"/>
  <c r="O48" i="24"/>
  <c r="O62" i="24" s="1"/>
  <c r="O85" i="24" s="1"/>
  <c r="U48" i="24"/>
  <c r="U62" i="24" s="1"/>
  <c r="H20" i="31" s="1"/>
  <c r="AA48" i="24"/>
  <c r="AA62" i="24" s="1"/>
  <c r="H26" i="31" s="1"/>
  <c r="AG48" i="24"/>
  <c r="AG62" i="24" s="1"/>
  <c r="AG85" i="24" s="1"/>
  <c r="C45" i="15" s="1"/>
  <c r="G45" i="15" s="1"/>
  <c r="AM48" i="24"/>
  <c r="AM62" i="24" s="1"/>
  <c r="AM85" i="24" s="1"/>
  <c r="AS48" i="24"/>
  <c r="AS62" i="24" s="1"/>
  <c r="AY48" i="24"/>
  <c r="AY62" i="24" s="1"/>
  <c r="AY85" i="24" s="1"/>
  <c r="BE48" i="24"/>
  <c r="BE62" i="24" s="1"/>
  <c r="H236" i="32" s="1"/>
  <c r="BK48" i="24"/>
  <c r="BK62" i="24" s="1"/>
  <c r="G268" i="32" s="1"/>
  <c r="BQ48" i="24"/>
  <c r="BQ62" i="24" s="1"/>
  <c r="H68" i="31" s="1"/>
  <c r="BW48" i="24"/>
  <c r="BW62" i="24" s="1"/>
  <c r="H74" i="31" s="1"/>
  <c r="CC48" i="24"/>
  <c r="CC62" i="24" s="1"/>
  <c r="Q85" i="24"/>
  <c r="C85" i="32" s="1"/>
  <c r="CE52" i="24"/>
  <c r="D383" i="24"/>
  <c r="C137" i="8" s="1"/>
  <c r="CY2" i="30"/>
  <c r="D415" i="24"/>
  <c r="CP2" i="30" s="1"/>
  <c r="H7" i="31"/>
  <c r="H12" i="32"/>
  <c r="H85" i="24"/>
  <c r="C108" i="32"/>
  <c r="X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M15" i="31"/>
  <c r="I49" i="32"/>
  <c r="M31" i="31"/>
  <c r="D145" i="32"/>
  <c r="M47" i="31"/>
  <c r="F209" i="32"/>
  <c r="M63" i="31"/>
  <c r="H273" i="32"/>
  <c r="M71" i="31"/>
  <c r="I305" i="32"/>
  <c r="H10" i="31"/>
  <c r="D44" i="32"/>
  <c r="K85" i="24"/>
  <c r="H42" i="31"/>
  <c r="AQ85" i="24"/>
  <c r="M61" i="31"/>
  <c r="F273" i="32"/>
  <c r="M33" i="31"/>
  <c r="F145" i="32"/>
  <c r="M41" i="31"/>
  <c r="G177" i="32"/>
  <c r="M57" i="31"/>
  <c r="I241" i="32"/>
  <c r="M65" i="31"/>
  <c r="C305" i="32"/>
  <c r="M25" i="31"/>
  <c r="E113" i="32"/>
  <c r="H44" i="31"/>
  <c r="C204" i="32"/>
  <c r="AS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38" i="31"/>
  <c r="D177" i="32"/>
  <c r="H21" i="31"/>
  <c r="H69" i="31"/>
  <c r="G300" i="32"/>
  <c r="BR85" i="24"/>
  <c r="M19" i="31"/>
  <c r="F81" i="32"/>
  <c r="M59" i="31"/>
  <c r="D273" i="32"/>
  <c r="H15" i="31"/>
  <c r="I44" i="32"/>
  <c r="P85" i="24"/>
  <c r="M13" i="31"/>
  <c r="G49" i="32"/>
  <c r="M37" i="31"/>
  <c r="C177" i="32"/>
  <c r="H80" i="31"/>
  <c r="D364" i="32"/>
  <c r="CC85" i="24"/>
  <c r="M14" i="31"/>
  <c r="H49" i="32"/>
  <c r="M30" i="31"/>
  <c r="C145" i="32"/>
  <c r="M62" i="31"/>
  <c r="G273" i="32"/>
  <c r="M70" i="31"/>
  <c r="H305" i="32"/>
  <c r="Z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77" i="31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AE47" i="31"/>
  <c r="F218" i="32"/>
  <c r="C120" i="8"/>
  <c r="D367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M9" i="31"/>
  <c r="C49" i="32"/>
  <c r="M45" i="31"/>
  <c r="D209" i="32"/>
  <c r="O9" i="31"/>
  <c r="C51" i="32"/>
  <c r="O41" i="31"/>
  <c r="G179" i="32"/>
  <c r="E371" i="32"/>
  <c r="C615" i="24"/>
  <c r="AE31" i="31"/>
  <c r="D154" i="32"/>
  <c r="C67" i="24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G211" i="32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M36" i="31"/>
  <c r="I145" i="32"/>
  <c r="O49" i="31"/>
  <c r="H211" i="32"/>
  <c r="M3" i="31"/>
  <c r="D17" i="32"/>
  <c r="M67" i="31"/>
  <c r="E305" i="32"/>
  <c r="O20" i="31"/>
  <c r="G83" i="32"/>
  <c r="O52" i="31"/>
  <c r="D243" i="32"/>
  <c r="AE18" i="31"/>
  <c r="E90" i="32"/>
  <c r="H8" i="31"/>
  <c r="I1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C16" i="8"/>
  <c r="D308" i="24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M5" i="31"/>
  <c r="F17" i="32"/>
  <c r="I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B16" i="15" l="1"/>
  <c r="F16" i="15" s="1"/>
  <c r="B64" i="15"/>
  <c r="B63" i="15"/>
  <c r="F63" i="15" s="1"/>
  <c r="H63" i="15" s="1"/>
  <c r="I63" i="15" s="1"/>
  <c r="F49" i="15"/>
  <c r="B40" i="15"/>
  <c r="C711" i="34"/>
  <c r="B58" i="15"/>
  <c r="F25" i="15"/>
  <c r="B90" i="15"/>
  <c r="B81" i="15"/>
  <c r="B23" i="15"/>
  <c r="H23" i="15" s="1"/>
  <c r="I23" i="15" s="1"/>
  <c r="B66" i="15"/>
  <c r="B79" i="15"/>
  <c r="B82" i="15"/>
  <c r="B47" i="15"/>
  <c r="F47" i="15" s="1"/>
  <c r="B60" i="15"/>
  <c r="B87" i="15"/>
  <c r="B71" i="15"/>
  <c r="C709" i="34"/>
  <c r="B56" i="15"/>
  <c r="F57" i="15"/>
  <c r="C703" i="34"/>
  <c r="B50" i="15"/>
  <c r="F50" i="15" s="1"/>
  <c r="H50" i="15" s="1"/>
  <c r="C701" i="34"/>
  <c r="B48" i="15"/>
  <c r="F48" i="15" s="1"/>
  <c r="H48" i="15" s="1"/>
  <c r="I48" i="15" s="1"/>
  <c r="C694" i="34"/>
  <c r="B41" i="15"/>
  <c r="F41" i="15" s="1"/>
  <c r="H41" i="15" s="1"/>
  <c r="I41" i="15" s="1"/>
  <c r="B92" i="15"/>
  <c r="C685" i="34"/>
  <c r="B32" i="15"/>
  <c r="C695" i="34"/>
  <c r="B42" i="15"/>
  <c r="C621" i="34"/>
  <c r="B80" i="15"/>
  <c r="B18" i="15"/>
  <c r="F18" i="15" s="1"/>
  <c r="C677" i="34"/>
  <c r="B24" i="15"/>
  <c r="C670" i="34"/>
  <c r="B17" i="15"/>
  <c r="F17" i="15" s="1"/>
  <c r="H17" i="15" s="1"/>
  <c r="I17" i="15" s="1"/>
  <c r="C630" i="34"/>
  <c r="B65" i="15"/>
  <c r="C636" i="34"/>
  <c r="B72" i="15"/>
  <c r="C634" i="34"/>
  <c r="B73" i="15"/>
  <c r="B88" i="15"/>
  <c r="C645" i="34"/>
  <c r="B89" i="15"/>
  <c r="CE48" i="34"/>
  <c r="F34" i="15"/>
  <c r="H34" i="15" s="1"/>
  <c r="F26" i="15"/>
  <c r="F39" i="15"/>
  <c r="H39" i="15" s="1"/>
  <c r="I39" i="15" s="1"/>
  <c r="F28" i="15"/>
  <c r="H28" i="15" s="1"/>
  <c r="I28" i="15" s="1"/>
  <c r="F55" i="15"/>
  <c r="K612" i="24"/>
  <c r="D12" i="33"/>
  <c r="H16" i="31"/>
  <c r="I76" i="32"/>
  <c r="H332" i="32"/>
  <c r="H108" i="32"/>
  <c r="H78" i="31"/>
  <c r="F332" i="32"/>
  <c r="H64" i="31"/>
  <c r="AE85" i="24"/>
  <c r="C149" i="32" s="1"/>
  <c r="H75" i="31"/>
  <c r="BC85" i="24"/>
  <c r="F245" i="32" s="1"/>
  <c r="G44" i="32"/>
  <c r="AX85" i="24"/>
  <c r="H213" i="32" s="1"/>
  <c r="H28" i="31"/>
  <c r="H44" i="32"/>
  <c r="H13" i="31"/>
  <c r="H204" i="32"/>
  <c r="M85" i="24"/>
  <c r="F53" i="32" s="1"/>
  <c r="F44" i="32"/>
  <c r="BV85" i="24"/>
  <c r="D341" i="32" s="1"/>
  <c r="D204" i="32"/>
  <c r="BH85" i="24"/>
  <c r="C636" i="24" s="1"/>
  <c r="H59" i="31"/>
  <c r="H62" i="31"/>
  <c r="H45" i="31"/>
  <c r="H5" i="31"/>
  <c r="BA85" i="24"/>
  <c r="C630" i="24" s="1"/>
  <c r="H14" i="31"/>
  <c r="H38" i="31"/>
  <c r="H66" i="31"/>
  <c r="H41" i="31"/>
  <c r="BG85" i="24"/>
  <c r="C277" i="32" s="1"/>
  <c r="I204" i="32"/>
  <c r="C140" i="32"/>
  <c r="E108" i="32"/>
  <c r="D236" i="32"/>
  <c r="C268" i="32"/>
  <c r="AA85" i="24"/>
  <c r="C692" i="24" s="1"/>
  <c r="E172" i="32"/>
  <c r="BM85" i="24"/>
  <c r="C638" i="24" s="1"/>
  <c r="BJ85" i="24"/>
  <c r="F277" i="32" s="1"/>
  <c r="F268" i="32"/>
  <c r="F108" i="32"/>
  <c r="H39" i="31"/>
  <c r="BK85" i="24"/>
  <c r="C75" i="15" s="1"/>
  <c r="G75" i="15" s="1"/>
  <c r="AP85" i="24"/>
  <c r="C54" i="15" s="1"/>
  <c r="G54" i="15" s="1"/>
  <c r="BO85" i="24"/>
  <c r="D309" i="32" s="1"/>
  <c r="D172" i="32"/>
  <c r="C85" i="24"/>
  <c r="C21" i="32" s="1"/>
  <c r="H50" i="31"/>
  <c r="H29" i="31"/>
  <c r="C44" i="32"/>
  <c r="AH85" i="24"/>
  <c r="F149" i="32" s="1"/>
  <c r="F236" i="32"/>
  <c r="F204" i="32"/>
  <c r="V85" i="24"/>
  <c r="C687" i="24" s="1"/>
  <c r="H9" i="31"/>
  <c r="H47" i="31"/>
  <c r="AD85" i="24"/>
  <c r="C42" i="15" s="1"/>
  <c r="G42" i="15" s="1"/>
  <c r="H27" i="31"/>
  <c r="H36" i="31"/>
  <c r="E332" i="32"/>
  <c r="C172" i="32"/>
  <c r="F12" i="32"/>
  <c r="BW85" i="24"/>
  <c r="C87" i="15" s="1"/>
  <c r="G87" i="15" s="1"/>
  <c r="E44" i="32"/>
  <c r="G85" i="24"/>
  <c r="C19" i="15" s="1"/>
  <c r="G19" i="15" s="1"/>
  <c r="CA85" i="24"/>
  <c r="I341" i="32" s="1"/>
  <c r="AK85" i="24"/>
  <c r="C49" i="15" s="1"/>
  <c r="G49" i="15" s="1"/>
  <c r="H37" i="31"/>
  <c r="C12" i="32"/>
  <c r="BF85" i="24"/>
  <c r="I245" i="32" s="1"/>
  <c r="H11" i="31"/>
  <c r="H46" i="31"/>
  <c r="I236" i="32"/>
  <c r="S85" i="24"/>
  <c r="C31" i="15" s="1"/>
  <c r="G31" i="15" s="1"/>
  <c r="AB85" i="24"/>
  <c r="C40" i="15" s="1"/>
  <c r="G40" i="15" s="1"/>
  <c r="H56" i="31"/>
  <c r="U85" i="24"/>
  <c r="C686" i="24" s="1"/>
  <c r="BI85" i="24"/>
  <c r="C73" i="15" s="1"/>
  <c r="G73" i="15" s="1"/>
  <c r="BE85" i="24"/>
  <c r="H245" i="32" s="1"/>
  <c r="AI85" i="24"/>
  <c r="C700" i="24" s="1"/>
  <c r="BD85" i="24"/>
  <c r="C68" i="15" s="1"/>
  <c r="G68" i="15" s="1"/>
  <c r="AU85" i="24"/>
  <c r="E213" i="32" s="1"/>
  <c r="AJ85" i="24"/>
  <c r="H149" i="32" s="1"/>
  <c r="G12" i="32"/>
  <c r="H55" i="31"/>
  <c r="F172" i="32"/>
  <c r="F76" i="32"/>
  <c r="E268" i="32"/>
  <c r="G76" i="32"/>
  <c r="G140" i="32"/>
  <c r="E76" i="32"/>
  <c r="D332" i="32"/>
  <c r="F140" i="32"/>
  <c r="AO85" i="24"/>
  <c r="H140" i="32"/>
  <c r="H19" i="31"/>
  <c r="H70" i="31"/>
  <c r="BY85" i="24"/>
  <c r="C89" i="15" s="1"/>
  <c r="G89" i="15" s="1"/>
  <c r="BL85" i="24"/>
  <c r="H277" i="32" s="1"/>
  <c r="E140" i="32"/>
  <c r="AF85" i="24"/>
  <c r="C697" i="24" s="1"/>
  <c r="H32" i="31"/>
  <c r="C236" i="32"/>
  <c r="G332" i="32"/>
  <c r="AZ85" i="24"/>
  <c r="C245" i="32" s="1"/>
  <c r="H268" i="32"/>
  <c r="D140" i="32"/>
  <c r="BB85" i="24"/>
  <c r="E245" i="32" s="1"/>
  <c r="BQ85" i="24"/>
  <c r="C81" i="15" s="1"/>
  <c r="G81" i="15" s="1"/>
  <c r="CE48" i="24"/>
  <c r="C332" i="32"/>
  <c r="D108" i="32"/>
  <c r="E236" i="32"/>
  <c r="F300" i="32"/>
  <c r="H72" i="31"/>
  <c r="H24" i="31"/>
  <c r="AW85" i="24"/>
  <c r="G213" i="32" s="1"/>
  <c r="G204" i="32"/>
  <c r="BS85" i="24"/>
  <c r="H309" i="32" s="1"/>
  <c r="E300" i="32"/>
  <c r="I300" i="32"/>
  <c r="BP85" i="24"/>
  <c r="C80" i="15" s="1"/>
  <c r="G80" i="15" s="1"/>
  <c r="CE62" i="24"/>
  <c r="I364" i="32" s="1"/>
  <c r="H71" i="31"/>
  <c r="C341" i="32"/>
  <c r="C641" i="24"/>
  <c r="C85" i="15"/>
  <c r="G85" i="15" s="1"/>
  <c r="D21" i="32"/>
  <c r="C690" i="24"/>
  <c r="D117" i="32"/>
  <c r="C24" i="15"/>
  <c r="G24" i="15" s="1"/>
  <c r="E53" i="32"/>
  <c r="C698" i="24"/>
  <c r="C88" i="15"/>
  <c r="G88" i="15" s="1"/>
  <c r="C669" i="24"/>
  <c r="F341" i="32"/>
  <c r="C682" i="24"/>
  <c r="C29" i="15"/>
  <c r="G29" i="15" s="1"/>
  <c r="E149" i="32"/>
  <c r="E380" i="24"/>
  <c r="D416" i="24"/>
  <c r="C167" i="8" s="1"/>
  <c r="C675" i="34"/>
  <c r="B22" i="15"/>
  <c r="C68" i="8"/>
  <c r="D350" i="24"/>
  <c r="G309" i="32"/>
  <c r="C82" i="15"/>
  <c r="G82" i="15" s="1"/>
  <c r="C626" i="24"/>
  <c r="F309" i="34"/>
  <c r="D352" i="34"/>
  <c r="I53" i="32"/>
  <c r="C28" i="15"/>
  <c r="G28" i="15" s="1"/>
  <c r="C681" i="24"/>
  <c r="C213" i="32"/>
  <c r="C57" i="15"/>
  <c r="G57" i="15" s="1"/>
  <c r="C710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E21" i="32"/>
  <c r="C17" i="15"/>
  <c r="G17" i="15" s="1"/>
  <c r="C670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53" i="32"/>
  <c r="C22" i="15"/>
  <c r="G22" i="15" s="1"/>
  <c r="C675" i="24"/>
  <c r="F213" i="32"/>
  <c r="C60" i="15"/>
  <c r="C713" i="24"/>
  <c r="H181" i="32"/>
  <c r="C55" i="15"/>
  <c r="G55" i="15" s="1"/>
  <c r="C708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I181" i="32"/>
  <c r="C56" i="15"/>
  <c r="G56" i="15" s="1"/>
  <c r="C709" i="24"/>
  <c r="G53" i="32"/>
  <c r="C26" i="15"/>
  <c r="G26" i="15" s="1"/>
  <c r="C679" i="24"/>
  <c r="F21" i="32"/>
  <c r="C18" i="15"/>
  <c r="G18" i="15" s="1"/>
  <c r="C671" i="24"/>
  <c r="H341" i="32"/>
  <c r="C90" i="15"/>
  <c r="G90" i="15" s="1"/>
  <c r="C646" i="24"/>
  <c r="C63" i="15"/>
  <c r="G63" i="15" s="1"/>
  <c r="C625" i="24"/>
  <c r="I213" i="32"/>
  <c r="I381" i="32"/>
  <c r="G612" i="24"/>
  <c r="CF91" i="24"/>
  <c r="C624" i="34"/>
  <c r="B68" i="15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H117" i="32"/>
  <c r="C41" i="15"/>
  <c r="G41" i="15" s="1"/>
  <c r="C694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C121" i="8"/>
  <c r="D384" i="24"/>
  <c r="D213" i="32"/>
  <c r="C58" i="15"/>
  <c r="G58" i="15" s="1"/>
  <c r="C711" i="24"/>
  <c r="D373" i="32"/>
  <c r="C93" i="15"/>
  <c r="G93" i="15" s="1"/>
  <c r="C620" i="24"/>
  <c r="C181" i="32"/>
  <c r="C50" i="15"/>
  <c r="G50" i="15" s="1"/>
  <c r="C703" i="24"/>
  <c r="C639" i="34"/>
  <c r="B83" i="15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C309" i="32"/>
  <c r="C619" i="24"/>
  <c r="C78" i="15"/>
  <c r="G78" i="15" s="1"/>
  <c r="D53" i="32"/>
  <c r="C23" i="15"/>
  <c r="G23" i="15" s="1"/>
  <c r="C676" i="24"/>
  <c r="E181" i="32"/>
  <c r="C52" i="15"/>
  <c r="G52" i="15" s="1"/>
  <c r="C705" i="24"/>
  <c r="H16" i="15" l="1"/>
  <c r="I16" i="15" s="1"/>
  <c r="H47" i="15"/>
  <c r="F23" i="15"/>
  <c r="H58" i="15"/>
  <c r="I58" i="15" s="1"/>
  <c r="F58" i="15"/>
  <c r="H18" i="15"/>
  <c r="I18" i="15" s="1"/>
  <c r="H42" i="15"/>
  <c r="I42" i="15" s="1"/>
  <c r="F42" i="15"/>
  <c r="H56" i="15"/>
  <c r="I56" i="15" s="1"/>
  <c r="F56" i="15"/>
  <c r="H24" i="15"/>
  <c r="I24" i="15" s="1"/>
  <c r="F24" i="15"/>
  <c r="F65" i="15"/>
  <c r="H65" i="15"/>
  <c r="I65" i="15" s="1"/>
  <c r="D33" i="33"/>
  <c r="C696" i="24"/>
  <c r="C43" i="15"/>
  <c r="G43" i="15" s="1"/>
  <c r="C65" i="15"/>
  <c r="G65" i="15" s="1"/>
  <c r="C668" i="24"/>
  <c r="C67" i="15"/>
  <c r="G67" i="15" s="1"/>
  <c r="C77" i="15"/>
  <c r="G77" i="15" s="1"/>
  <c r="C633" i="24"/>
  <c r="D149" i="32"/>
  <c r="C701" i="24"/>
  <c r="C62" i="15"/>
  <c r="G85" i="32"/>
  <c r="C678" i="24"/>
  <c r="C25" i="15"/>
  <c r="G25" i="15" s="1"/>
  <c r="C614" i="24"/>
  <c r="D615" i="24" s="1"/>
  <c r="D709" i="24" s="1"/>
  <c r="C618" i="24"/>
  <c r="C74" i="15"/>
  <c r="G74" i="15" s="1"/>
  <c r="C627" i="24"/>
  <c r="C33" i="15"/>
  <c r="G33" i="15" s="1"/>
  <c r="C616" i="24"/>
  <c r="C15" i="15"/>
  <c r="G15" i="15" s="1"/>
  <c r="C48" i="15"/>
  <c r="G48" i="15" s="1"/>
  <c r="C672" i="24"/>
  <c r="C44" i="15"/>
  <c r="G44" i="15" s="1"/>
  <c r="G21" i="32"/>
  <c r="D245" i="32"/>
  <c r="C642" i="24"/>
  <c r="C86" i="15"/>
  <c r="G86" i="15" s="1"/>
  <c r="C71" i="15"/>
  <c r="G71" i="15" s="1"/>
  <c r="H85" i="32"/>
  <c r="C79" i="15"/>
  <c r="G79" i="15" s="1"/>
  <c r="I117" i="32"/>
  <c r="G245" i="32"/>
  <c r="G341" i="32"/>
  <c r="C72" i="15"/>
  <c r="G72" i="15" s="1"/>
  <c r="D277" i="32"/>
  <c r="C617" i="24"/>
  <c r="G277" i="32"/>
  <c r="C707" i="24"/>
  <c r="G181" i="32"/>
  <c r="C39" i="15"/>
  <c r="G39" i="15" s="1"/>
  <c r="I277" i="32"/>
  <c r="C684" i="24"/>
  <c r="C645" i="24"/>
  <c r="G149" i="32"/>
  <c r="C47" i="15"/>
  <c r="G47" i="15" s="1"/>
  <c r="E309" i="32"/>
  <c r="E85" i="32"/>
  <c r="F117" i="32"/>
  <c r="E277" i="32"/>
  <c r="C647" i="24"/>
  <c r="C34" i="15"/>
  <c r="G34" i="15" s="1"/>
  <c r="C91" i="15"/>
  <c r="G91" i="15" s="1"/>
  <c r="C635" i="24"/>
  <c r="C623" i="24"/>
  <c r="C637" i="24"/>
  <c r="C699" i="24"/>
  <c r="C702" i="24"/>
  <c r="C46" i="15"/>
  <c r="G46" i="15" s="1"/>
  <c r="C695" i="24"/>
  <c r="E341" i="32"/>
  <c r="C693" i="24"/>
  <c r="C76" i="15"/>
  <c r="G76" i="15" s="1"/>
  <c r="C628" i="24"/>
  <c r="C631" i="24"/>
  <c r="C64" i="15"/>
  <c r="G64" i="15" s="1"/>
  <c r="G117" i="32"/>
  <c r="C61" i="15"/>
  <c r="C643" i="24"/>
  <c r="C59" i="15"/>
  <c r="G59" i="15" s="1"/>
  <c r="C624" i="24"/>
  <c r="C629" i="24"/>
  <c r="C712" i="24"/>
  <c r="C70" i="15"/>
  <c r="G70" i="15" s="1"/>
  <c r="F309" i="32"/>
  <c r="I149" i="32"/>
  <c r="C69" i="15"/>
  <c r="G69" i="15" s="1"/>
  <c r="C634" i="24"/>
  <c r="C621" i="24"/>
  <c r="C53" i="15"/>
  <c r="G53" i="15" s="1"/>
  <c r="C706" i="24"/>
  <c r="F181" i="32"/>
  <c r="C632" i="24"/>
  <c r="C66" i="15"/>
  <c r="G66" i="15" s="1"/>
  <c r="CE85" i="24"/>
  <c r="C716" i="24" s="1"/>
  <c r="C639" i="24"/>
  <c r="C83" i="15"/>
  <c r="G83" i="15" s="1"/>
  <c r="E414" i="24"/>
  <c r="H53" i="15"/>
  <c r="I53" i="15" s="1"/>
  <c r="F53" i="15"/>
  <c r="F35" i="15"/>
  <c r="H35" i="15" s="1"/>
  <c r="I35" i="15" s="1"/>
  <c r="F15" i="15"/>
  <c r="H15" i="15" s="1"/>
  <c r="H59" i="15"/>
  <c r="I59" i="15" s="1"/>
  <c r="F59" i="15"/>
  <c r="F27" i="15"/>
  <c r="H27" i="15" s="1"/>
  <c r="I27" i="15" s="1"/>
  <c r="H52" i="15"/>
  <c r="I52" i="15" s="1"/>
  <c r="F52" i="15"/>
  <c r="F22" i="15"/>
  <c r="H22" i="15" s="1"/>
  <c r="I22" i="15" s="1"/>
  <c r="H30" i="15"/>
  <c r="I30" i="15" s="1"/>
  <c r="F30" i="15"/>
  <c r="F69" i="15"/>
  <c r="H69" i="15" s="1"/>
  <c r="F29" i="15"/>
  <c r="H29" i="15" s="1"/>
  <c r="I29" i="15" s="1"/>
  <c r="F36" i="15"/>
  <c r="H36" i="15" s="1"/>
  <c r="I36" i="15" s="1"/>
  <c r="F54" i="15"/>
  <c r="H54" i="15" s="1"/>
  <c r="I54" i="15" s="1"/>
  <c r="H46" i="15"/>
  <c r="I46" i="15" s="1"/>
  <c r="F46" i="15"/>
  <c r="C715" i="34"/>
  <c r="C648" i="34"/>
  <c r="M716" i="34" s="1"/>
  <c r="D615" i="34"/>
  <c r="F45" i="15"/>
  <c r="H45" i="15" s="1"/>
  <c r="I45" i="15" s="1"/>
  <c r="H19" i="15"/>
  <c r="I19" i="15" s="1"/>
  <c r="F19" i="15"/>
  <c r="H21" i="15"/>
  <c r="I21" i="15" s="1"/>
  <c r="F21" i="15"/>
  <c r="F37" i="15"/>
  <c r="H37" i="15" s="1"/>
  <c r="I37" i="15" s="1"/>
  <c r="F38" i="15"/>
  <c r="H38" i="15" s="1"/>
  <c r="H44" i="15"/>
  <c r="I44" i="15" s="1"/>
  <c r="F44" i="15"/>
  <c r="C138" i="8"/>
  <c r="D417" i="24"/>
  <c r="F43" i="15"/>
  <c r="H43" i="15" s="1"/>
  <c r="I43" i="15" s="1"/>
  <c r="H51" i="15"/>
  <c r="I51" i="15" s="1"/>
  <c r="F51" i="15"/>
  <c r="H20" i="15"/>
  <c r="I20" i="15" s="1"/>
  <c r="F20" i="15"/>
  <c r="D683" i="24" l="1"/>
  <c r="D646" i="24"/>
  <c r="D629" i="24"/>
  <c r="D632" i="24"/>
  <c r="D668" i="24"/>
  <c r="D685" i="24"/>
  <c r="D641" i="24"/>
  <c r="D626" i="24"/>
  <c r="D697" i="24"/>
  <c r="D671" i="24"/>
  <c r="D670" i="24"/>
  <c r="D706" i="24"/>
  <c r="D617" i="24"/>
  <c r="D703" i="24"/>
  <c r="D675" i="24"/>
  <c r="D644" i="24"/>
  <c r="D710" i="24"/>
  <c r="D634" i="24"/>
  <c r="D643" i="24"/>
  <c r="D688" i="24"/>
  <c r="D642" i="24"/>
  <c r="D618" i="24"/>
  <c r="D637" i="24"/>
  <c r="D680" i="24"/>
  <c r="D636" i="24"/>
  <c r="D621" i="24"/>
  <c r="D704" i="24"/>
  <c r="D696" i="24"/>
  <c r="D702" i="24"/>
  <c r="D695" i="24"/>
  <c r="D692" i="24"/>
  <c r="D705" i="24"/>
  <c r="D673" i="24"/>
  <c r="D623" i="24"/>
  <c r="D674" i="24"/>
  <c r="D640" i="24"/>
  <c r="D672" i="24"/>
  <c r="D622" i="24"/>
  <c r="D707" i="24"/>
  <c r="D711" i="24"/>
  <c r="D698" i="24"/>
  <c r="D616" i="24"/>
  <c r="D712" i="24"/>
  <c r="D628" i="24"/>
  <c r="D708" i="24"/>
  <c r="D676" i="24"/>
  <c r="D677" i="24"/>
  <c r="D627" i="24"/>
  <c r="D716" i="24"/>
  <c r="D693" i="24"/>
  <c r="D633" i="24"/>
  <c r="D620" i="24"/>
  <c r="D624" i="24"/>
  <c r="D619" i="24"/>
  <c r="D635" i="24"/>
  <c r="D690" i="24"/>
  <c r="D684" i="24"/>
  <c r="D647" i="24"/>
  <c r="D625" i="24"/>
  <c r="D678" i="24"/>
  <c r="D645" i="24"/>
  <c r="D700" i="24"/>
  <c r="D681" i="24"/>
  <c r="D631" i="24"/>
  <c r="D686" i="24"/>
  <c r="D630" i="24"/>
  <c r="D691" i="24"/>
  <c r="D679" i="24"/>
  <c r="D701" i="24"/>
  <c r="D694" i="24"/>
  <c r="D669" i="24"/>
  <c r="D713" i="24"/>
  <c r="D682" i="24"/>
  <c r="D639" i="24"/>
  <c r="D689" i="24"/>
  <c r="D638" i="24"/>
  <c r="D699" i="24"/>
  <c r="D687" i="24"/>
  <c r="I373" i="32"/>
  <c r="C715" i="24"/>
  <c r="C648" i="24"/>
  <c r="M716" i="24" s="1"/>
  <c r="C168" i="8"/>
  <c r="D421" i="24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E623" i="24" l="1"/>
  <c r="E716" i="24" s="1"/>
  <c r="E612" i="24"/>
  <c r="D715" i="24"/>
  <c r="C172" i="8"/>
  <c r="D424" i="24"/>
  <c r="C177" i="8" s="1"/>
  <c r="D715" i="34"/>
  <c r="E623" i="34"/>
  <c r="E612" i="34"/>
  <c r="E698" i="24" l="1"/>
  <c r="E700" i="24"/>
  <c r="E703" i="24"/>
  <c r="E689" i="24"/>
  <c r="E686" i="24"/>
  <c r="E711" i="24"/>
  <c r="E682" i="24"/>
  <c r="E692" i="24"/>
  <c r="E699" i="24"/>
  <c r="E626" i="24"/>
  <c r="E673" i="24"/>
  <c r="E670" i="24"/>
  <c r="E713" i="24"/>
  <c r="E681" i="24"/>
  <c r="E710" i="24"/>
  <c r="E674" i="24"/>
  <c r="E644" i="24"/>
  <c r="E624" i="24"/>
  <c r="F624" i="24" s="1"/>
  <c r="F640" i="24" s="1"/>
  <c r="E669" i="24"/>
  <c r="E627" i="24"/>
  <c r="E633" i="24"/>
  <c r="E708" i="24"/>
  <c r="E675" i="24"/>
  <c r="E704" i="24"/>
  <c r="E631" i="24"/>
  <c r="E625" i="24"/>
  <c r="E628" i="24"/>
  <c r="E647" i="24"/>
  <c r="E690" i="24"/>
  <c r="E646" i="24"/>
  <c r="E636" i="24"/>
  <c r="E707" i="24"/>
  <c r="E688" i="24"/>
  <c r="E695" i="24"/>
  <c r="E679" i="24"/>
  <c r="E632" i="24"/>
  <c r="E705" i="24"/>
  <c r="E687" i="24"/>
  <c r="E635" i="24"/>
  <c r="E712" i="24"/>
  <c r="E638" i="24"/>
  <c r="E642" i="24"/>
  <c r="E629" i="24"/>
  <c r="E672" i="24"/>
  <c r="E702" i="24"/>
  <c r="E701" i="24"/>
  <c r="E694" i="24"/>
  <c r="E706" i="24"/>
  <c r="E678" i="24"/>
  <c r="E683" i="24"/>
  <c r="E671" i="24"/>
  <c r="E697" i="24"/>
  <c r="E696" i="24"/>
  <c r="E643" i="24"/>
  <c r="E639" i="24"/>
  <c r="E693" i="24"/>
  <c r="E676" i="24"/>
  <c r="E634" i="24"/>
  <c r="E668" i="24"/>
  <c r="E691" i="24"/>
  <c r="E637" i="24"/>
  <c r="E645" i="24"/>
  <c r="E685" i="24"/>
  <c r="E641" i="24"/>
  <c r="E677" i="24"/>
  <c r="E630" i="24"/>
  <c r="E709" i="24"/>
  <c r="E680" i="24"/>
  <c r="E684" i="24"/>
  <c r="E640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E715" i="34" l="1"/>
  <c r="F624" i="34"/>
  <c r="F683" i="24"/>
  <c r="F706" i="24"/>
  <c r="F707" i="24"/>
  <c r="F669" i="24"/>
  <c r="F672" i="24"/>
  <c r="F631" i="24"/>
  <c r="F685" i="24"/>
  <c r="F693" i="24"/>
  <c r="F708" i="24"/>
  <c r="F689" i="24"/>
  <c r="F647" i="24"/>
  <c r="F704" i="24"/>
  <c r="F698" i="24"/>
  <c r="F626" i="24"/>
  <c r="F644" i="24"/>
  <c r="F709" i="24"/>
  <c r="F702" i="24"/>
  <c r="F711" i="24"/>
  <c r="F643" i="24"/>
  <c r="F642" i="24"/>
  <c r="F681" i="24"/>
  <c r="F700" i="24"/>
  <c r="F699" i="24"/>
  <c r="F692" i="24"/>
  <c r="F703" i="24"/>
  <c r="F646" i="24"/>
  <c r="F713" i="24"/>
  <c r="F716" i="24"/>
  <c r="F637" i="24"/>
  <c r="F695" i="24"/>
  <c r="F630" i="24"/>
  <c r="F632" i="24"/>
  <c r="F671" i="24"/>
  <c r="F678" i="24"/>
  <c r="F629" i="24"/>
  <c r="F675" i="24"/>
  <c r="F674" i="24"/>
  <c r="F668" i="24"/>
  <c r="F686" i="24"/>
  <c r="F688" i="24"/>
  <c r="F636" i="24"/>
  <c r="F641" i="24"/>
  <c r="F682" i="24"/>
  <c r="F679" i="24"/>
  <c r="F701" i="24"/>
  <c r="F697" i="24"/>
  <c r="F633" i="24"/>
  <c r="F635" i="24"/>
  <c r="F712" i="24"/>
  <c r="F627" i="24"/>
  <c r="F628" i="24"/>
  <c r="F710" i="24"/>
  <c r="F677" i="24"/>
  <c r="F625" i="24"/>
  <c r="G625" i="24" s="1"/>
  <c r="F696" i="24"/>
  <c r="F670" i="24"/>
  <c r="F694" i="24"/>
  <c r="F691" i="24"/>
  <c r="F638" i="24"/>
  <c r="F673" i="24"/>
  <c r="F639" i="24"/>
  <c r="F705" i="24"/>
  <c r="F684" i="24"/>
  <c r="F690" i="24"/>
  <c r="F634" i="24"/>
  <c r="F680" i="24"/>
  <c r="F645" i="24"/>
  <c r="F676" i="24"/>
  <c r="F687" i="24"/>
  <c r="E715" i="24"/>
  <c r="F709" i="34" l="1"/>
  <c r="F713" i="34"/>
  <c r="F712" i="34"/>
  <c r="F699" i="34"/>
  <c r="F689" i="34"/>
  <c r="F691" i="34"/>
  <c r="F626" i="34"/>
  <c r="F641" i="34"/>
  <c r="F688" i="34"/>
  <c r="F675" i="34"/>
  <c r="F632" i="34"/>
  <c r="F670" i="34"/>
  <c r="F633" i="34"/>
  <c r="F631" i="34"/>
  <c r="F672" i="34"/>
  <c r="F678" i="34"/>
  <c r="F627" i="34"/>
  <c r="F701" i="34"/>
  <c r="F705" i="34"/>
  <c r="F710" i="34"/>
  <c r="F692" i="34"/>
  <c r="F681" i="34"/>
  <c r="F683" i="34"/>
  <c r="F694" i="34"/>
  <c r="F636" i="34"/>
  <c r="F642" i="34"/>
  <c r="F674" i="34"/>
  <c r="F708" i="34"/>
  <c r="F634" i="34"/>
  <c r="F700" i="34"/>
  <c r="F693" i="34"/>
  <c r="F706" i="34"/>
  <c r="F697" i="34"/>
  <c r="F687" i="34"/>
  <c r="F684" i="34"/>
  <c r="F673" i="34"/>
  <c r="F644" i="34"/>
  <c r="F685" i="34"/>
  <c r="F629" i="34"/>
  <c r="F638" i="34"/>
  <c r="F671" i="34"/>
  <c r="F625" i="34"/>
  <c r="F690" i="34"/>
  <c r="F647" i="34"/>
  <c r="F707" i="34"/>
  <c r="F637" i="34"/>
  <c r="F703" i="34"/>
  <c r="F695" i="34"/>
  <c r="F628" i="34"/>
  <c r="F639" i="34"/>
  <c r="F698" i="34"/>
  <c r="F716" i="34"/>
  <c r="F679" i="34"/>
  <c r="F676" i="34"/>
  <c r="F686" i="34"/>
  <c r="F640" i="34"/>
  <c r="F645" i="34"/>
  <c r="F646" i="34"/>
  <c r="F630" i="34"/>
  <c r="F669" i="34"/>
  <c r="F704" i="34"/>
  <c r="F635" i="34"/>
  <c r="F643" i="34"/>
  <c r="F696" i="34"/>
  <c r="F711" i="34"/>
  <c r="F682" i="34"/>
  <c r="F668" i="34"/>
  <c r="F702" i="34"/>
  <c r="F677" i="34"/>
  <c r="F680" i="34"/>
  <c r="F715" i="24"/>
  <c r="G713" i="24"/>
  <c r="G700" i="24"/>
  <c r="G627" i="24"/>
  <c r="G634" i="24"/>
  <c r="G692" i="24"/>
  <c r="G709" i="24"/>
  <c r="G645" i="24"/>
  <c r="G712" i="24"/>
  <c r="G697" i="24"/>
  <c r="G630" i="24"/>
  <c r="G678" i="24"/>
  <c r="G674" i="24"/>
  <c r="G702" i="24"/>
  <c r="G673" i="24"/>
  <c r="G670" i="24"/>
  <c r="G639" i="24"/>
  <c r="G685" i="24"/>
  <c r="G647" i="24"/>
  <c r="G679" i="24"/>
  <c r="G711" i="24"/>
  <c r="G668" i="24"/>
  <c r="G638" i="24"/>
  <c r="G683" i="24"/>
  <c r="G680" i="24"/>
  <c r="G691" i="24"/>
  <c r="G689" i="24"/>
  <c r="G646" i="24"/>
  <c r="G695" i="24"/>
  <c r="G698" i="24"/>
  <c r="G684" i="24"/>
  <c r="G629" i="24"/>
  <c r="G682" i="24"/>
  <c r="G688" i="24"/>
  <c r="G633" i="24"/>
  <c r="G640" i="24"/>
  <c r="G707" i="24"/>
  <c r="G626" i="24"/>
  <c r="G672" i="24"/>
  <c r="G669" i="24"/>
  <c r="G690" i="24"/>
  <c r="G631" i="24"/>
  <c r="G671" i="24"/>
  <c r="G644" i="24"/>
  <c r="G628" i="24"/>
  <c r="G641" i="24"/>
  <c r="G701" i="24"/>
  <c r="G706" i="24"/>
  <c r="G637" i="24"/>
  <c r="G686" i="24"/>
  <c r="G699" i="24"/>
  <c r="G635" i="24"/>
  <c r="G716" i="24"/>
  <c r="G676" i="24"/>
  <c r="G693" i="24"/>
  <c r="G675" i="24"/>
  <c r="G703" i="24"/>
  <c r="G687" i="24"/>
  <c r="G642" i="24"/>
  <c r="G704" i="24"/>
  <c r="G636" i="24"/>
  <c r="G643" i="24"/>
  <c r="G708" i="24"/>
  <c r="G705" i="24"/>
  <c r="G710" i="24"/>
  <c r="G694" i="24"/>
  <c r="G696" i="24"/>
  <c r="G632" i="24"/>
  <c r="G681" i="24"/>
  <c r="G677" i="24"/>
  <c r="F715" i="34" l="1"/>
  <c r="G625" i="34"/>
  <c r="H628" i="24"/>
  <c r="G715" i="24"/>
  <c r="G711" i="34" l="1"/>
  <c r="G710" i="34"/>
  <c r="G699" i="34"/>
  <c r="G681" i="34"/>
  <c r="G646" i="34"/>
  <c r="G691" i="34"/>
  <c r="G701" i="34"/>
  <c r="G636" i="34"/>
  <c r="G630" i="34"/>
  <c r="G633" i="34"/>
  <c r="G643" i="34"/>
  <c r="G639" i="34"/>
  <c r="G703" i="34"/>
  <c r="G702" i="34"/>
  <c r="G692" i="34"/>
  <c r="G673" i="34"/>
  <c r="G645" i="34"/>
  <c r="G683" i="34"/>
  <c r="G685" i="34"/>
  <c r="G679" i="34"/>
  <c r="G627" i="34"/>
  <c r="G644" i="34"/>
  <c r="G682" i="34"/>
  <c r="G695" i="34"/>
  <c r="G694" i="34"/>
  <c r="G684" i="34"/>
  <c r="G686" i="34"/>
  <c r="G629" i="34"/>
  <c r="G709" i="34"/>
  <c r="G635" i="34"/>
  <c r="G637" i="34"/>
  <c r="G690" i="34"/>
  <c r="G640" i="34"/>
  <c r="G671" i="34"/>
  <c r="G713" i="34"/>
  <c r="G712" i="34"/>
  <c r="G676" i="34"/>
  <c r="G678" i="34"/>
  <c r="G626" i="34"/>
  <c r="G707" i="34"/>
  <c r="G687" i="34"/>
  <c r="G693" i="34"/>
  <c r="G672" i="34"/>
  <c r="G634" i="34"/>
  <c r="G632" i="34"/>
  <c r="G697" i="34"/>
  <c r="G706" i="34"/>
  <c r="G705" i="34"/>
  <c r="G704" i="34"/>
  <c r="G696" i="34"/>
  <c r="G670" i="34"/>
  <c r="G716" i="34"/>
  <c r="G688" i="34"/>
  <c r="G677" i="34"/>
  <c r="G642" i="34"/>
  <c r="G631" i="34"/>
  <c r="G628" i="34"/>
  <c r="H628" i="34" s="1"/>
  <c r="G675" i="34"/>
  <c r="G680" i="34"/>
  <c r="G638" i="34"/>
  <c r="G689" i="34"/>
  <c r="G647" i="34"/>
  <c r="G674" i="34"/>
  <c r="G698" i="34"/>
  <c r="G641" i="34"/>
  <c r="G708" i="34"/>
  <c r="G668" i="34"/>
  <c r="G669" i="34"/>
  <c r="G700" i="34"/>
  <c r="H675" i="24"/>
  <c r="H704" i="24"/>
  <c r="H679" i="24"/>
  <c r="H683" i="24"/>
  <c r="H700" i="24"/>
  <c r="H681" i="24"/>
  <c r="H712" i="24"/>
  <c r="H691" i="24"/>
  <c r="H680" i="24"/>
  <c r="H706" i="24"/>
  <c r="H707" i="24"/>
  <c r="H710" i="24"/>
  <c r="H639" i="24"/>
  <c r="H713" i="24"/>
  <c r="H676" i="24"/>
  <c r="H632" i="24"/>
  <c r="H635" i="24"/>
  <c r="H638" i="24"/>
  <c r="H646" i="24"/>
  <c r="H697" i="24"/>
  <c r="H644" i="24"/>
  <c r="H634" i="24"/>
  <c r="H692" i="24"/>
  <c r="H687" i="24"/>
  <c r="H689" i="24"/>
  <c r="H693" i="24"/>
  <c r="H640" i="24"/>
  <c r="H633" i="24"/>
  <c r="H647" i="24"/>
  <c r="H699" i="24"/>
  <c r="H698" i="24"/>
  <c r="H636" i="24"/>
  <c r="H708" i="24"/>
  <c r="H643" i="24"/>
  <c r="H705" i="24"/>
  <c r="H641" i="24"/>
  <c r="H702" i="24"/>
  <c r="H709" i="24"/>
  <c r="H668" i="24"/>
  <c r="H685" i="24"/>
  <c r="H695" i="24"/>
  <c r="H711" i="24"/>
  <c r="H642" i="24"/>
  <c r="H672" i="24"/>
  <c r="H694" i="24"/>
  <c r="H631" i="24"/>
  <c r="H645" i="24"/>
  <c r="H669" i="24"/>
  <c r="H703" i="24"/>
  <c r="H688" i="24"/>
  <c r="H701" i="24"/>
  <c r="H629" i="24"/>
  <c r="H637" i="24"/>
  <c r="H684" i="24"/>
  <c r="H670" i="24"/>
  <c r="H690" i="24"/>
  <c r="H696" i="24"/>
  <c r="H673" i="24"/>
  <c r="H678" i="24"/>
  <c r="H630" i="24"/>
  <c r="H674" i="24"/>
  <c r="H671" i="24"/>
  <c r="H682" i="24"/>
  <c r="H686" i="24"/>
  <c r="H716" i="24"/>
  <c r="H677" i="24"/>
  <c r="H703" i="34" l="1"/>
  <c r="H694" i="34"/>
  <c r="H692" i="34"/>
  <c r="H686" i="34"/>
  <c r="H691" i="34"/>
  <c r="H641" i="34"/>
  <c r="H635" i="34"/>
  <c r="H713" i="34"/>
  <c r="H685" i="34"/>
  <c r="H672" i="34"/>
  <c r="H669" i="34"/>
  <c r="H711" i="34"/>
  <c r="H702" i="34"/>
  <c r="H645" i="34"/>
  <c r="H693" i="34"/>
  <c r="H690" i="34"/>
  <c r="H671" i="34"/>
  <c r="H695" i="34"/>
  <c r="H716" i="34"/>
  <c r="H706" i="34"/>
  <c r="H678" i="34"/>
  <c r="H683" i="34"/>
  <c r="H640" i="34"/>
  <c r="H634" i="34"/>
  <c r="H697" i="34"/>
  <c r="H677" i="34"/>
  <c r="H698" i="34"/>
  <c r="H701" i="34"/>
  <c r="H712" i="34"/>
  <c r="H636" i="34"/>
  <c r="H708" i="34"/>
  <c r="H707" i="34"/>
  <c r="H704" i="34"/>
  <c r="H670" i="34"/>
  <c r="H675" i="34"/>
  <c r="H639" i="34"/>
  <c r="H633" i="34"/>
  <c r="H688" i="34"/>
  <c r="H687" i="34"/>
  <c r="H682" i="34"/>
  <c r="H676" i="34"/>
  <c r="H700" i="34"/>
  <c r="H699" i="34"/>
  <c r="H696" i="34"/>
  <c r="H647" i="34"/>
  <c r="H644" i="34"/>
  <c r="H638" i="34"/>
  <c r="H632" i="34"/>
  <c r="H680" i="34"/>
  <c r="H679" i="34"/>
  <c r="H674" i="34"/>
  <c r="H684" i="34"/>
  <c r="H642" i="34"/>
  <c r="H710" i="34"/>
  <c r="H709" i="34"/>
  <c r="H689" i="34"/>
  <c r="H646" i="34"/>
  <c r="H643" i="34"/>
  <c r="H637" i="34"/>
  <c r="H631" i="34"/>
  <c r="H705" i="34"/>
  <c r="H629" i="34"/>
  <c r="H673" i="34"/>
  <c r="H668" i="34"/>
  <c r="H681" i="34"/>
  <c r="H630" i="34"/>
  <c r="G715" i="34"/>
  <c r="H715" i="24"/>
  <c r="I629" i="24"/>
  <c r="H715" i="34" l="1"/>
  <c r="I629" i="34"/>
  <c r="I630" i="24"/>
  <c r="I691" i="24"/>
  <c r="I693" i="24"/>
  <c r="I705" i="24"/>
  <c r="I687" i="24"/>
  <c r="I669" i="24"/>
  <c r="I689" i="24"/>
  <c r="I685" i="24"/>
  <c r="I713" i="24"/>
  <c r="I677" i="24"/>
  <c r="I683" i="24"/>
  <c r="I637" i="24"/>
  <c r="I707" i="24"/>
  <c r="I645" i="24"/>
  <c r="I636" i="24"/>
  <c r="I644" i="24"/>
  <c r="I694" i="24"/>
  <c r="I631" i="24"/>
  <c r="I672" i="24"/>
  <c r="I642" i="24"/>
  <c r="I698" i="24"/>
  <c r="I697" i="24"/>
  <c r="I668" i="24"/>
  <c r="I700" i="24"/>
  <c r="I678" i="24"/>
  <c r="I641" i="24"/>
  <c r="I695" i="24"/>
  <c r="I646" i="24"/>
  <c r="I708" i="24"/>
  <c r="I712" i="24"/>
  <c r="I639" i="24"/>
  <c r="I634" i="24"/>
  <c r="I681" i="24"/>
  <c r="I682" i="24"/>
  <c r="I673" i="24"/>
  <c r="I704" i="24"/>
  <c r="I711" i="24"/>
  <c r="I670" i="24"/>
  <c r="I699" i="24"/>
  <c r="I688" i="24"/>
  <c r="I692" i="24"/>
  <c r="I675" i="24"/>
  <c r="I635" i="24"/>
  <c r="I680" i="24"/>
  <c r="I706" i="24"/>
  <c r="I671" i="24"/>
  <c r="I716" i="24"/>
  <c r="I690" i="24"/>
  <c r="I676" i="24"/>
  <c r="I703" i="24"/>
  <c r="I710" i="24"/>
  <c r="I643" i="24"/>
  <c r="I674" i="24"/>
  <c r="I632" i="24"/>
  <c r="I684" i="24"/>
  <c r="I679" i="24"/>
  <c r="I696" i="24"/>
  <c r="I709" i="24"/>
  <c r="I702" i="24"/>
  <c r="I701" i="24"/>
  <c r="I633" i="24"/>
  <c r="I647" i="24"/>
  <c r="I640" i="24"/>
  <c r="I686" i="24"/>
  <c r="I638" i="24"/>
  <c r="I708" i="34" l="1"/>
  <c r="I707" i="34"/>
  <c r="I710" i="34"/>
  <c r="I675" i="34"/>
  <c r="I639" i="34"/>
  <c r="I709" i="34"/>
  <c r="I694" i="34"/>
  <c r="I645" i="34"/>
  <c r="I698" i="34"/>
  <c r="I684" i="34"/>
  <c r="I676" i="34"/>
  <c r="I716" i="34"/>
  <c r="I640" i="34"/>
  <c r="I701" i="34"/>
  <c r="I630" i="34"/>
  <c r="I700" i="34"/>
  <c r="I699" i="34"/>
  <c r="I702" i="34"/>
  <c r="I644" i="34"/>
  <c r="I638" i="34"/>
  <c r="I693" i="34"/>
  <c r="I690" i="34"/>
  <c r="I636" i="34"/>
  <c r="I674" i="34"/>
  <c r="I670" i="34"/>
  <c r="I634" i="34"/>
  <c r="I679" i="34"/>
  <c r="I713" i="34"/>
  <c r="I712" i="34"/>
  <c r="I686" i="34"/>
  <c r="I643" i="34"/>
  <c r="I688" i="34"/>
  <c r="I685" i="34"/>
  <c r="I682" i="34"/>
  <c r="I681" i="34"/>
  <c r="I673" i="34"/>
  <c r="I668" i="34"/>
  <c r="I687" i="34"/>
  <c r="I631" i="34"/>
  <c r="I705" i="34"/>
  <c r="I704" i="34"/>
  <c r="I678" i="34"/>
  <c r="I642" i="34"/>
  <c r="I680" i="34"/>
  <c r="I677" i="34"/>
  <c r="I695" i="34"/>
  <c r="I637" i="34"/>
  <c r="I671" i="34"/>
  <c r="I647" i="34"/>
  <c r="I635" i="34"/>
  <c r="I706" i="34"/>
  <c r="I711" i="34"/>
  <c r="I697" i="34"/>
  <c r="I696" i="34"/>
  <c r="I691" i="34"/>
  <c r="I641" i="34"/>
  <c r="I672" i="34"/>
  <c r="I703" i="34"/>
  <c r="I689" i="34"/>
  <c r="I646" i="34"/>
  <c r="I669" i="34"/>
  <c r="I632" i="34"/>
  <c r="I633" i="34"/>
  <c r="I683" i="34"/>
  <c r="I692" i="34"/>
  <c r="I715" i="24"/>
  <c r="J630" i="24"/>
  <c r="I715" i="34" l="1"/>
  <c r="J630" i="34"/>
  <c r="J690" i="24"/>
  <c r="J705" i="24"/>
  <c r="J688" i="24"/>
  <c r="J692" i="24"/>
  <c r="J672" i="24"/>
  <c r="J643" i="24"/>
  <c r="J691" i="24"/>
  <c r="J673" i="24"/>
  <c r="J669" i="24"/>
  <c r="J706" i="24"/>
  <c r="J633" i="24"/>
  <c r="J687" i="24"/>
  <c r="J684" i="24"/>
  <c r="J632" i="24"/>
  <c r="J700" i="24"/>
  <c r="J708" i="24"/>
  <c r="J675" i="24"/>
  <c r="J641" i="24"/>
  <c r="J713" i="24"/>
  <c r="J644" i="24"/>
  <c r="J676" i="24"/>
  <c r="J645" i="24"/>
  <c r="J642" i="24"/>
  <c r="J680" i="24"/>
  <c r="J635" i="24"/>
  <c r="J631" i="24"/>
  <c r="J686" i="24"/>
  <c r="J679" i="24"/>
  <c r="J693" i="24"/>
  <c r="J698" i="24"/>
  <c r="J689" i="24"/>
  <c r="J695" i="24"/>
  <c r="J638" i="24"/>
  <c r="J697" i="24"/>
  <c r="J681" i="24"/>
  <c r="J696" i="24"/>
  <c r="J707" i="24"/>
  <c r="J639" i="24"/>
  <c r="J716" i="24"/>
  <c r="J685" i="24"/>
  <c r="J674" i="24"/>
  <c r="J709" i="24"/>
  <c r="J647" i="24"/>
  <c r="J646" i="24"/>
  <c r="J636" i="24"/>
  <c r="J699" i="24"/>
  <c r="J640" i="24"/>
  <c r="J678" i="24"/>
  <c r="J710" i="24"/>
  <c r="J668" i="24"/>
  <c r="J682" i="24"/>
  <c r="J634" i="24"/>
  <c r="J712" i="24"/>
  <c r="J637" i="24"/>
  <c r="J702" i="24"/>
  <c r="J670" i="24"/>
  <c r="J701" i="24"/>
  <c r="J694" i="24"/>
  <c r="J671" i="24"/>
  <c r="J677" i="24"/>
  <c r="J683" i="24"/>
  <c r="J703" i="24"/>
  <c r="J704" i="24"/>
  <c r="J711" i="24"/>
  <c r="J705" i="34" l="1"/>
  <c r="J704" i="34"/>
  <c r="J703" i="34"/>
  <c r="J675" i="34"/>
  <c r="J685" i="34"/>
  <c r="J698" i="34"/>
  <c r="J646" i="34"/>
  <c r="J631" i="34"/>
  <c r="J686" i="34"/>
  <c r="J635" i="34"/>
  <c r="J692" i="34"/>
  <c r="J711" i="34"/>
  <c r="J682" i="34"/>
  <c r="J697" i="34"/>
  <c r="J696" i="34"/>
  <c r="J708" i="34"/>
  <c r="J688" i="34"/>
  <c r="J677" i="34"/>
  <c r="J687" i="34"/>
  <c r="J674" i="34"/>
  <c r="J684" i="34"/>
  <c r="J643" i="34"/>
  <c r="J695" i="34"/>
  <c r="J676" i="34"/>
  <c r="J712" i="34"/>
  <c r="J700" i="34"/>
  <c r="J638" i="34"/>
  <c r="J710" i="34"/>
  <c r="J709" i="34"/>
  <c r="J706" i="34"/>
  <c r="J680" i="34"/>
  <c r="J669" i="34"/>
  <c r="J679" i="34"/>
  <c r="J673" i="34"/>
  <c r="J670" i="34"/>
  <c r="J639" i="34"/>
  <c r="J689" i="34"/>
  <c r="J678" i="34"/>
  <c r="J713" i="34"/>
  <c r="J637" i="34"/>
  <c r="J634" i="34"/>
  <c r="J702" i="34"/>
  <c r="J701" i="34"/>
  <c r="J699" i="34"/>
  <c r="J672" i="34"/>
  <c r="J707" i="34"/>
  <c r="J681" i="34"/>
  <c r="J671" i="34"/>
  <c r="J668" i="34"/>
  <c r="J633" i="34"/>
  <c r="J645" i="34"/>
  <c r="J683" i="34"/>
  <c r="J632" i="34"/>
  <c r="J694" i="34"/>
  <c r="J693" i="34"/>
  <c r="J691" i="34"/>
  <c r="J716" i="34"/>
  <c r="J690" i="34"/>
  <c r="J641" i="34"/>
  <c r="J642" i="34"/>
  <c r="J647" i="34"/>
  <c r="J644" i="34"/>
  <c r="J636" i="34"/>
  <c r="J640" i="34"/>
  <c r="L647" i="24"/>
  <c r="L677" i="24" s="1"/>
  <c r="K644" i="24"/>
  <c r="K710" i="24" s="1"/>
  <c r="J715" i="24"/>
  <c r="K644" i="34" l="1"/>
  <c r="K709" i="34" s="1"/>
  <c r="J715" i="34"/>
  <c r="L647" i="34"/>
  <c r="L668" i="24"/>
  <c r="K682" i="24"/>
  <c r="K679" i="24"/>
  <c r="L694" i="24"/>
  <c r="K674" i="24"/>
  <c r="L685" i="24"/>
  <c r="L705" i="24"/>
  <c r="L674" i="24"/>
  <c r="L681" i="24"/>
  <c r="L672" i="24"/>
  <c r="L697" i="24"/>
  <c r="L692" i="24"/>
  <c r="L704" i="24"/>
  <c r="L675" i="24"/>
  <c r="L689" i="24"/>
  <c r="L713" i="24"/>
  <c r="L703" i="24"/>
  <c r="L684" i="24"/>
  <c r="L709" i="24"/>
  <c r="L688" i="24"/>
  <c r="L695" i="24"/>
  <c r="L678" i="24"/>
  <c r="L679" i="24"/>
  <c r="L682" i="24"/>
  <c r="M682" i="24" s="1"/>
  <c r="C87" i="32" s="1"/>
  <c r="L680" i="24"/>
  <c r="L690" i="24"/>
  <c r="L686" i="24"/>
  <c r="L670" i="24"/>
  <c r="L707" i="24"/>
  <c r="L710" i="24"/>
  <c r="M710" i="24" s="1"/>
  <c r="C215" i="32" s="1"/>
  <c r="L701" i="24"/>
  <c r="L698" i="24"/>
  <c r="L693" i="24"/>
  <c r="L716" i="24"/>
  <c r="L699" i="24"/>
  <c r="L669" i="24"/>
  <c r="L687" i="24"/>
  <c r="L683" i="24"/>
  <c r="L673" i="24"/>
  <c r="L691" i="24"/>
  <c r="L671" i="24"/>
  <c r="L696" i="24"/>
  <c r="L712" i="24"/>
  <c r="L676" i="24"/>
  <c r="L708" i="24"/>
  <c r="L702" i="24"/>
  <c r="L706" i="24"/>
  <c r="L711" i="24"/>
  <c r="L700" i="24"/>
  <c r="K698" i="24"/>
  <c r="M698" i="24" s="1"/>
  <c r="E151" i="32" s="1"/>
  <c r="K694" i="24"/>
  <c r="K699" i="24"/>
  <c r="K683" i="24"/>
  <c r="K706" i="24"/>
  <c r="K697" i="24"/>
  <c r="K713" i="24"/>
  <c r="K672" i="24"/>
  <c r="K708" i="24"/>
  <c r="K671" i="24"/>
  <c r="M671" i="24" s="1"/>
  <c r="F23" i="32" s="1"/>
  <c r="K702" i="24"/>
  <c r="K689" i="24"/>
  <c r="K685" i="24"/>
  <c r="K705" i="24"/>
  <c r="K688" i="24"/>
  <c r="K675" i="24"/>
  <c r="K692" i="24"/>
  <c r="M692" i="24" s="1"/>
  <c r="F55" i="32" s="1"/>
  <c r="K693" i="24"/>
  <c r="K673" i="24"/>
  <c r="K701" i="24"/>
  <c r="K709" i="24"/>
  <c r="K686" i="24"/>
  <c r="K691" i="24"/>
  <c r="K690" i="24"/>
  <c r="K680" i="24"/>
  <c r="K677" i="24"/>
  <c r="M677" i="24" s="1"/>
  <c r="K676" i="24"/>
  <c r="K669" i="24"/>
  <c r="K678" i="24"/>
  <c r="K712" i="24"/>
  <c r="K707" i="24"/>
  <c r="K703" i="24"/>
  <c r="K670" i="24"/>
  <c r="M670" i="24" s="1"/>
  <c r="E23" i="32" s="1"/>
  <c r="K704" i="24"/>
  <c r="K716" i="24"/>
  <c r="K696" i="24"/>
  <c r="K695" i="24"/>
  <c r="K681" i="24"/>
  <c r="K687" i="24"/>
  <c r="K684" i="24"/>
  <c r="K668" i="24"/>
  <c r="K711" i="24"/>
  <c r="K700" i="24"/>
  <c r="M681" i="24" l="1"/>
  <c r="I55" i="32" s="1"/>
  <c r="M712" i="24"/>
  <c r="E215" i="32" s="1"/>
  <c r="M701" i="24"/>
  <c r="H151" i="32" s="1"/>
  <c r="M705" i="24"/>
  <c r="E183" i="32" s="1"/>
  <c r="M678" i="24"/>
  <c r="M691" i="24"/>
  <c r="E55" i="32" s="1"/>
  <c r="M702" i="24"/>
  <c r="I151" i="32" s="1"/>
  <c r="M706" i="24"/>
  <c r="F183" i="32" s="1"/>
  <c r="L715" i="24"/>
  <c r="M700" i="24"/>
  <c r="G151" i="32" s="1"/>
  <c r="M695" i="24"/>
  <c r="I119" i="32" s="1"/>
  <c r="M680" i="24"/>
  <c r="H55" i="32" s="1"/>
  <c r="M673" i="24"/>
  <c r="H23" i="32" s="1"/>
  <c r="K697" i="34"/>
  <c r="K698" i="34"/>
  <c r="K700" i="34"/>
  <c r="K672" i="34"/>
  <c r="K716" i="34"/>
  <c r="K671" i="34"/>
  <c r="K702" i="34"/>
  <c r="K691" i="34"/>
  <c r="K683" i="34"/>
  <c r="K680" i="34"/>
  <c r="K688" i="34"/>
  <c r="K704" i="34"/>
  <c r="K678" i="34"/>
  <c r="K706" i="34"/>
  <c r="K686" i="34"/>
  <c r="K689" i="34"/>
  <c r="K668" i="34"/>
  <c r="K687" i="34"/>
  <c r="K670" i="34"/>
  <c r="K707" i="34"/>
  <c r="K705" i="34"/>
  <c r="K694" i="34"/>
  <c r="K674" i="34"/>
  <c r="K673" i="34"/>
  <c r="K710" i="34"/>
  <c r="K690" i="34"/>
  <c r="K703" i="34"/>
  <c r="K693" i="34"/>
  <c r="K699" i="34"/>
  <c r="K682" i="34"/>
  <c r="K675" i="34"/>
  <c r="K669" i="34"/>
  <c r="K708" i="34"/>
  <c r="K692" i="34"/>
  <c r="K695" i="34"/>
  <c r="K712" i="34"/>
  <c r="K701" i="34"/>
  <c r="K684" i="34"/>
  <c r="K681" i="34"/>
  <c r="K711" i="34"/>
  <c r="K685" i="34"/>
  <c r="K713" i="34"/>
  <c r="K679" i="34"/>
  <c r="K676" i="34"/>
  <c r="K677" i="34"/>
  <c r="K696" i="34"/>
  <c r="L707" i="34"/>
  <c r="L698" i="34"/>
  <c r="L702" i="34"/>
  <c r="M702" i="34" s="1"/>
  <c r="L690" i="34"/>
  <c r="L679" i="34"/>
  <c r="L681" i="34"/>
  <c r="L668" i="34"/>
  <c r="L680" i="34"/>
  <c r="L699" i="34"/>
  <c r="L711" i="34"/>
  <c r="L700" i="34"/>
  <c r="M700" i="34" s="1"/>
  <c r="L682" i="34"/>
  <c r="L671" i="34"/>
  <c r="L708" i="34"/>
  <c r="M708" i="34" s="1"/>
  <c r="L686" i="34"/>
  <c r="L676" i="34"/>
  <c r="M676" i="34" s="1"/>
  <c r="L706" i="34"/>
  <c r="L687" i="34"/>
  <c r="L712" i="34"/>
  <c r="L703" i="34"/>
  <c r="M703" i="34" s="1"/>
  <c r="L685" i="34"/>
  <c r="L674" i="34"/>
  <c r="L701" i="34"/>
  <c r="L691" i="34"/>
  <c r="L669" i="34"/>
  <c r="L710" i="34"/>
  <c r="L693" i="34"/>
  <c r="L675" i="34"/>
  <c r="M675" i="34" s="1"/>
  <c r="L704" i="34"/>
  <c r="L695" i="34"/>
  <c r="L677" i="34"/>
  <c r="L709" i="34"/>
  <c r="M709" i="34" s="1"/>
  <c r="L692" i="34"/>
  <c r="L673" i="34"/>
  <c r="L688" i="34"/>
  <c r="L683" i="34"/>
  <c r="M683" i="34" s="1"/>
  <c r="L716" i="34"/>
  <c r="L705" i="34"/>
  <c r="M705" i="34" s="1"/>
  <c r="L689" i="34"/>
  <c r="L696" i="34"/>
  <c r="L713" i="34"/>
  <c r="L697" i="34"/>
  <c r="L694" i="34"/>
  <c r="L684" i="34"/>
  <c r="L672" i="34"/>
  <c r="L678" i="34"/>
  <c r="M678" i="34" s="1"/>
  <c r="L670" i="34"/>
  <c r="M704" i="24"/>
  <c r="D183" i="32" s="1"/>
  <c r="M686" i="24"/>
  <c r="G87" i="32" s="1"/>
  <c r="M675" i="24"/>
  <c r="C55" i="32" s="1"/>
  <c r="M687" i="24"/>
  <c r="H87" i="32" s="1"/>
  <c r="M703" i="24"/>
  <c r="C183" i="32" s="1"/>
  <c r="M672" i="24"/>
  <c r="G23" i="32" s="1"/>
  <c r="M694" i="24"/>
  <c r="H119" i="32" s="1"/>
  <c r="M713" i="24"/>
  <c r="F215" i="32" s="1"/>
  <c r="M707" i="24"/>
  <c r="G183" i="32" s="1"/>
  <c r="M683" i="24"/>
  <c r="D87" i="32" s="1"/>
  <c r="M674" i="24"/>
  <c r="I23" i="32" s="1"/>
  <c r="M684" i="24"/>
  <c r="E87" i="32" s="1"/>
  <c r="M676" i="24"/>
  <c r="D55" i="32" s="1"/>
  <c r="M709" i="24"/>
  <c r="I183" i="32" s="1"/>
  <c r="M688" i="24"/>
  <c r="I87" i="32" s="1"/>
  <c r="M708" i="24"/>
  <c r="H183" i="32" s="1"/>
  <c r="M690" i="24"/>
  <c r="D119" i="32" s="1"/>
  <c r="M669" i="24"/>
  <c r="D23" i="32" s="1"/>
  <c r="M699" i="24"/>
  <c r="F151" i="32" s="1"/>
  <c r="M679" i="24"/>
  <c r="M711" i="24"/>
  <c r="D215" i="32" s="1"/>
  <c r="M696" i="24"/>
  <c r="C151" i="32" s="1"/>
  <c r="M685" i="24"/>
  <c r="F87" i="32" s="1"/>
  <c r="M693" i="24"/>
  <c r="G119" i="32" s="1"/>
  <c r="M689" i="24"/>
  <c r="C119" i="32" s="1"/>
  <c r="M697" i="24"/>
  <c r="D151" i="32" s="1"/>
  <c r="K715" i="24"/>
  <c r="F119" i="32"/>
  <c r="M668" i="24"/>
  <c r="E119" i="32" l="1"/>
  <c r="M715" i="24"/>
  <c r="M690" i="34"/>
  <c r="M698" i="34"/>
  <c r="M684" i="34"/>
  <c r="M710" i="34"/>
  <c r="M697" i="34"/>
  <c r="M670" i="34"/>
  <c r="M701" i="34"/>
  <c r="M669" i="34"/>
  <c r="M707" i="34"/>
  <c r="M691" i="34"/>
  <c r="M706" i="34"/>
  <c r="M679" i="34"/>
  <c r="M681" i="34"/>
  <c r="M688" i="34"/>
  <c r="M695" i="34"/>
  <c r="M694" i="34"/>
  <c r="M677" i="34"/>
  <c r="M674" i="34"/>
  <c r="M686" i="34"/>
  <c r="K715" i="34"/>
  <c r="M685" i="34"/>
  <c r="M699" i="34"/>
  <c r="M712" i="34"/>
  <c r="M671" i="34"/>
  <c r="M713" i="34"/>
  <c r="M704" i="34"/>
  <c r="M687" i="34"/>
  <c r="M682" i="34"/>
  <c r="M696" i="34"/>
  <c r="M673" i="34"/>
  <c r="M711" i="34"/>
  <c r="M672" i="34"/>
  <c r="M689" i="34"/>
  <c r="M692" i="34"/>
  <c r="M693" i="34"/>
  <c r="M680" i="34"/>
  <c r="L715" i="34"/>
  <c r="M668" i="34"/>
  <c r="G55" i="32"/>
  <c r="C23" i="32"/>
  <c r="M715" i="34" l="1"/>
</calcChain>
</file>

<file path=xl/sharedStrings.xml><?xml version="1.0" encoding="utf-8"?>
<sst xmlns="http://schemas.openxmlformats.org/spreadsheetml/2006/main" count="4836" uniqueCount="1379">
  <si>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</si>
  <si>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</si>
  <si>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</si>
  <si>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</si>
  <si>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</si>
  <si>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</si>
  <si>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</si>
  <si>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</si>
  <si>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</si>
  <si>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</si>
  <si>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</si>
  <si>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</si>
  <si>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</si>
  <si>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</si>
  <si>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</si>
  <si>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</si>
  <si>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</si>
  <si>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</si>
  <si>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</si>
  <si>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</si>
  <si>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</si>
  <si>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</si>
  <si>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</si>
  <si>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</si>
  <si>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</si>
  <si>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</si>
  <si>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</si>
  <si>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</si>
  <si>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</si>
  <si>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</si>
  <si>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</si>
  <si>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</si>
  <si>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</si>
  <si>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</si>
  <si>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</si>
  <si>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</si>
  <si>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</si>
  <si>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</si>
  <si>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</si>
  <si>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</si>
  <si>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</si>
  <si>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</si>
  <si>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</si>
  <si>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</si>
  <si>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</si>
  <si>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</si>
  <si>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</si>
  <si>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</si>
  <si>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</si>
  <si>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</si>
  <si>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</si>
  <si>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</si>
  <si>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</si>
  <si>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</si>
  <si>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</si>
  <si>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</si>
  <si>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</si>
  <si>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</si>
  <si>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</si>
  <si>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</si>
  <si>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</si>
  <si>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</si>
  <si>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</si>
  <si>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</si>
  <si>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</si>
  <si>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</si>
  <si>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</si>
  <si>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</si>
  <si>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</si>
  <si>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</si>
  <si>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</si>
  <si>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</si>
  <si>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</si>
  <si>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</si>
  <si>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</si>
  <si>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</si>
  <si>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</si>
  <si>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</si>
  <si>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</si>
  <si>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</si>
  <si>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</si>
  <si>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</si>
  <si>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</si>
  <si>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</si>
  <si>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</si>
  <si>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</si>
  <si>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</si>
  <si>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</si>
  <si>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</si>
  <si>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</si>
  <si>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</si>
  <si>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</si>
  <si>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</si>
  <si>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</si>
  <si>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</si>
  <si>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</si>
  <si>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</si>
  <si>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</si>
  <si>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</si>
  <si>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</si>
  <si>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</si>
  <si>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</si>
  <si>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</si>
  <si>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</si>
  <si>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</si>
  <si>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</si>
  <si>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</si>
  <si>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</si>
  <si>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</si>
  <si>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</si>
  <si>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</si>
  <si>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</si>
  <si>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</si>
  <si>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</si>
  <si>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</si>
  <si>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</si>
  <si>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</si>
  <si>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</si>
  <si>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</si>
  <si>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</si>
  <si>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</si>
  <si>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</si>
  <si>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</si>
  <si>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</si>
  <si>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</si>
  <si>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</si>
  <si>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</si>
  <si>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</si>
  <si>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</si>
  <si>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</si>
  <si>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</si>
  <si>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</si>
  <si>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</si>
  <si>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</si>
  <si>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</si>
  <si>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</si>
  <si>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</si>
  <si>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</si>
  <si>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</si>
  <si>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</si>
  <si>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</si>
  <si>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</si>
  <si>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</si>
  <si>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</si>
  <si>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</si>
  <si>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</si>
  <si>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</si>
  <si>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</si>
  <si>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</si>
  <si>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</si>
  <si>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</si>
  <si>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</si>
  <si>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</si>
  <si>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</si>
  <si>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</si>
  <si>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</si>
  <si>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</si>
  <si>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</si>
  <si>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</si>
  <si>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</si>
  <si>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</si>
  <si>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</si>
  <si>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</si>
  <si>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</si>
  <si>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</si>
  <si>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</si>
  <si>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</si>
  <si>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</si>
  <si>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</si>
  <si>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</si>
  <si>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</si>
  <si>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</si>
  <si>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</si>
  <si>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</si>
  <si>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</si>
  <si>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</si>
  <si>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</si>
  <si>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</si>
  <si>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</si>
  <si>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</si>
  <si>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</si>
  <si>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</si>
  <si>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</si>
  <si>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</si>
  <si>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</si>
  <si>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</si>
  <si>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</si>
  <si>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</si>
  <si>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</si>
  <si>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</si>
  <si>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</si>
  <si>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</si>
  <si>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</si>
  <si>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</si>
  <si>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</si>
  <si>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</si>
  <si>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</si>
  <si>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</si>
  <si>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</si>
  <si>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</si>
  <si>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</si>
  <si>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</si>
  <si>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</si>
  <si>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</si>
  <si>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</si>
  <si>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</si>
  <si>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</si>
  <si>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</si>
  <si>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</si>
  <si>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</si>
  <si>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</si>
  <si>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</si>
  <si>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</si>
  <si>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</si>
  <si>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</si>
  <si>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</si>
  <si>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</si>
  <si>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</si>
  <si>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</si>
  <si>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</si>
  <si>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</si>
  <si>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</si>
  <si>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</si>
  <si>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</si>
  <si>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</si>
  <si>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</si>
  <si>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</si>
  <si>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</si>
  <si>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</si>
  <si>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</si>
  <si>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</si>
  <si>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</si>
  <si>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</si>
  <si>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</si>
  <si>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</si>
  <si>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</si>
  <si>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</si>
  <si>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</si>
  <si>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</si>
  <si>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</si>
  <si>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</si>
  <si>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</si>
  <si>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</si>
  <si>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</si>
  <si>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</si>
  <si>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</si>
  <si>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</si>
  <si>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</si>
  <si>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</si>
  <si>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</si>
  <si>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</si>
  <si>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</si>
  <si>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</si>
  <si>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</si>
  <si>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</si>
  <si>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</si>
  <si>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</si>
  <si>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</si>
  <si>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</si>
  <si>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</si>
  <si>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</si>
  <si>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</si>
  <si>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</si>
  <si>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</si>
  <si>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</si>
  <si>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</si>
  <si>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</si>
  <si>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</si>
  <si>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</si>
  <si>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</si>
  <si>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</si>
  <si>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</si>
  <si>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</si>
  <si>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</si>
  <si>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</si>
  <si>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</si>
  <si>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</si>
  <si>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</si>
  <si>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</si>
  <si>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</si>
  <si>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</si>
  <si>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</si>
  <si>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</si>
  <si>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</si>
  <si>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</si>
  <si>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</si>
  <si>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</si>
  <si>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</si>
  <si>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</si>
  <si>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</si>
  <si>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</si>
  <si>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</si>
  <si>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</si>
  <si>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</si>
  <si>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</si>
  <si>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</si>
  <si>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</si>
  <si>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</si>
  <si>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</si>
  <si>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</si>
  <si>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</si>
  <si>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</si>
  <si>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</si>
  <si>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</si>
  <si>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</si>
  <si>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</si>
  <si>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</si>
  <si>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</si>
  <si>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</si>
  <si>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</si>
  <si>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</si>
  <si>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</si>
  <si>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</si>
  <si>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</si>
  <si>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</si>
  <si>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</si>
  <si>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</si>
  <si>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</si>
  <si>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</si>
  <si>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</si>
  <si>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</si>
  <si>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</si>
  <si>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</si>
  <si>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</si>
  <si>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</si>
  <si>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</si>
  <si>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</si>
  <si>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</si>
  <si>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</si>
  <si>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</si>
  <si>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</si>
  <si>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</si>
  <si>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</si>
  <si>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</si>
  <si>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</si>
  <si>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</si>
  <si>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</si>
  <si>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</si>
  <si>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</si>
  <si>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</si>
  <si>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</si>
  <si>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</si>
  <si>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</si>
  <si>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</si>
  <si>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</si>
  <si>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</si>
  <si>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</si>
  <si>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</si>
  <si>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</si>
  <si>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</si>
  <si>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</si>
  <si>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</si>
  <si>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</si>
  <si>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</si>
  <si>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</si>
  <si>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</si>
  <si>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</si>
  <si>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</si>
  <si>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</si>
  <si>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</si>
  <si>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</si>
  <si>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</si>
  <si>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</si>
  <si>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</si>
  <si>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</si>
  <si>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</si>
  <si>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</si>
  <si>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</si>
  <si>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</si>
  <si>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</si>
  <si>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</si>
  <si>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</si>
  <si>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</si>
  <si>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</si>
  <si>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</si>
  <si>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</si>
  <si>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</si>
  <si>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</si>
  <si>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</si>
  <si>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</si>
  <si>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</si>
  <si>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</si>
  <si>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</si>
  <si>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</si>
  <si>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</si>
  <si>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</si>
  <si>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</si>
  <si>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</si>
  <si>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</si>
  <si>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</si>
  <si>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</si>
  <si>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</si>
  <si>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</si>
  <si>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</si>
  <si>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</si>
  <si>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</si>
  <si>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</si>
  <si>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</si>
  <si>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</si>
  <si>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</si>
  <si>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</si>
  <si>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</si>
  <si>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</si>
  <si>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</si>
  <si>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</si>
  <si>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</si>
  <si>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</si>
  <si>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</si>
  <si>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</si>
  <si>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</si>
  <si>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</si>
  <si>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</si>
  <si>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</si>
  <si>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</si>
  <si>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</si>
  <si>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</si>
  <si>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</si>
  <si>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</si>
  <si>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</si>
  <si>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</si>
  <si>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</si>
  <si>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</si>
  <si>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</si>
  <si>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</si>
  <si>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</si>
  <si>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</si>
  <si>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</si>
  <si>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</si>
  <si>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</si>
  <si>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</si>
  <si>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</si>
  <si>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</si>
  <si>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</si>
  <si>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</si>
  <si>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</si>
  <si>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</si>
  <si>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</si>
  <si>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</si>
  <si>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</si>
  <si>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</si>
  <si>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</si>
  <si>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</si>
  <si>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</si>
  <si>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</si>
  <si>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</si>
  <si>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</si>
  <si>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</si>
  <si>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</si>
  <si>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</si>
  <si>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</si>
  <si>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</si>
  <si>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</si>
  <si>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</si>
  <si>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</si>
  <si>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</si>
  <si>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</si>
  <si>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</si>
  <si>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</si>
  <si>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</si>
  <si>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</si>
  <si>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</si>
  <si>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</si>
  <si>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</si>
  <si>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</si>
  <si>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</si>
  <si>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</si>
  <si>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</si>
  <si>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</si>
  <si>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</si>
  <si>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</si>
  <si>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</si>
  <si>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</si>
  <si>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</si>
  <si>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</si>
  <si>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</si>
  <si>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</si>
  <si>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</si>
  <si>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</si>
  <si>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</si>
  <si>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</si>
  <si>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</si>
  <si>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</si>
  <si>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</si>
  <si>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</si>
  <si>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</si>
  <si>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</si>
  <si>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</si>
  <si>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</si>
  <si>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</si>
  <si>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</si>
  <si>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</si>
  <si>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</si>
  <si>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</si>
  <si>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</si>
  <si>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</si>
  <si>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</si>
  <si>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</si>
  <si>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</si>
  <si>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</si>
  <si>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</si>
  <si>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</si>
  <si>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</si>
  <si>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</si>
  <si>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</si>
  <si>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</si>
  <si>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</si>
  <si>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</si>
  <si>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</si>
  <si>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</si>
  <si>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</si>
  <si>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</si>
  <si>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</si>
  <si>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</si>
  <si>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</si>
  <si>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</si>
  <si>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</si>
  <si>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</si>
  <si>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</si>
  <si>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</si>
  <si>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</si>
  <si>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</si>
  <si>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</si>
  <si>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</si>
  <si>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</si>
  <si>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</si>
  <si>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</si>
  <si>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</si>
  <si>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</si>
  <si>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</si>
  <si>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</si>
  <si>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</si>
  <si>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</si>
  <si>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</si>
  <si>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</si>
  <si>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</si>
  <si>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</si>
  <si>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</si>
  <si>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</si>
  <si>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</si>
  <si>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</si>
  <si>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</si>
  <si>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</si>
  <si>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</si>
  <si>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</si>
  <si>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</si>
  <si>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</si>
  <si>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</si>
  <si>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</si>
  <si>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</si>
  <si>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</si>
  <si>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</si>
  <si>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</si>
  <si>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</si>
  <si>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</si>
  <si>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</si>
  <si>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</si>
  <si>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</si>
  <si>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</si>
  <si>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</si>
  <si>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</si>
  <si>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</si>
  <si>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</si>
  <si>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</si>
  <si>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</si>
  <si>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</si>
  <si>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</si>
  <si>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</si>
  <si>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</si>
  <si>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</si>
  <si>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</si>
  <si>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</si>
  <si>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</si>
  <si>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</si>
  <si>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</si>
  <si>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</si>
  <si>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</si>
  <si>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</si>
  <si>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</si>
  <si>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</si>
  <si>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</si>
  <si>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</si>
  <si>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</si>
  <si>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</si>
  <si>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</si>
  <si>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</si>
  <si>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</si>
  <si>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</si>
  <si>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</si>
  <si>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</si>
  <si>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</si>
  <si>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</si>
  <si>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</si>
  <si>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</si>
  <si>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</si>
  <si>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</si>
  <si>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</si>
  <si>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</si>
  <si>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</si>
  <si>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</si>
  <si>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</si>
  <si>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</si>
  <si>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</si>
  <si>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</si>
  <si>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</si>
  <si>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</si>
  <si>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</si>
  <si>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</si>
  <si>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</si>
  <si>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</si>
  <si>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</si>
  <si>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</si>
  <si>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</si>
  <si>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</si>
  <si>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</si>
  <si>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</si>
  <si>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</si>
  <si>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</si>
  <si>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</si>
  <si>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</si>
  <si>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</si>
  <si>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</si>
  <si>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</si>
  <si>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</si>
  <si>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</si>
  <si>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</si>
  <si>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</si>
  <si>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</si>
  <si>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</si>
  <si>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</si>
  <si>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</si>
  <si>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</si>
  <si>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</si>
  <si>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</si>
  <si>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</si>
  <si>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</si>
  <si>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</si>
  <si>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</si>
  <si>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</si>
  <si>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</si>
  <si>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</si>
  <si>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</si>
  <si>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</si>
  <si>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</si>
  <si>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</si>
  <si>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</si>
  <si>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</si>
  <si>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</si>
  <si>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</si>
  <si>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</si>
  <si>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</si>
  <si>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</si>
  <si>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</si>
  <si>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</si>
  <si>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</si>
  <si>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</si>
  <si>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</si>
  <si>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</si>
  <si>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</si>
  <si>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</si>
  <si>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</si>
  <si>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</si>
  <si>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</si>
  <si>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</si>
  <si>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</si>
  <si>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</si>
  <si>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</si>
  <si>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</si>
  <si>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</si>
  <si>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</si>
  <si>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</si>
  <si>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</si>
  <si>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</si>
  <si>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</si>
  <si>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</si>
  <si>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</si>
  <si>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</si>
  <si>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</si>
  <si>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</si>
  <si>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</si>
  <si>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</si>
  <si>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</si>
  <si>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</si>
  <si>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</si>
  <si>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</si>
  <si>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</si>
  <si>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</si>
  <si>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</si>
  <si>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</si>
  <si>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</si>
  <si>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</si>
  <si>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</si>
  <si>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</si>
  <si>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</si>
  <si>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</si>
  <si>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</si>
  <si>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</si>
  <si>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</si>
  <si>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</si>
  <si>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</si>
  <si>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</si>
  <si>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</si>
  <si>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</si>
  <si>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</si>
  <si>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</si>
  <si>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</si>
  <si>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</si>
  <si>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</si>
  <si>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</si>
  <si>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</si>
  <si>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</si>
  <si>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</si>
  <si>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</si>
  <si>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</si>
  <si>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</si>
  <si>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</si>
  <si>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</si>
  <si>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</si>
  <si>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</si>
  <si>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</si>
  <si>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</si>
  <si>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</si>
  <si>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</si>
  <si>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</si>
  <si>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</si>
  <si>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</si>
  <si>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</si>
  <si>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</si>
  <si>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</si>
  <si>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</si>
  <si>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</si>
  <si>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</si>
  <si>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</si>
  <si>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</si>
  <si>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</si>
  <si>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</si>
  <si>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</si>
  <si>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</si>
  <si>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</si>
  <si>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</si>
  <si>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</si>
  <si>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</si>
  <si>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</si>
  <si>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</si>
  <si>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</si>
  <si>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</si>
  <si>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</si>
  <si>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</si>
  <si>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</si>
  <si>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</si>
  <si>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</si>
  <si>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</si>
  <si>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</si>
  <si>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</si>
  <si>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</si>
  <si>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</si>
  <si>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</si>
  <si>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</si>
  <si>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</si>
  <si>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</si>
  <si>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</si>
  <si>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</si>
  <si>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</si>
  <si>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</si>
  <si>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</si>
  <si>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</si>
  <si>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</si>
  <si>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</si>
  <si>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</si>
  <si>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</si>
  <si>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</si>
  <si>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</si>
  <si>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</si>
  <si>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</si>
  <si>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</si>
  <si>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</si>
  <si>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</si>
  <si>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</si>
  <si>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</si>
  <si>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</si>
  <si>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</si>
  <si>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</si>
  <si>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</si>
  <si>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</si>
  <si>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</si>
  <si>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</si>
  <si>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</si>
  <si>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</si>
  <si>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</si>
  <si>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</si>
  <si>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</si>
  <si>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</si>
  <si>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</si>
  <si>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</si>
  <si>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</si>
  <si>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</si>
  <si>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</si>
  <si>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</si>
  <si>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</si>
  <si>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</si>
  <si>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</si>
  <si>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</si>
  <si>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</si>
  <si>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</si>
  <si>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</si>
  <si>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</si>
  <si>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</si>
  <si>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</si>
  <si>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</si>
  <si>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</si>
  <si>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</si>
  <si>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</si>
  <si>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</si>
  <si>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</si>
  <si>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</si>
  <si>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</si>
  <si>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</si>
  <si>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</si>
  <si>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</si>
  <si>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</si>
  <si>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</si>
  <si>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</si>
  <si>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</si>
  <si>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</si>
  <si>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</si>
  <si>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</si>
  <si>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</si>
  <si>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</si>
  <si>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</si>
  <si>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</si>
  <si>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</si>
  <si>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</si>
  <si>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</si>
  <si>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</si>
  <si>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</si>
  <si>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</si>
  <si>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</si>
  <si>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</si>
  <si>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</si>
  <si>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</si>
  <si>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</si>
  <si>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</si>
  <si>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</si>
  <si>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</si>
  <si>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</si>
  <si>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</si>
  <si>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</si>
  <si>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</si>
  <si>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</si>
  <si>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</si>
  <si>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</si>
  <si>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</si>
  <si>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</si>
  <si>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</si>
  <si>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</si>
  <si>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</si>
  <si>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</si>
  <si>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</si>
  <si>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</si>
  <si>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</si>
  <si>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</si>
  <si>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</si>
  <si>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</si>
  <si>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</si>
  <si>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</si>
  <si>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</si>
  <si>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</si>
  <si>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</si>
  <si>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</si>
  <si>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</si>
  <si>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</si>
  <si>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</si>
  <si>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</si>
  <si>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</si>
  <si>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</si>
  <si>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</si>
  <si>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</si>
  <si>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</si>
  <si>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</si>
  <si>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</si>
  <si>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</si>
  <si>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</si>
  <si>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</si>
  <si>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</si>
  <si>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</si>
  <si>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</si>
  <si>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</si>
  <si>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</si>
  <si>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</si>
  <si>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</si>
  <si>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</si>
  <si>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</si>
  <si>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</si>
  <si>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</si>
  <si>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</si>
  <si>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</si>
  <si>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</si>
  <si>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</si>
  <si>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</si>
  <si>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</si>
  <si>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</si>
  <si>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</si>
  <si>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</si>
  <si>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</si>
  <si>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</si>
  <si>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</si>
  <si>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</si>
  <si>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</si>
  <si>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</si>
  <si>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</si>
  <si>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</si>
  <si>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</si>
  <si>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</si>
  <si>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</si>
  <si>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</si>
  <si>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</si>
  <si>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</si>
  <si>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</si>
  <si>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</si>
  <si>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</si>
  <si>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</si>
  <si>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</si>
  <si>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</si>
  <si>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</si>
  <si>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</si>
  <si>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</si>
  <si>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</si>
  <si>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</si>
  <si>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</si>
  <si>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</si>
  <si>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</si>
  <si>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</si>
  <si>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</si>
  <si>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</si>
  <si>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</si>
  <si>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</si>
  <si>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</si>
  <si>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</si>
  <si>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</si>
  <si>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</si>
  <si>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</si>
  <si>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</si>
  <si>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</si>
  <si>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</si>
  <si>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</si>
  <si>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</si>
  <si>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</si>
  <si>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</si>
  <si>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</si>
  <si>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</si>
  <si>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</si>
  <si>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</si>
  <si>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</si>
  <si>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</si>
  <si>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</si>
  <si>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</si>
  <si>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</si>
  <si>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</si>
  <si>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</si>
  <si>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</si>
  <si>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</si>
  <si>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</si>
  <si>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</si>
  <si>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</si>
  <si>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</si>
  <si>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</si>
  <si>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</si>
  <si>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</si>
  <si>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</si>
  <si>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</si>
  <si>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</si>
  <si>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</si>
  <si>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</si>
  <si>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</si>
  <si>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</si>
  <si>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</si>
  <si>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</si>
  <si>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</si>
  <si>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</si>
  <si>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</si>
  <si>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</si>
  <si>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</si>
  <si>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</si>
  <si>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</si>
  <si>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</si>
  <si>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</si>
  <si>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</si>
  <si>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</si>
  <si>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</si>
  <si>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</si>
  <si>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</si>
  <si>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</si>
  <si>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</si>
  <si>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</si>
  <si>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</si>
  <si>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</si>
  <si>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</si>
  <si>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</si>
  <si>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</si>
  <si>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</si>
  <si>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</si>
  <si>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</si>
  <si>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</si>
  <si>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</si>
  <si>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</si>
  <si>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</si>
  <si>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</si>
  <si>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</si>
  <si>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</si>
  <si>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</si>
  <si>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</si>
  <si>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</si>
  <si>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</si>
  <si>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</si>
  <si>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</si>
  <si>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</si>
  <si>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</si>
  <si>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</si>
  <si>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</si>
  <si>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</si>
  <si>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</si>
  <si>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</si>
  <si>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</si>
  <si>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</si>
  <si>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</si>
  <si>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</si>
  <si>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</si>
  <si>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</si>
  <si>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</si>
  <si>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</si>
  <si>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</si>
  <si>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</si>
  <si>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</si>
  <si>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</si>
  <si>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</si>
  <si>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</si>
  <si>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</si>
  <si>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</si>
  <si>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</si>
  <si>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</si>
  <si>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</si>
  <si>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</si>
  <si>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</si>
  <si>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</si>
  <si>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</si>
  <si>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</si>
  <si>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</si>
  <si>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</si>
  <si>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</si>
  <si>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</si>
  <si>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</si>
  <si>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</si>
  <si>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</si>
  <si>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</si>
  <si>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</si>
  <si>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</si>
  <si>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</si>
  <si>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</si>
  <si>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</si>
  <si>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</si>
  <si>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</si>
  <si>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</si>
  <si>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</si>
  <si>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</si>
  <si>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</si>
  <si>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</si>
  <si>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</si>
  <si>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</si>
  <si>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</si>
  <si>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</si>
  <si>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</si>
  <si>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</si>
  <si>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</si>
  <si>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</si>
  <si>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</si>
  <si>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</si>
  <si>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</si>
  <si>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</si>
  <si>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</si>
  <si>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</si>
  <si>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</si>
  <si>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</si>
  <si>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</si>
  <si>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</si>
  <si>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</si>
  <si>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</si>
  <si>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</si>
  <si>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</si>
  <si>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</si>
  <si>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</si>
  <si>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</si>
  <si>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</si>
  <si>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</si>
  <si>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</si>
  <si>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</si>
  <si>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</si>
  <si>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</si>
  <si>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</si>
  <si>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</si>
  <si>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</si>
  <si>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</si>
  <si>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</si>
  <si>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</si>
  <si>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</si>
  <si>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</si>
  <si>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</si>
  <si>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</si>
  <si>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</si>
  <si>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</si>
  <si>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</si>
  <si>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</si>
  <si>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</si>
  <si>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</si>
  <si>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</si>
  <si>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</si>
  <si>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</si>
  <si>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</si>
  <si>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</si>
  <si>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</si>
  <si>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</si>
  <si>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</si>
  <si>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</si>
  <si>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</si>
  <si>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</si>
  <si>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</si>
  <si>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</si>
  <si>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</si>
  <si>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</si>
  <si>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</si>
  <si>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</si>
  <si>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</si>
  <si>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</si>
  <si>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</si>
  <si>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</si>
  <si>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</si>
  <si>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</si>
  <si>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</si>
  <si>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</si>
  <si>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</si>
  <si>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</si>
  <si>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</si>
  <si>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</si>
  <si>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</si>
  <si>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</si>
  <si>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</si>
  <si>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</si>
  <si>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</si>
  <si>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</si>
  <si>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</si>
  <si>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</si>
  <si>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</si>
  <si>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</si>
  <si>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</si>
  <si>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</si>
  <si>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</si>
  <si>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</si>
  <si>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</si>
  <si>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</si>
  <si>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</si>
  <si>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</si>
  <si>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</si>
  <si>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</si>
  <si>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</si>
  <si>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</si>
  <si>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</si>
  <si>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</si>
  <si>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</si>
  <si>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</si>
  <si>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</si>
  <si>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</si>
  <si>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</si>
  <si>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</si>
  <si>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</si>
  <si>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</si>
  <si>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</si>
  <si>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</si>
  <si>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</si>
  <si>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</si>
  <si>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</si>
  <si>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</si>
  <si>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</si>
  <si>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</si>
  <si>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</si>
  <si>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</si>
  <si>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</si>
  <si>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</si>
  <si>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</si>
  <si>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</si>
  <si>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</si>
  <si>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</si>
  <si>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</si>
  <si>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</si>
  <si>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</si>
  <si>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</si>
  <si>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</si>
  <si>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</si>
  <si>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</si>
  <si>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</si>
  <si>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</si>
  <si>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</si>
  <si>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</si>
  <si>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</si>
  <si>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</si>
  <si>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</si>
  <si>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</si>
  <si>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</si>
  <si>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</si>
  <si>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</si>
  <si>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</si>
  <si>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</si>
  <si>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</si>
  <si>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</si>
  <si>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</si>
  <si>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</si>
  <si>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</si>
  <si>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</si>
  <si>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</si>
  <si>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</si>
  <si>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</si>
  <si>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</si>
  <si>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</si>
  <si>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</si>
  <si>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</si>
  <si>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</si>
  <si>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</si>
  <si>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</si>
  <si>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</si>
  <si>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</si>
  <si>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</si>
  <si>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</si>
  <si>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</si>
  <si>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</si>
  <si>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</si>
  <si>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</si>
  <si>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</si>
  <si>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</si>
  <si>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</si>
  <si>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</si>
  <si>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</si>
  <si>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</si>
  <si>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</si>
  <si>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</si>
  <si>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</si>
  <si>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</si>
  <si>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</si>
  <si>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</si>
  <si>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</si>
  <si>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</si>
  <si>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</si>
  <si>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</si>
  <si>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</si>
  <si>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</si>
  <si>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</si>
  <si>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</si>
  <si>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</si>
  <si>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</si>
  <si>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</si>
  <si>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</si>
  <si>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</si>
  <si>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</si>
  <si>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</si>
  <si>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</si>
  <si>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</si>
  <si>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</si>
  <si>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</si>
  <si>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</si>
  <si>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</si>
  <si>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</si>
  <si>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</si>
  <si>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</si>
  <si>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</si>
  <si>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</si>
  <si>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</si>
  <si>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</si>
  <si>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</si>
  <si>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</si>
  <si>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</si>
  <si>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</si>
  <si>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</si>
  <si>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</si>
  <si>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</si>
  <si>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</si>
  <si>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</si>
  <si>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</si>
  <si>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</si>
  <si>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</si>
  <si>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</si>
  <si>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</si>
  <si>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</si>
  <si>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</si>
  <si>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</si>
  <si>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</si>
  <si>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</si>
  <si>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</si>
  <si>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</si>
  <si>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</si>
  <si>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</si>
  <si>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</si>
  <si>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</si>
  <si>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</si>
  <si>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</si>
  <si>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</si>
  <si>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</si>
  <si>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</si>
  <si>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</si>
  <si>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</si>
  <si>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</si>
  <si>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</si>
  <si>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</si>
  <si>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</si>
  <si>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</si>
  <si>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</si>
  <si>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</si>
  <si>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</si>
  <si>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</si>
  <si>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</si>
  <si>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</si>
  <si>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</si>
  <si>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</si>
  <si>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</si>
  <si>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</si>
  <si>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</si>
  <si>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</si>
  <si>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</si>
  <si>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</si>
  <si>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</si>
  <si>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</si>
  <si>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</si>
  <si>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</si>
  <si>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</si>
  <si>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</si>
  <si>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</si>
  <si>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</si>
  <si>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</si>
  <si>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</si>
  <si>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</si>
  <si>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</si>
  <si>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</si>
  <si>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</si>
  <si>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</si>
  <si>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</si>
  <si>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</si>
  <si>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</si>
  <si>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</si>
  <si>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</si>
  <si>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</si>
  <si>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</si>
  <si>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</si>
  <si>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</si>
  <si>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</si>
  <si>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t>039</t>
  </si>
  <si>
    <t>RCCH Trios Health LLC</t>
  </si>
  <si>
    <t>3730 Plaza Way</t>
  </si>
  <si>
    <t>Kennewick</t>
  </si>
  <si>
    <t>WA</t>
  </si>
  <si>
    <t>Benton</t>
  </si>
  <si>
    <t>Charlie Pearce</t>
  </si>
  <si>
    <t>Dr. Randall Fong</t>
  </si>
  <si>
    <t>509-221-7000</t>
  </si>
  <si>
    <t>509-221-5892</t>
  </si>
  <si>
    <t>12/31/2023</t>
  </si>
  <si>
    <t>David Elgarico</t>
  </si>
  <si>
    <t xml:space="preserve">580905 IT OTHER                  </t>
  </si>
  <si>
    <t xml:space="preserve">580909 GIFT SHOP                 </t>
  </si>
  <si>
    <t>712496 PHARMACY REBATES</t>
  </si>
  <si>
    <t>718495 MATERIALS ADMIN</t>
  </si>
  <si>
    <t>718496 MATERIALS REBATES</t>
  </si>
  <si>
    <t>765496 MED ONC REBATES</t>
  </si>
  <si>
    <t xml:space="preserve">912496 MATERIALS REBATES </t>
  </si>
  <si>
    <t>GAIN ON SALE OF ASSETS</t>
  </si>
  <si>
    <t>INT INCOME</t>
  </si>
  <si>
    <t>12/31/2022</t>
  </si>
  <si>
    <t>Trios' Auburn campus was completely closed in 2023 resulting in unit of measure decreasing thus OP Exp/UOM increased</t>
  </si>
  <si>
    <t>Eliminated contract labor exp by adding fte. However patients stat ended up lower in 2023 than 2022 thus resulting in an increase in Op Exp/UOM</t>
  </si>
  <si>
    <t>Medical Oncologists left mid-year resulting in decline of units of measure</t>
  </si>
  <si>
    <t>Infusion center closed in late Aug 2023</t>
  </si>
  <si>
    <t>Added expenses related to an additional Cardiologist</t>
  </si>
  <si>
    <t>PCU 6030 added in 2023, which moved expenses from ICU</t>
  </si>
  <si>
    <t>David Egarico, Trios Health CEO</t>
  </si>
  <si>
    <t>Dr. Randall Fong, Board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</si>
</sst>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57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4" fillId="31" borderId="0" xfId="0" applyFont="1" applyFill="1" applyProtection="1">
      <protection locked="0"/>
    </xf>
    <xf numFmtId="37" fontId="43" fillId="0" borderId="35" xfId="0" applyFont="1" applyBorder="1"/>
    <xf numFmtId="37" fontId="10" fillId="8" borderId="0" xfId="0" applyFont="1" applyFill="1" applyAlignment="1">
      <alignment vertical="center"/>
    </xf>
    <xf numFmtId="37" fontId="10" fillId="8" borderId="0" xfId="0" applyFont="1" applyFill="1"/>
    <xf numFmtId="2" fontId="10" fillId="8" borderId="0" xfId="0" applyNumberFormat="1" applyFont="1" applyFill="1"/>
    <xf numFmtId="37" fontId="26" fillId="8" borderId="1" xfId="0" applyFont="1" applyFill="1" applyBorder="1"/>
    <xf numFmtId="37" fontId="26" fillId="8" borderId="2" xfId="0" applyFont="1" applyFill="1" applyBorder="1"/>
    <xf numFmtId="37" fontId="26" fillId="8" borderId="2" xfId="0" applyFont="1" applyFill="1" applyBorder="1" applyAlignment="1">
      <alignment horizontal="center"/>
    </xf>
    <xf numFmtId="37" fontId="23" fillId="8" borderId="1" xfId="0" applyFont="1" applyFill="1" applyBorder="1"/>
    <xf numFmtId="37" fontId="23" fillId="8" borderId="8" xfId="0" applyFont="1" applyFill="1" applyBorder="1"/>
    <xf numFmtId="37" fontId="23" fillId="8" borderId="2" xfId="0" applyFont="1" applyFill="1" applyBorder="1"/>
    <xf numFmtId="37" fontId="14" fillId="8" borderId="0" xfId="0" applyFont="1" applyFill="1"/>
    <xf numFmtId="37" fontId="0" fillId="8" borderId="0" xfId="0" applyFill="1"/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54" transitionEvaluation="1" transitionEntry="1" codeName="Sheet1">
    <tabColor rgb="FF92D050"/>
    <pageSetUpPr autoPageBreaks="0" fitToPage="1"/>
  </sheetPr>
  <dimension ref="A1:CF716"/>
  <sheetViews>
    <sheetView tabSelected="1" topLeftCell="A54" zoomScaleNormal="100" workbookViewId="0">
      <selection activeCell="A43" sqref="A4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7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0</v>
      </c>
    </row>
    <row r="48" spans="1:83" x14ac:dyDescent="0.25">
      <c r="A48" s="28" t="s">
        <v>232</v>
      </c>
      <c r="B48" s="317">
        <v>14052068</v>
      </c>
      <c r="C48" s="28">
        <f t="shared" ref="C48:AH48" si="0">IF($B$48,(ROUND((($B$48/$CE$61)*C61),0)))</f>
        <v>617639</v>
      </c>
      <c r="D48" s="28">
        <f t="shared" si="0"/>
        <v>103526</v>
      </c>
      <c r="E48" s="28">
        <f t="shared" si="0"/>
        <v>1098423</v>
      </c>
      <c r="F48" s="28">
        <f t="shared" si="0"/>
        <v>750371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237623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135426</v>
      </c>
      <c r="P48" s="28">
        <f t="shared" si="0"/>
        <v>380865</v>
      </c>
      <c r="Q48" s="28">
        <f t="shared" si="0"/>
        <v>149353</v>
      </c>
      <c r="R48" s="28">
        <f t="shared" si="0"/>
        <v>50526</v>
      </c>
      <c r="S48" s="28">
        <f t="shared" si="0"/>
        <v>97505</v>
      </c>
      <c r="T48" s="28">
        <f t="shared" si="0"/>
        <v>0</v>
      </c>
      <c r="U48" s="28">
        <f t="shared" si="0"/>
        <v>278185</v>
      </c>
      <c r="V48" s="28">
        <f t="shared" si="0"/>
        <v>12165</v>
      </c>
      <c r="W48" s="28">
        <f t="shared" si="0"/>
        <v>71036</v>
      </c>
      <c r="X48" s="28">
        <f t="shared" si="0"/>
        <v>123303</v>
      </c>
      <c r="Y48" s="28">
        <f t="shared" si="0"/>
        <v>454173</v>
      </c>
      <c r="Z48" s="28">
        <f t="shared" si="0"/>
        <v>0</v>
      </c>
      <c r="AA48" s="28">
        <f t="shared" si="0"/>
        <v>39323</v>
      </c>
      <c r="AB48" s="28">
        <f t="shared" si="0"/>
        <v>326301</v>
      </c>
      <c r="AC48" s="28">
        <f t="shared" si="0"/>
        <v>233234</v>
      </c>
      <c r="AD48" s="28">
        <f t="shared" si="0"/>
        <v>0</v>
      </c>
      <c r="AE48" s="28">
        <f t="shared" si="0"/>
        <v>446950</v>
      </c>
      <c r="AF48" s="28">
        <f t="shared" si="0"/>
        <v>0</v>
      </c>
      <c r="AG48" s="28">
        <f t="shared" si="0"/>
        <v>505671</v>
      </c>
      <c r="AH48" s="28">
        <f t="shared" si="0"/>
        <v>0</v>
      </c>
      <c r="AI48" s="28">
        <f t="shared" ref="AI48:BN48" si="1">IF($B$48,(ROUND((($B$48/$CE$61)*AI61),0)))</f>
        <v>399908</v>
      </c>
      <c r="AJ48" s="28">
        <f t="shared" si="1"/>
        <v>247683</v>
      </c>
      <c r="AK48" s="28">
        <f t="shared" si="1"/>
        <v>0</v>
      </c>
      <c r="AL48" s="28">
        <f t="shared" si="1"/>
        <v>75356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4691621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527518</v>
      </c>
      <c r="AX48" s="28">
        <f t="shared" si="1"/>
        <v>0</v>
      </c>
      <c r="AY48" s="28">
        <f t="shared" si="1"/>
        <v>199173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88315</v>
      </c>
      <c r="BE48" s="28">
        <f t="shared" si="1"/>
        <v>93208</v>
      </c>
      <c r="BF48" s="28">
        <f t="shared" si="1"/>
        <v>344992</v>
      </c>
      <c r="BG48" s="28">
        <f t="shared" si="1"/>
        <v>0</v>
      </c>
      <c r="BH48" s="28">
        <f t="shared" si="1"/>
        <v>229728</v>
      </c>
      <c r="BI48" s="28">
        <f t="shared" si="1"/>
        <v>0</v>
      </c>
      <c r="BJ48" s="28">
        <f t="shared" si="1"/>
        <v>102440</v>
      </c>
      <c r="BK48" s="28">
        <f t="shared" si="1"/>
        <v>0</v>
      </c>
      <c r="BL48" s="28">
        <f t="shared" si="1"/>
        <v>12004</v>
      </c>
      <c r="BM48" s="28">
        <f t="shared" si="1"/>
        <v>0</v>
      </c>
      <c r="BN48" s="28">
        <f t="shared" si="1"/>
        <v>185831</v>
      </c>
      <c r="BO48" s="28">
        <f t="shared" ref="BO48:CD48" si="2">IF($B$48,(ROUND((($B$48/$CE$61)*BO61),0)))</f>
        <v>19923</v>
      </c>
      <c r="BP48" s="28">
        <f t="shared" si="2"/>
        <v>16946</v>
      </c>
      <c r="BQ48" s="28">
        <f t="shared" si="2"/>
        <v>0</v>
      </c>
      <c r="BR48" s="28">
        <f t="shared" si="2"/>
        <v>108132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42772</v>
      </c>
      <c r="BW48" s="28">
        <f t="shared" si="2"/>
        <v>2332</v>
      </c>
      <c r="BX48" s="28">
        <f t="shared" si="2"/>
        <v>317143</v>
      </c>
      <c r="BY48" s="28">
        <f t="shared" si="2"/>
        <v>172840</v>
      </c>
      <c r="BZ48" s="28">
        <f t="shared" si="2"/>
        <v>0</v>
      </c>
      <c r="CA48" s="28">
        <f t="shared" si="2"/>
        <v>48702</v>
      </c>
      <c r="CB48" s="28">
        <f t="shared" si="2"/>
        <v>0</v>
      </c>
      <c r="CC48" s="28">
        <f t="shared" si="2"/>
        <v>13902</v>
      </c>
      <c r="CD48" s="28">
        <f t="shared" si="2"/>
        <v>0</v>
      </c>
      <c r="CE48" s="28">
        <f>SUM(C48:CD48)</f>
        <v>14052067</v>
      </c>
    </row>
    <row r="49" spans="1:83" x14ac:dyDescent="0.25">
      <c r="A49" s="16" t="s">
        <v>233</v>
      </c>
      <c r="B49" s="28">
        <f>B47+B48</f>
        <v>14052068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0</v>
      </c>
    </row>
    <row r="52" spans="1:83" x14ac:dyDescent="0.25">
      <c r="A52" s="35" t="s">
        <v>235</v>
      </c>
      <c r="B52" s="317">
        <v>4918917</v>
      </c>
      <c r="C52" s="28">
        <f t="shared" ref="C52:AH52" si="3">IF($B$52,ROUND(($B$52/($CE$90+$CF$90)*C90),0))</f>
        <v>96021</v>
      </c>
      <c r="D52" s="28">
        <f t="shared" si="3"/>
        <v>162322</v>
      </c>
      <c r="E52" s="28">
        <f t="shared" si="3"/>
        <v>295564</v>
      </c>
      <c r="F52" s="28">
        <f t="shared" si="3"/>
        <v>115501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17742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169262</v>
      </c>
      <c r="Q52" s="28">
        <f t="shared" si="3"/>
        <v>39192</v>
      </c>
      <c r="R52" s="28">
        <f t="shared" si="3"/>
        <v>1750</v>
      </c>
      <c r="S52" s="28">
        <f t="shared" si="3"/>
        <v>56747</v>
      </c>
      <c r="T52" s="28">
        <f t="shared" si="3"/>
        <v>0</v>
      </c>
      <c r="U52" s="28">
        <f t="shared" si="3"/>
        <v>125264</v>
      </c>
      <c r="V52" s="28">
        <f t="shared" si="3"/>
        <v>1750</v>
      </c>
      <c r="W52" s="28">
        <f t="shared" si="3"/>
        <v>64854</v>
      </c>
      <c r="X52" s="28">
        <f t="shared" si="3"/>
        <v>36976</v>
      </c>
      <c r="Y52" s="28">
        <f t="shared" si="3"/>
        <v>194749</v>
      </c>
      <c r="Z52" s="28">
        <f t="shared" si="3"/>
        <v>0</v>
      </c>
      <c r="AA52" s="28">
        <f t="shared" si="3"/>
        <v>49539</v>
      </c>
      <c r="AB52" s="28">
        <f t="shared" si="3"/>
        <v>45538</v>
      </c>
      <c r="AC52" s="28">
        <f t="shared" si="3"/>
        <v>47322</v>
      </c>
      <c r="AD52" s="28">
        <f t="shared" si="3"/>
        <v>40907</v>
      </c>
      <c r="AE52" s="28">
        <f t="shared" si="3"/>
        <v>95100</v>
      </c>
      <c r="AF52" s="28">
        <f t="shared" si="3"/>
        <v>0</v>
      </c>
      <c r="AG52" s="28">
        <f t="shared" si="3"/>
        <v>145945</v>
      </c>
      <c r="AH52" s="28">
        <f t="shared" si="3"/>
        <v>0</v>
      </c>
      <c r="AI52" s="28">
        <f t="shared" ref="AI52:BN52" si="4">IF($B$52,ROUND(($B$52/($CE$90+$CF$90)*AI90),0))</f>
        <v>240438</v>
      </c>
      <c r="AJ52" s="28">
        <f t="shared" si="4"/>
        <v>13904</v>
      </c>
      <c r="AK52" s="28">
        <f t="shared" si="4"/>
        <v>0</v>
      </c>
      <c r="AL52" s="28">
        <f t="shared" si="4"/>
        <v>2333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1079527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16272</v>
      </c>
      <c r="AX52" s="28">
        <f t="shared" si="4"/>
        <v>0</v>
      </c>
      <c r="AY52" s="28">
        <f t="shared" si="4"/>
        <v>70150</v>
      </c>
      <c r="AZ52" s="28">
        <f t="shared" si="4"/>
        <v>0</v>
      </c>
      <c r="BA52" s="28">
        <f t="shared" si="4"/>
        <v>8748</v>
      </c>
      <c r="BB52" s="28">
        <f t="shared" si="4"/>
        <v>0</v>
      </c>
      <c r="BC52" s="28">
        <f t="shared" si="4"/>
        <v>0</v>
      </c>
      <c r="BD52" s="28">
        <f t="shared" si="4"/>
        <v>115757</v>
      </c>
      <c r="BE52" s="28">
        <f t="shared" si="4"/>
        <v>205888</v>
      </c>
      <c r="BF52" s="28">
        <f t="shared" si="4"/>
        <v>16283</v>
      </c>
      <c r="BG52" s="28">
        <f t="shared" si="4"/>
        <v>9693</v>
      </c>
      <c r="BH52" s="28">
        <f t="shared" si="4"/>
        <v>66429</v>
      </c>
      <c r="BI52" s="28">
        <f t="shared" si="4"/>
        <v>0</v>
      </c>
      <c r="BJ52" s="28">
        <f t="shared" si="4"/>
        <v>7489</v>
      </c>
      <c r="BK52" s="28">
        <f t="shared" si="4"/>
        <v>17147</v>
      </c>
      <c r="BL52" s="28">
        <f t="shared" si="4"/>
        <v>51813</v>
      </c>
      <c r="BM52" s="28">
        <f t="shared" si="4"/>
        <v>0</v>
      </c>
      <c r="BN52" s="28">
        <f t="shared" si="4"/>
        <v>19958</v>
      </c>
      <c r="BO52" s="28">
        <f t="shared" ref="BO52:CD52" si="5">IF($B$52,ROUND(($B$52/($CE$90+$CF$90)*BO90),0))</f>
        <v>2881</v>
      </c>
      <c r="BP52" s="28">
        <f t="shared" si="5"/>
        <v>3033</v>
      </c>
      <c r="BQ52" s="28">
        <f t="shared" si="5"/>
        <v>0</v>
      </c>
      <c r="BR52" s="28">
        <f t="shared" si="5"/>
        <v>51673</v>
      </c>
      <c r="BS52" s="28">
        <f t="shared" si="5"/>
        <v>6765</v>
      </c>
      <c r="BT52" s="28">
        <f t="shared" si="5"/>
        <v>6707</v>
      </c>
      <c r="BU52" s="28">
        <f t="shared" si="5"/>
        <v>0</v>
      </c>
      <c r="BV52" s="28">
        <f t="shared" si="5"/>
        <v>8258</v>
      </c>
      <c r="BW52" s="28">
        <f t="shared" si="5"/>
        <v>22116</v>
      </c>
      <c r="BX52" s="28">
        <f t="shared" si="5"/>
        <v>6205</v>
      </c>
      <c r="BY52" s="28">
        <f t="shared" si="5"/>
        <v>6789</v>
      </c>
      <c r="BZ52" s="28">
        <f t="shared" si="5"/>
        <v>0</v>
      </c>
      <c r="CA52" s="28">
        <f t="shared" si="5"/>
        <v>2939</v>
      </c>
      <c r="CB52" s="28">
        <f t="shared" si="5"/>
        <v>1400</v>
      </c>
      <c r="CC52" s="28">
        <f t="shared" si="5"/>
        <v>1056280</v>
      </c>
      <c r="CD52" s="28">
        <f t="shared" si="5"/>
        <v>0</v>
      </c>
      <c r="CE52" s="28">
        <f>SUM(C52:CD52)</f>
        <v>4918920</v>
      </c>
    </row>
    <row r="53" spans="1:83" x14ac:dyDescent="0.25">
      <c r="A53" s="16" t="s">
        <v>233</v>
      </c>
      <c r="B53" s="28">
        <f>B51+B52</f>
        <v>4918917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8">
        <v>3157</v>
      </c>
      <c r="D59" s="318"/>
      <c r="E59" s="318">
        <f>11548+285</f>
        <v>11833</v>
      </c>
      <c r="F59" s="318">
        <v>2987</v>
      </c>
      <c r="G59" s="318"/>
      <c r="H59" s="318"/>
      <c r="I59" s="318"/>
      <c r="J59" s="318">
        <v>1575</v>
      </c>
      <c r="K59" s="318"/>
      <c r="L59" s="318"/>
      <c r="M59" s="318"/>
      <c r="N59" s="318"/>
      <c r="O59" s="318">
        <v>1421</v>
      </c>
      <c r="P59" s="319">
        <v>274970</v>
      </c>
      <c r="Q59" s="320">
        <v>110193</v>
      </c>
      <c r="R59" s="320">
        <v>274970</v>
      </c>
      <c r="S59" s="279">
        <v>0</v>
      </c>
      <c r="T59" s="279">
        <v>0</v>
      </c>
      <c r="U59" s="321">
        <f>357802+80+7935</f>
        <v>365817</v>
      </c>
      <c r="V59" s="320">
        <v>245</v>
      </c>
      <c r="W59" s="320">
        <f>870+1299</f>
        <v>2169</v>
      </c>
      <c r="X59" s="320">
        <f>227+2433+9175</f>
        <v>11835</v>
      </c>
      <c r="Y59" s="320">
        <f>9869+576+16428+7527+4527+7750</f>
        <v>46677</v>
      </c>
      <c r="Z59" s="320">
        <v>448956</v>
      </c>
      <c r="AA59" s="320">
        <v>860</v>
      </c>
      <c r="AB59" s="279">
        <v>0</v>
      </c>
      <c r="AC59" s="320">
        <v>38295</v>
      </c>
      <c r="AD59" s="320"/>
      <c r="AE59" s="320">
        <f>2102+57444+7839</f>
        <v>67385</v>
      </c>
      <c r="AF59" s="320"/>
      <c r="AG59" s="320">
        <f>24592+454</f>
        <v>25046</v>
      </c>
      <c r="AH59" s="320"/>
      <c r="AI59" s="320">
        <f>173318+8924</f>
        <v>182242</v>
      </c>
      <c r="AJ59" s="320">
        <f>2705+4179</f>
        <v>6884</v>
      </c>
      <c r="AK59" s="320"/>
      <c r="AL59" s="320">
        <v>6218</v>
      </c>
      <c r="AM59" s="320"/>
      <c r="AN59" s="320"/>
      <c r="AO59" s="320"/>
      <c r="AP59" s="320">
        <f>8599+1008</f>
        <v>9607</v>
      </c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320863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421704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25">
      <c r="A60" s="219" t="s">
        <v>262</v>
      </c>
      <c r="B60" s="220"/>
      <c r="C60" s="322">
        <v>31.39</v>
      </c>
      <c r="D60" s="322">
        <v>5.36</v>
      </c>
      <c r="E60" s="322">
        <v>57.9</v>
      </c>
      <c r="F60" s="322">
        <v>36.93</v>
      </c>
      <c r="G60" s="322"/>
      <c r="H60" s="322"/>
      <c r="I60" s="322"/>
      <c r="J60" s="322">
        <v>11.02</v>
      </c>
      <c r="K60" s="322"/>
      <c r="L60" s="322"/>
      <c r="M60" s="322"/>
      <c r="N60" s="322"/>
      <c r="O60" s="322"/>
      <c r="P60" s="319">
        <v>20.93</v>
      </c>
      <c r="Q60" s="319">
        <v>5.34</v>
      </c>
      <c r="R60" s="319">
        <v>2.87</v>
      </c>
      <c r="S60" s="323">
        <v>9.0500000000000007</v>
      </c>
      <c r="T60" s="323"/>
      <c r="U60" s="324">
        <v>24.12</v>
      </c>
      <c r="V60" s="319">
        <v>0.98</v>
      </c>
      <c r="W60" s="319">
        <v>3.05</v>
      </c>
      <c r="X60" s="319">
        <v>6.56</v>
      </c>
      <c r="Y60" s="319">
        <v>27.08</v>
      </c>
      <c r="Z60" s="319"/>
      <c r="AA60" s="319">
        <v>1.72</v>
      </c>
      <c r="AB60" s="323">
        <v>15.46</v>
      </c>
      <c r="AC60" s="319">
        <v>11.82</v>
      </c>
      <c r="AD60" s="319"/>
      <c r="AE60" s="319">
        <v>19.239999999999998</v>
      </c>
      <c r="AF60" s="319"/>
      <c r="AG60" s="319">
        <v>23.61</v>
      </c>
      <c r="AH60" s="319"/>
      <c r="AI60" s="319">
        <v>19.920000000000002</v>
      </c>
      <c r="AJ60" s="319">
        <f>11.82+5.36</f>
        <v>17.18</v>
      </c>
      <c r="AK60" s="319"/>
      <c r="AL60" s="319">
        <v>3.6</v>
      </c>
      <c r="AM60" s="319"/>
      <c r="AN60" s="319"/>
      <c r="AO60" s="319"/>
      <c r="AP60" s="319">
        <v>178.66</v>
      </c>
      <c r="AQ60" s="319"/>
      <c r="AR60" s="319"/>
      <c r="AS60" s="319"/>
      <c r="AT60" s="319"/>
      <c r="AU60" s="319"/>
      <c r="AV60" s="323"/>
      <c r="AW60" s="323">
        <v>32.590000000000003</v>
      </c>
      <c r="AX60" s="323"/>
      <c r="AY60" s="319">
        <v>22.75</v>
      </c>
      <c r="AZ60" s="319"/>
      <c r="BA60" s="323"/>
      <c r="BB60" s="323"/>
      <c r="BC60" s="323"/>
      <c r="BD60" s="323">
        <v>7.69</v>
      </c>
      <c r="BE60" s="319">
        <v>8.48</v>
      </c>
      <c r="BF60" s="323">
        <v>36.299999999999997</v>
      </c>
      <c r="BG60" s="323"/>
      <c r="BH60" s="323">
        <v>14.18</v>
      </c>
      <c r="BI60" s="323"/>
      <c r="BJ60" s="323">
        <v>5.8</v>
      </c>
      <c r="BK60" s="323"/>
      <c r="BL60" s="323">
        <v>24.33</v>
      </c>
      <c r="BM60" s="323"/>
      <c r="BN60" s="323">
        <v>5.22</v>
      </c>
      <c r="BO60" s="323">
        <v>1.06</v>
      </c>
      <c r="BP60" s="323">
        <v>1.1599999999999999</v>
      </c>
      <c r="BQ60" s="323"/>
      <c r="BR60" s="323">
        <v>5.67</v>
      </c>
      <c r="BS60" s="323"/>
      <c r="BT60" s="323"/>
      <c r="BU60" s="323"/>
      <c r="BV60" s="323">
        <v>4.0599999999999996</v>
      </c>
      <c r="BW60" s="323">
        <v>1.0900000000000001</v>
      </c>
      <c r="BX60" s="323">
        <v>15.77</v>
      </c>
      <c r="BY60" s="323">
        <v>6.34</v>
      </c>
      <c r="BZ60" s="323"/>
      <c r="CA60" s="323">
        <v>2.78</v>
      </c>
      <c r="CB60" s="323"/>
      <c r="CC60" s="323">
        <v>0.83</v>
      </c>
      <c r="CD60" s="221" t="s">
        <v>248</v>
      </c>
      <c r="CE60" s="239">
        <f t="shared" ref="CE60:CE68" si="6">SUM(C60:CD60)</f>
        <v>729.89</v>
      </c>
    </row>
    <row r="61" spans="1:83" x14ac:dyDescent="0.25">
      <c r="A61" s="35" t="s">
        <v>263</v>
      </c>
      <c r="B61" s="16"/>
      <c r="C61" s="318">
        <v>3348808.71</v>
      </c>
      <c r="D61" s="318">
        <v>561310.88</v>
      </c>
      <c r="E61" s="318">
        <v>5955589.4100000001</v>
      </c>
      <c r="F61" s="318">
        <v>4068472.06</v>
      </c>
      <c r="G61" s="318"/>
      <c r="H61" s="318"/>
      <c r="I61" s="318"/>
      <c r="J61" s="318">
        <v>1288378.6399999999</v>
      </c>
      <c r="K61" s="318"/>
      <c r="L61" s="318"/>
      <c r="M61" s="318"/>
      <c r="N61" s="318"/>
      <c r="O61" s="318">
        <v>734273.71</v>
      </c>
      <c r="P61" s="320">
        <v>2065030.36</v>
      </c>
      <c r="Q61" s="320">
        <v>809784.66</v>
      </c>
      <c r="R61" s="320">
        <v>273947.5</v>
      </c>
      <c r="S61" s="325">
        <v>528668.9</v>
      </c>
      <c r="T61" s="325"/>
      <c r="U61" s="321">
        <v>1508302.75</v>
      </c>
      <c r="V61" s="320">
        <v>65955.41</v>
      </c>
      <c r="W61" s="320">
        <v>385154.37</v>
      </c>
      <c r="X61" s="320">
        <v>668544.9</v>
      </c>
      <c r="Y61" s="320">
        <v>2462500.15</v>
      </c>
      <c r="Z61" s="320"/>
      <c r="AA61" s="320">
        <v>213209.47</v>
      </c>
      <c r="AB61" s="326">
        <v>1769187.08</v>
      </c>
      <c r="AC61" s="320">
        <v>1264580.55</v>
      </c>
      <c r="AD61" s="320"/>
      <c r="AE61" s="320">
        <v>2423341.85</v>
      </c>
      <c r="AF61" s="320"/>
      <c r="AG61" s="320">
        <v>2741723.23</v>
      </c>
      <c r="AH61" s="320"/>
      <c r="AI61" s="320">
        <v>2168280.84</v>
      </c>
      <c r="AJ61" s="320">
        <v>1342922.48</v>
      </c>
      <c r="AK61" s="320"/>
      <c r="AL61" s="320">
        <v>408577.92</v>
      </c>
      <c r="AM61" s="320"/>
      <c r="AN61" s="320"/>
      <c r="AO61" s="320"/>
      <c r="AP61" s="320">
        <v>25437724.02</v>
      </c>
      <c r="AQ61" s="320"/>
      <c r="AR61" s="320"/>
      <c r="AS61" s="320"/>
      <c r="AT61" s="320"/>
      <c r="AU61" s="320"/>
      <c r="AV61" s="325"/>
      <c r="AW61" s="325">
        <v>2860173.02</v>
      </c>
      <c r="AX61" s="325"/>
      <c r="AY61" s="320">
        <v>1079908.1200000001</v>
      </c>
      <c r="AZ61" s="320"/>
      <c r="BA61" s="325"/>
      <c r="BB61" s="325"/>
      <c r="BC61" s="325"/>
      <c r="BD61" s="325">
        <v>478840.21</v>
      </c>
      <c r="BE61" s="320">
        <v>505368.43</v>
      </c>
      <c r="BF61" s="325">
        <v>1870528.5</v>
      </c>
      <c r="BG61" s="325"/>
      <c r="BH61" s="325">
        <v>1245574.33</v>
      </c>
      <c r="BI61" s="325"/>
      <c r="BJ61" s="325">
        <v>555424.89</v>
      </c>
      <c r="BK61" s="325"/>
      <c r="BL61" s="325">
        <v>65085.86</v>
      </c>
      <c r="BM61" s="325"/>
      <c r="BN61" s="325">
        <v>1007565.79</v>
      </c>
      <c r="BO61" s="325">
        <v>108024.03</v>
      </c>
      <c r="BP61" s="325">
        <v>91878.63</v>
      </c>
      <c r="BQ61" s="325"/>
      <c r="BR61" s="325">
        <v>586285.52</v>
      </c>
      <c r="BS61" s="325"/>
      <c r="BT61" s="325"/>
      <c r="BU61" s="325"/>
      <c r="BV61" s="325">
        <v>231907.4</v>
      </c>
      <c r="BW61" s="325">
        <v>12644.7</v>
      </c>
      <c r="BX61" s="325">
        <v>1719531.95</v>
      </c>
      <c r="BY61" s="325">
        <v>937129.53</v>
      </c>
      <c r="BZ61" s="325"/>
      <c r="CA61" s="325">
        <v>264058.99</v>
      </c>
      <c r="CB61" s="325"/>
      <c r="CC61" s="325">
        <v>75376.399999999994</v>
      </c>
      <c r="CD61" s="25" t="s">
        <v>248</v>
      </c>
      <c r="CE61" s="28">
        <f t="shared" si="6"/>
        <v>76189576.150000006</v>
      </c>
    </row>
    <row r="62" spans="1:83" x14ac:dyDescent="0.25">
      <c r="A62" s="35" t="s">
        <v>11</v>
      </c>
      <c r="B62" s="16"/>
      <c r="C62" s="28">
        <f t="shared" ref="C62:AH62" si="7">ROUND(C47+C48,0)</f>
        <v>617639</v>
      </c>
      <c r="D62" s="28">
        <f t="shared" si="7"/>
        <v>103526</v>
      </c>
      <c r="E62" s="28">
        <f t="shared" si="7"/>
        <v>1098423</v>
      </c>
      <c r="F62" s="28">
        <f t="shared" si="7"/>
        <v>750371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237623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135426</v>
      </c>
      <c r="P62" s="28">
        <f t="shared" si="7"/>
        <v>380865</v>
      </c>
      <c r="Q62" s="28">
        <f t="shared" si="7"/>
        <v>149353</v>
      </c>
      <c r="R62" s="28">
        <f t="shared" si="7"/>
        <v>50526</v>
      </c>
      <c r="S62" s="28">
        <f t="shared" si="7"/>
        <v>97505</v>
      </c>
      <c r="T62" s="28">
        <f t="shared" si="7"/>
        <v>0</v>
      </c>
      <c r="U62" s="28">
        <f t="shared" si="7"/>
        <v>278185</v>
      </c>
      <c r="V62" s="28">
        <f t="shared" si="7"/>
        <v>12165</v>
      </c>
      <c r="W62" s="28">
        <f t="shared" si="7"/>
        <v>71036</v>
      </c>
      <c r="X62" s="28">
        <f t="shared" si="7"/>
        <v>123303</v>
      </c>
      <c r="Y62" s="28">
        <f t="shared" si="7"/>
        <v>454173</v>
      </c>
      <c r="Z62" s="28">
        <f t="shared" si="7"/>
        <v>0</v>
      </c>
      <c r="AA62" s="28">
        <f t="shared" si="7"/>
        <v>39323</v>
      </c>
      <c r="AB62" s="28">
        <f t="shared" si="7"/>
        <v>326301</v>
      </c>
      <c r="AC62" s="28">
        <f t="shared" si="7"/>
        <v>233234</v>
      </c>
      <c r="AD62" s="28">
        <f t="shared" si="7"/>
        <v>0</v>
      </c>
      <c r="AE62" s="28">
        <f t="shared" si="7"/>
        <v>446950</v>
      </c>
      <c r="AF62" s="28">
        <f t="shared" si="7"/>
        <v>0</v>
      </c>
      <c r="AG62" s="28">
        <f t="shared" si="7"/>
        <v>505671</v>
      </c>
      <c r="AH62" s="28">
        <f t="shared" si="7"/>
        <v>0</v>
      </c>
      <c r="AI62" s="28">
        <f t="shared" ref="AI62:BN62" si="8">ROUND(AI47+AI48,0)</f>
        <v>399908</v>
      </c>
      <c r="AJ62" s="28">
        <f t="shared" si="8"/>
        <v>247683</v>
      </c>
      <c r="AK62" s="28">
        <f t="shared" si="8"/>
        <v>0</v>
      </c>
      <c r="AL62" s="28">
        <f t="shared" si="8"/>
        <v>75356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4691621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527518</v>
      </c>
      <c r="AX62" s="28">
        <f t="shared" si="8"/>
        <v>0</v>
      </c>
      <c r="AY62" s="28">
        <f t="shared" si="8"/>
        <v>199173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88315</v>
      </c>
      <c r="BE62" s="28">
        <f t="shared" si="8"/>
        <v>93208</v>
      </c>
      <c r="BF62" s="28">
        <f t="shared" si="8"/>
        <v>344992</v>
      </c>
      <c r="BG62" s="28">
        <f t="shared" si="8"/>
        <v>0</v>
      </c>
      <c r="BH62" s="28">
        <f t="shared" si="8"/>
        <v>229728</v>
      </c>
      <c r="BI62" s="28">
        <f t="shared" si="8"/>
        <v>0</v>
      </c>
      <c r="BJ62" s="28">
        <f t="shared" si="8"/>
        <v>102440</v>
      </c>
      <c r="BK62" s="28">
        <f t="shared" si="8"/>
        <v>0</v>
      </c>
      <c r="BL62" s="28">
        <f t="shared" si="8"/>
        <v>12004</v>
      </c>
      <c r="BM62" s="28">
        <f t="shared" si="8"/>
        <v>0</v>
      </c>
      <c r="BN62" s="28">
        <f t="shared" si="8"/>
        <v>185831</v>
      </c>
      <c r="BO62" s="28">
        <f t="shared" ref="BO62:CC62" si="9">ROUND(BO47+BO48,0)</f>
        <v>19923</v>
      </c>
      <c r="BP62" s="28">
        <f t="shared" si="9"/>
        <v>16946</v>
      </c>
      <c r="BQ62" s="28">
        <f t="shared" si="9"/>
        <v>0</v>
      </c>
      <c r="BR62" s="28">
        <f t="shared" si="9"/>
        <v>108132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42772</v>
      </c>
      <c r="BW62" s="28">
        <f t="shared" si="9"/>
        <v>2332</v>
      </c>
      <c r="BX62" s="28">
        <f t="shared" si="9"/>
        <v>317143</v>
      </c>
      <c r="BY62" s="28">
        <f t="shared" si="9"/>
        <v>172840</v>
      </c>
      <c r="BZ62" s="28">
        <f t="shared" si="9"/>
        <v>0</v>
      </c>
      <c r="CA62" s="28">
        <f t="shared" si="9"/>
        <v>48702</v>
      </c>
      <c r="CB62" s="28">
        <f t="shared" si="9"/>
        <v>0</v>
      </c>
      <c r="CC62" s="28">
        <f t="shared" si="9"/>
        <v>13902</v>
      </c>
      <c r="CD62" s="25" t="s">
        <v>248</v>
      </c>
      <c r="CE62" s="28">
        <f t="shared" si="6"/>
        <v>14052067</v>
      </c>
    </row>
    <row r="63" spans="1:83" x14ac:dyDescent="0.25">
      <c r="A63" s="35" t="s">
        <v>264</v>
      </c>
      <c r="B63" s="16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>
        <v>86167</v>
      </c>
      <c r="Q63" s="320"/>
      <c r="R63" s="320">
        <v>1471988</v>
      </c>
      <c r="S63" s="325"/>
      <c r="T63" s="325"/>
      <c r="U63" s="321">
        <v>194873</v>
      </c>
      <c r="V63" s="320">
        <v>60185</v>
      </c>
      <c r="W63" s="320"/>
      <c r="X63" s="320"/>
      <c r="Y63" s="320">
        <v>958612</v>
      </c>
      <c r="Z63" s="320"/>
      <c r="AA63" s="320"/>
      <c r="AB63" s="326"/>
      <c r="AC63" s="320">
        <v>32095</v>
      </c>
      <c r="AD63" s="320"/>
      <c r="AE63" s="320">
        <v>1800</v>
      </c>
      <c r="AF63" s="320"/>
      <c r="AG63" s="320">
        <v>4475211</v>
      </c>
      <c r="AH63" s="320"/>
      <c r="AI63" s="320"/>
      <c r="AJ63" s="320"/>
      <c r="AK63" s="320"/>
      <c r="AL63" s="320"/>
      <c r="AM63" s="320"/>
      <c r="AN63" s="320"/>
      <c r="AO63" s="320"/>
      <c r="AP63" s="320">
        <v>-148605</v>
      </c>
      <c r="AQ63" s="320"/>
      <c r="AR63" s="320"/>
      <c r="AS63" s="320"/>
      <c r="AT63" s="320"/>
      <c r="AU63" s="320"/>
      <c r="AV63" s="325"/>
      <c r="AW63" s="325">
        <f>11695+63978</f>
        <v>75673</v>
      </c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/>
      <c r="BK63" s="325"/>
      <c r="BL63" s="325"/>
      <c r="BM63" s="325"/>
      <c r="BN63" s="325">
        <f>1266+81250</f>
        <v>82516</v>
      </c>
      <c r="BO63" s="325"/>
      <c r="BP63" s="325"/>
      <c r="BQ63" s="325"/>
      <c r="BR63" s="325"/>
      <c r="BS63" s="325"/>
      <c r="BT63" s="325"/>
      <c r="BU63" s="325"/>
      <c r="BV63" s="325"/>
      <c r="BW63" s="325">
        <v>4312</v>
      </c>
      <c r="BX63" s="325"/>
      <c r="BY63" s="325"/>
      <c r="BZ63" s="325"/>
      <c r="CA63" s="325"/>
      <c r="CB63" s="325"/>
      <c r="CC63" s="325">
        <v>4910</v>
      </c>
      <c r="CD63" s="25" t="s">
        <v>248</v>
      </c>
      <c r="CE63" s="28">
        <f t="shared" si="6"/>
        <v>7299737</v>
      </c>
    </row>
    <row r="64" spans="1:83" x14ac:dyDescent="0.25">
      <c r="A64" s="35" t="s">
        <v>265</v>
      </c>
      <c r="B64" s="16"/>
      <c r="C64" s="318">
        <f>604787.61+8038.56</f>
        <v>612826.17000000004</v>
      </c>
      <c r="D64" s="318">
        <v>90952</v>
      </c>
      <c r="E64" s="318">
        <v>542260</v>
      </c>
      <c r="F64" s="318">
        <v>655776</v>
      </c>
      <c r="G64" s="318"/>
      <c r="H64" s="318"/>
      <c r="I64" s="318"/>
      <c r="J64" s="318">
        <v>149958</v>
      </c>
      <c r="K64" s="318"/>
      <c r="L64" s="318"/>
      <c r="M64" s="318"/>
      <c r="N64" s="318"/>
      <c r="O64" s="318">
        <v>-331</v>
      </c>
      <c r="P64" s="320">
        <f>6520701.45-872</f>
        <v>6519829.4500000002</v>
      </c>
      <c r="Q64" s="320">
        <v>8588.66</v>
      </c>
      <c r="R64" s="320">
        <v>202661.92</v>
      </c>
      <c r="S64" s="325">
        <f>619135.79+277042.5+536172.64</f>
        <v>1432350.9300000002</v>
      </c>
      <c r="T64" s="325">
        <v>146360.69</v>
      </c>
      <c r="U64" s="321">
        <f>1524655.79+967</f>
        <v>1525622.79</v>
      </c>
      <c r="V64" s="320">
        <v>2809.25</v>
      </c>
      <c r="W64" s="320">
        <f>4743.97+5126.35</f>
        <v>9870.32</v>
      </c>
      <c r="X64" s="320">
        <f>138567.53+11953.73</f>
        <v>150521.26</v>
      </c>
      <c r="Y64" s="320">
        <f>37118.1+146138.8+12424.71+9509.97+10720.02+1261.43</f>
        <v>217173.02999999997</v>
      </c>
      <c r="Z64" s="320">
        <f>5523044.61+493612.84</f>
        <v>6016657.4500000002</v>
      </c>
      <c r="AA64" s="320">
        <v>44294.23</v>
      </c>
      <c r="AB64" s="326">
        <f>2930987.16+53041.65</f>
        <v>2984028.81</v>
      </c>
      <c r="AC64" s="320">
        <v>310573.21000000002</v>
      </c>
      <c r="AD64" s="320"/>
      <c r="AE64" s="320">
        <f>1999.28+92941.74+24841.05</f>
        <v>119782.07</v>
      </c>
      <c r="AF64" s="320"/>
      <c r="AG64" s="320">
        <f>757018+1305.22</f>
        <v>758323.22</v>
      </c>
      <c r="AH64" s="320"/>
      <c r="AI64" s="320">
        <f>507.1+165201.17+121970.19</f>
        <v>287678.46000000002</v>
      </c>
      <c r="AJ64" s="320">
        <f>208104.11+8910.99+71437.93</f>
        <v>288453.02999999997</v>
      </c>
      <c r="AK64" s="320"/>
      <c r="AL64" s="320">
        <v>2193.9</v>
      </c>
      <c r="AM64" s="320"/>
      <c r="AN64" s="320"/>
      <c r="AO64" s="320"/>
      <c r="AP64" s="320">
        <f>1018646.81+56918.98+40520.95</f>
        <v>1116086.74</v>
      </c>
      <c r="AQ64" s="320"/>
      <c r="AR64" s="320"/>
      <c r="AS64" s="320"/>
      <c r="AT64" s="320"/>
      <c r="AU64" s="320"/>
      <c r="AV64" s="325"/>
      <c r="AW64" s="325">
        <f>23423.15</f>
        <v>23423.15</v>
      </c>
      <c r="AX64" s="325"/>
      <c r="AY64" s="320">
        <v>568508.1</v>
      </c>
      <c r="AZ64" s="320"/>
      <c r="BA64" s="325">
        <v>41135.1</v>
      </c>
      <c r="BB64" s="325"/>
      <c r="BC64" s="325"/>
      <c r="BD64" s="325">
        <f>-129493.97+11782.78</f>
        <v>-117711.19</v>
      </c>
      <c r="BE64" s="320">
        <f>41320.42-167.81</f>
        <v>41152.61</v>
      </c>
      <c r="BF64" s="325">
        <v>149729.26</v>
      </c>
      <c r="BG64" s="325">
        <v>461.39</v>
      </c>
      <c r="BH64" s="325">
        <v>30127.599999999999</v>
      </c>
      <c r="BI64" s="325"/>
      <c r="BJ64" s="325">
        <v>1070.9000000000001</v>
      </c>
      <c r="BK64" s="325">
        <v>480.28</v>
      </c>
      <c r="BL64" s="325">
        <v>28285.13</v>
      </c>
      <c r="BM64" s="325"/>
      <c r="BN64" s="325">
        <v>41458.83</v>
      </c>
      <c r="BO64" s="325">
        <v>1336.58</v>
      </c>
      <c r="BP64" s="325">
        <v>1014.25</v>
      </c>
      <c r="BQ64" s="325"/>
      <c r="BR64" s="325">
        <v>27298.6</v>
      </c>
      <c r="BS64" s="325">
        <v>31548.71</v>
      </c>
      <c r="BT64" s="325">
        <v>92.08</v>
      </c>
      <c r="BU64" s="325"/>
      <c r="BV64" s="325">
        <v>4044.88</v>
      </c>
      <c r="BW64" s="325">
        <v>36266.980000000003</v>
      </c>
      <c r="BX64" s="325">
        <f>289.75+4948.05+11057.16</f>
        <v>16294.96</v>
      </c>
      <c r="BY64" s="325">
        <v>84593.09</v>
      </c>
      <c r="BZ64" s="325"/>
      <c r="CA64" s="325">
        <v>6349.25</v>
      </c>
      <c r="CB64" s="325"/>
      <c r="CC64" s="325">
        <f>28715.49+1698.06+36.73</f>
        <v>30450.280000000002</v>
      </c>
      <c r="CD64" s="25" t="s">
        <v>248</v>
      </c>
      <c r="CE64" s="28">
        <f t="shared" si="6"/>
        <v>25242711.409999996</v>
      </c>
    </row>
    <row r="65" spans="1:83" x14ac:dyDescent="0.25">
      <c r="A65" s="35" t="s">
        <v>266</v>
      </c>
      <c r="B65" s="16"/>
      <c r="C65" s="318">
        <v>4810.4399999999996</v>
      </c>
      <c r="D65" s="318"/>
      <c r="E65" s="318">
        <v>360</v>
      </c>
      <c r="F65" s="318"/>
      <c r="G65" s="318"/>
      <c r="H65" s="318"/>
      <c r="I65" s="318"/>
      <c r="J65" s="318"/>
      <c r="K65" s="318"/>
      <c r="L65" s="318"/>
      <c r="M65" s="318"/>
      <c r="N65" s="318"/>
      <c r="O65" s="318">
        <v>1921.44</v>
      </c>
      <c r="P65" s="320">
        <v>566.1</v>
      </c>
      <c r="Q65" s="320"/>
      <c r="R65" s="320"/>
      <c r="S65" s="325"/>
      <c r="T65" s="325"/>
      <c r="U65" s="321"/>
      <c r="V65" s="320"/>
      <c r="W65" s="320"/>
      <c r="X65" s="320"/>
      <c r="Y65" s="320">
        <v>1400.88</v>
      </c>
      <c r="Z65" s="320"/>
      <c r="AA65" s="320"/>
      <c r="AB65" s="326"/>
      <c r="AC65" s="320">
        <v>757.44</v>
      </c>
      <c r="AD65" s="320"/>
      <c r="AE65" s="320">
        <v>757.44</v>
      </c>
      <c r="AF65" s="320"/>
      <c r="AG65" s="320">
        <f>757.44+730.44+1340.88</f>
        <v>2828.76</v>
      </c>
      <c r="AH65" s="320"/>
      <c r="AI65" s="320"/>
      <c r="AJ65" s="320"/>
      <c r="AK65" s="320"/>
      <c r="AL65" s="320"/>
      <c r="AM65" s="320"/>
      <c r="AN65" s="320"/>
      <c r="AO65" s="320"/>
      <c r="AP65" s="320">
        <f>237006+15871.54-363.4+152054.6+203930.17+4628.45</f>
        <v>613127.36</v>
      </c>
      <c r="AQ65" s="320"/>
      <c r="AR65" s="320"/>
      <c r="AS65" s="320"/>
      <c r="AT65" s="320"/>
      <c r="AU65" s="320"/>
      <c r="AV65" s="325"/>
      <c r="AW65" s="325">
        <v>2071.3200000000002</v>
      </c>
      <c r="AX65" s="325"/>
      <c r="AY65" s="320"/>
      <c r="AZ65" s="320"/>
      <c r="BA65" s="325"/>
      <c r="BB65" s="325"/>
      <c r="BC65" s="325"/>
      <c r="BD65" s="325">
        <f>118.53+29479.46+1097.84</f>
        <v>30695.829999999998</v>
      </c>
      <c r="BE65" s="320">
        <v>1055175.3600000001</v>
      </c>
      <c r="BF65" s="325">
        <v>150939.92000000001</v>
      </c>
      <c r="BG65" s="325"/>
      <c r="BH65" s="325">
        <v>380791.76</v>
      </c>
      <c r="BI65" s="325"/>
      <c r="BJ65" s="325">
        <v>4114.2</v>
      </c>
      <c r="BK65" s="325"/>
      <c r="BL65" s="325"/>
      <c r="BM65" s="325"/>
      <c r="BN65" s="325">
        <v>2531.1</v>
      </c>
      <c r="BO65" s="325"/>
      <c r="BP65" s="325"/>
      <c r="BQ65" s="325"/>
      <c r="BR65" s="325">
        <v>330</v>
      </c>
      <c r="BS65" s="325"/>
      <c r="BT65" s="325"/>
      <c r="BU65" s="325"/>
      <c r="BV65" s="325"/>
      <c r="BW65" s="325"/>
      <c r="BX65" s="325">
        <v>550.44000000000005</v>
      </c>
      <c r="BY65" s="325">
        <v>757.44</v>
      </c>
      <c r="BZ65" s="325"/>
      <c r="CA65" s="325"/>
      <c r="CB65" s="325"/>
      <c r="CC65" s="325">
        <v>757.44</v>
      </c>
      <c r="CD65" s="25" t="s">
        <v>248</v>
      </c>
      <c r="CE65" s="28">
        <f t="shared" si="6"/>
        <v>2255244.67</v>
      </c>
    </row>
    <row r="66" spans="1:83" x14ac:dyDescent="0.25">
      <c r="A66" s="35" t="s">
        <v>267</v>
      </c>
      <c r="B66" s="16"/>
      <c r="C66" s="318">
        <v>117618</v>
      </c>
      <c r="D66" s="318">
        <v>363</v>
      </c>
      <c r="E66" s="318">
        <v>423307.07</v>
      </c>
      <c r="F66" s="318">
        <v>547.29999999999995</v>
      </c>
      <c r="G66" s="318"/>
      <c r="H66" s="318"/>
      <c r="I66" s="318"/>
      <c r="J66" s="318">
        <v>1793</v>
      </c>
      <c r="K66" s="318"/>
      <c r="L66" s="318"/>
      <c r="M66" s="318"/>
      <c r="N66" s="318"/>
      <c r="O66" s="318">
        <v>473</v>
      </c>
      <c r="P66" s="320">
        <v>33200.75</v>
      </c>
      <c r="Q66" s="320">
        <v>572</v>
      </c>
      <c r="R66" s="320"/>
      <c r="S66" s="325">
        <v>34564.51</v>
      </c>
      <c r="T66" s="325"/>
      <c r="U66" s="321">
        <v>338796.85</v>
      </c>
      <c r="V66" s="320"/>
      <c r="W66" s="320"/>
      <c r="X66" s="320">
        <v>257585.39</v>
      </c>
      <c r="Y66" s="320">
        <v>81932.62</v>
      </c>
      <c r="Z66" s="320">
        <v>213</v>
      </c>
      <c r="AA66" s="320"/>
      <c r="AB66" s="326">
        <v>140535.89000000001</v>
      </c>
      <c r="AC66" s="320">
        <v>8562.08</v>
      </c>
      <c r="AD66" s="320"/>
      <c r="AE66" s="320">
        <v>302671.89</v>
      </c>
      <c r="AF66" s="320"/>
      <c r="AG66" s="320">
        <v>507971.17</v>
      </c>
      <c r="AH66" s="320"/>
      <c r="AI66" s="320">
        <v>29438.799999999999</v>
      </c>
      <c r="AJ66" s="320">
        <v>1628</v>
      </c>
      <c r="AK66" s="320"/>
      <c r="AL66" s="320"/>
      <c r="AM66" s="320"/>
      <c r="AN66" s="320"/>
      <c r="AO66" s="320"/>
      <c r="AP66" s="320">
        <f>2538191.48</f>
        <v>2538191.48</v>
      </c>
      <c r="AQ66" s="320"/>
      <c r="AR66" s="320"/>
      <c r="AS66" s="320"/>
      <c r="AT66" s="320"/>
      <c r="AU66" s="320"/>
      <c r="AV66" s="325"/>
      <c r="AW66" s="325">
        <v>1017.08</v>
      </c>
      <c r="AX66" s="325"/>
      <c r="AY66" s="320">
        <v>37228.85</v>
      </c>
      <c r="AZ66" s="320"/>
      <c r="BA66" s="325"/>
      <c r="BB66" s="325"/>
      <c r="BC66" s="325"/>
      <c r="BD66" s="325">
        <v>136890.69</v>
      </c>
      <c r="BE66" s="320">
        <v>673719.87</v>
      </c>
      <c r="BF66" s="325">
        <v>61884.1</v>
      </c>
      <c r="BG66" s="325">
        <v>1081.57</v>
      </c>
      <c r="BH66" s="325">
        <v>564296.39</v>
      </c>
      <c r="BI66" s="325"/>
      <c r="BJ66" s="325">
        <v>64256.37</v>
      </c>
      <c r="BK66" s="325">
        <v>-167585.47</v>
      </c>
      <c r="BL66" s="325">
        <v>42177.18</v>
      </c>
      <c r="BM66" s="325"/>
      <c r="BN66" s="325">
        <f>593687.19</f>
        <v>593687.18999999994</v>
      </c>
      <c r="BO66" s="325">
        <v>206030.82</v>
      </c>
      <c r="BP66" s="325">
        <v>12619.56</v>
      </c>
      <c r="BQ66" s="325"/>
      <c r="BR66" s="325">
        <v>215954.05</v>
      </c>
      <c r="BS66" s="325">
        <v>179.91</v>
      </c>
      <c r="BT66" s="325">
        <v>20933.47</v>
      </c>
      <c r="BU66" s="325"/>
      <c r="BV66" s="325">
        <v>919550</v>
      </c>
      <c r="BW66" s="325">
        <v>77551.19</v>
      </c>
      <c r="BX66" s="325">
        <v>683716.49</v>
      </c>
      <c r="BY66" s="325">
        <v>8319.7099999999991</v>
      </c>
      <c r="BZ66" s="325"/>
      <c r="CA66" s="325">
        <v>4338.54</v>
      </c>
      <c r="CB66" s="325">
        <v>37825.07</v>
      </c>
      <c r="CC66" s="325">
        <f>2766112.32+3978.94+9979.9+71.64+605.86+144</f>
        <v>2780892.6599999997</v>
      </c>
      <c r="CD66" s="25" t="s">
        <v>248</v>
      </c>
      <c r="CE66" s="28">
        <f t="shared" si="6"/>
        <v>11796531.090000002</v>
      </c>
    </row>
    <row r="67" spans="1:83" x14ac:dyDescent="0.25">
      <c r="A67" s="35" t="s">
        <v>16</v>
      </c>
      <c r="B67" s="16"/>
      <c r="C67" s="28">
        <f t="shared" ref="C67:AH67" si="10">ROUND(C51+C52,0)</f>
        <v>96021</v>
      </c>
      <c r="D67" s="28">
        <f t="shared" si="10"/>
        <v>162322</v>
      </c>
      <c r="E67" s="28">
        <f t="shared" si="10"/>
        <v>295564</v>
      </c>
      <c r="F67" s="28">
        <f t="shared" si="10"/>
        <v>115501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17742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169262</v>
      </c>
      <c r="Q67" s="28">
        <f t="shared" si="10"/>
        <v>39192</v>
      </c>
      <c r="R67" s="28">
        <f t="shared" si="10"/>
        <v>1750</v>
      </c>
      <c r="S67" s="28">
        <f t="shared" si="10"/>
        <v>56747</v>
      </c>
      <c r="T67" s="28">
        <f t="shared" si="10"/>
        <v>0</v>
      </c>
      <c r="U67" s="28">
        <f t="shared" si="10"/>
        <v>125264</v>
      </c>
      <c r="V67" s="28">
        <f t="shared" si="10"/>
        <v>1750</v>
      </c>
      <c r="W67" s="28">
        <f t="shared" si="10"/>
        <v>64854</v>
      </c>
      <c r="X67" s="28">
        <f t="shared" si="10"/>
        <v>36976</v>
      </c>
      <c r="Y67" s="28">
        <f t="shared" si="10"/>
        <v>194749</v>
      </c>
      <c r="Z67" s="28">
        <f t="shared" si="10"/>
        <v>0</v>
      </c>
      <c r="AA67" s="28">
        <f t="shared" si="10"/>
        <v>49539</v>
      </c>
      <c r="AB67" s="28">
        <f t="shared" si="10"/>
        <v>45538</v>
      </c>
      <c r="AC67" s="28">
        <f t="shared" si="10"/>
        <v>47322</v>
      </c>
      <c r="AD67" s="28">
        <f t="shared" si="10"/>
        <v>40907</v>
      </c>
      <c r="AE67" s="28">
        <f t="shared" si="10"/>
        <v>95100</v>
      </c>
      <c r="AF67" s="28">
        <f t="shared" si="10"/>
        <v>0</v>
      </c>
      <c r="AG67" s="28">
        <f t="shared" si="10"/>
        <v>145945</v>
      </c>
      <c r="AH67" s="28">
        <f t="shared" si="10"/>
        <v>0</v>
      </c>
      <c r="AI67" s="28">
        <f t="shared" ref="AI67:BN67" si="11">ROUND(AI51+AI52,0)</f>
        <v>240438</v>
      </c>
      <c r="AJ67" s="28">
        <f t="shared" si="11"/>
        <v>13904</v>
      </c>
      <c r="AK67" s="28">
        <f t="shared" si="11"/>
        <v>0</v>
      </c>
      <c r="AL67" s="28">
        <f t="shared" si="11"/>
        <v>2333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1079527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16272</v>
      </c>
      <c r="AX67" s="28">
        <f t="shared" si="11"/>
        <v>0</v>
      </c>
      <c r="AY67" s="28">
        <f t="shared" si="11"/>
        <v>70150</v>
      </c>
      <c r="AZ67" s="28">
        <f t="shared" si="11"/>
        <v>0</v>
      </c>
      <c r="BA67" s="28">
        <f t="shared" si="11"/>
        <v>8748</v>
      </c>
      <c r="BB67" s="28">
        <f t="shared" si="11"/>
        <v>0</v>
      </c>
      <c r="BC67" s="28">
        <f t="shared" si="11"/>
        <v>0</v>
      </c>
      <c r="BD67" s="28">
        <f t="shared" si="11"/>
        <v>115757</v>
      </c>
      <c r="BE67" s="28">
        <f t="shared" si="11"/>
        <v>205888</v>
      </c>
      <c r="BF67" s="28">
        <f t="shared" si="11"/>
        <v>16283</v>
      </c>
      <c r="BG67" s="28">
        <f t="shared" si="11"/>
        <v>9693</v>
      </c>
      <c r="BH67" s="28">
        <f t="shared" si="11"/>
        <v>66429</v>
      </c>
      <c r="BI67" s="28">
        <f t="shared" si="11"/>
        <v>0</v>
      </c>
      <c r="BJ67" s="28">
        <f t="shared" si="11"/>
        <v>7489</v>
      </c>
      <c r="BK67" s="28">
        <f t="shared" si="11"/>
        <v>17147</v>
      </c>
      <c r="BL67" s="28">
        <f t="shared" si="11"/>
        <v>51813</v>
      </c>
      <c r="BM67" s="28">
        <f t="shared" si="11"/>
        <v>0</v>
      </c>
      <c r="BN67" s="28">
        <f t="shared" si="11"/>
        <v>19958</v>
      </c>
      <c r="BO67" s="28">
        <f t="shared" ref="BO67:CC67" si="12">ROUND(BO51+BO52,0)</f>
        <v>2881</v>
      </c>
      <c r="BP67" s="28">
        <f t="shared" si="12"/>
        <v>3033</v>
      </c>
      <c r="BQ67" s="28">
        <f t="shared" si="12"/>
        <v>0</v>
      </c>
      <c r="BR67" s="28">
        <f t="shared" si="12"/>
        <v>51673</v>
      </c>
      <c r="BS67" s="28">
        <f t="shared" si="12"/>
        <v>6765</v>
      </c>
      <c r="BT67" s="28">
        <f t="shared" si="12"/>
        <v>6707</v>
      </c>
      <c r="BU67" s="28">
        <f t="shared" si="12"/>
        <v>0</v>
      </c>
      <c r="BV67" s="28">
        <f t="shared" si="12"/>
        <v>8258</v>
      </c>
      <c r="BW67" s="28">
        <f t="shared" si="12"/>
        <v>22116</v>
      </c>
      <c r="BX67" s="28">
        <f t="shared" si="12"/>
        <v>6205</v>
      </c>
      <c r="BY67" s="28">
        <f t="shared" si="12"/>
        <v>6789</v>
      </c>
      <c r="BZ67" s="28">
        <f t="shared" si="12"/>
        <v>0</v>
      </c>
      <c r="CA67" s="28">
        <f t="shared" si="12"/>
        <v>2939</v>
      </c>
      <c r="CB67" s="28">
        <f t="shared" si="12"/>
        <v>1400</v>
      </c>
      <c r="CC67" s="28">
        <f t="shared" si="12"/>
        <v>1056280</v>
      </c>
      <c r="CD67" s="25" t="s">
        <v>248</v>
      </c>
      <c r="CE67" s="28">
        <f t="shared" si="6"/>
        <v>4918920</v>
      </c>
    </row>
    <row r="68" spans="1:83" x14ac:dyDescent="0.25">
      <c r="A68" s="35" t="s">
        <v>268</v>
      </c>
      <c r="B68" s="28"/>
      <c r="C68" s="318">
        <v>12066</v>
      </c>
      <c r="D68" s="318"/>
      <c r="E68" s="318"/>
      <c r="F68" s="318">
        <v>107</v>
      </c>
      <c r="G68" s="318"/>
      <c r="H68" s="318"/>
      <c r="I68" s="318"/>
      <c r="J68" s="318"/>
      <c r="K68" s="318"/>
      <c r="L68" s="318"/>
      <c r="M68" s="318"/>
      <c r="N68" s="318"/>
      <c r="O68" s="318"/>
      <c r="P68" s="320">
        <f>2152+756</f>
        <v>2908</v>
      </c>
      <c r="Q68" s="320"/>
      <c r="R68" s="320"/>
      <c r="S68" s="325">
        <v>1866</v>
      </c>
      <c r="T68" s="325"/>
      <c r="U68" s="321"/>
      <c r="V68" s="320"/>
      <c r="W68" s="320"/>
      <c r="X68" s="320"/>
      <c r="Y68" s="320"/>
      <c r="Z68" s="320"/>
      <c r="AA68" s="320"/>
      <c r="AB68" s="326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  <c r="AM68" s="320"/>
      <c r="AN68" s="320"/>
      <c r="AO68" s="320"/>
      <c r="AP68" s="320">
        <v>305911</v>
      </c>
      <c r="AQ68" s="320"/>
      <c r="AR68" s="320"/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/>
      <c r="BE68" s="320"/>
      <c r="BF68" s="325"/>
      <c r="BG68" s="325"/>
      <c r="BH68" s="325"/>
      <c r="BI68" s="325"/>
      <c r="BJ68" s="325"/>
      <c r="BK68" s="325"/>
      <c r="BL68" s="325"/>
      <c r="BM68" s="325"/>
      <c r="BN68" s="325">
        <v>16638</v>
      </c>
      <c r="BO68" s="325"/>
      <c r="BP68" s="325"/>
      <c r="BQ68" s="325"/>
      <c r="BR68" s="325"/>
      <c r="BS68" s="325"/>
      <c r="BT68" s="325"/>
      <c r="BU68" s="325"/>
      <c r="BV68" s="325"/>
      <c r="BW68" s="325"/>
      <c r="BX68" s="325"/>
      <c r="BY68" s="325"/>
      <c r="BZ68" s="325"/>
      <c r="CA68" s="325"/>
      <c r="CB68" s="325"/>
      <c r="CC68" s="325"/>
      <c r="CD68" s="25" t="s">
        <v>248</v>
      </c>
      <c r="CE68" s="28">
        <f t="shared" si="6"/>
        <v>339496</v>
      </c>
    </row>
    <row r="69" spans="1:83" x14ac:dyDescent="0.25">
      <c r="A69" s="35" t="s">
        <v>269</v>
      </c>
      <c r="B69" s="16"/>
      <c r="C69" s="28">
        <f t="shared" ref="C69:AH69" si="13">SUM(C70:C83)</f>
        <v>1544013.77</v>
      </c>
      <c r="D69" s="28">
        <f t="shared" si="13"/>
        <v>533154</v>
      </c>
      <c r="E69" s="28">
        <f t="shared" si="13"/>
        <v>1276390.7</v>
      </c>
      <c r="F69" s="28">
        <f t="shared" si="13"/>
        <v>35617.06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164981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383227.28</v>
      </c>
      <c r="P69" s="28">
        <f t="shared" si="13"/>
        <v>849218.7</v>
      </c>
      <c r="Q69" s="28">
        <f t="shared" si="13"/>
        <v>436.68</v>
      </c>
      <c r="R69" s="28">
        <f t="shared" si="13"/>
        <v>-347.57</v>
      </c>
      <c r="S69" s="28">
        <f t="shared" si="13"/>
        <v>175485.02000000002</v>
      </c>
      <c r="T69" s="28">
        <f t="shared" si="13"/>
        <v>0</v>
      </c>
      <c r="U69" s="28">
        <f t="shared" si="13"/>
        <v>1659690.4600000002</v>
      </c>
      <c r="V69" s="28">
        <f t="shared" si="13"/>
        <v>513.46</v>
      </c>
      <c r="W69" s="28">
        <f t="shared" si="13"/>
        <v>234751.22</v>
      </c>
      <c r="X69" s="28">
        <f t="shared" si="13"/>
        <v>339309</v>
      </c>
      <c r="Y69" s="28">
        <f t="shared" si="13"/>
        <v>2275193.42</v>
      </c>
      <c r="Z69" s="28">
        <f t="shared" si="13"/>
        <v>0</v>
      </c>
      <c r="AA69" s="28">
        <f t="shared" si="13"/>
        <v>47346.76</v>
      </c>
      <c r="AB69" s="28">
        <f t="shared" si="13"/>
        <v>628351.31999999995</v>
      </c>
      <c r="AC69" s="28">
        <f t="shared" si="13"/>
        <v>89510</v>
      </c>
      <c r="AD69" s="28">
        <f t="shared" si="13"/>
        <v>0</v>
      </c>
      <c r="AE69" s="28">
        <f t="shared" si="13"/>
        <v>67274.12000000001</v>
      </c>
      <c r="AF69" s="28">
        <f t="shared" si="13"/>
        <v>0</v>
      </c>
      <c r="AG69" s="28">
        <f t="shared" si="13"/>
        <v>2591845.3600000003</v>
      </c>
      <c r="AH69" s="28">
        <f t="shared" si="13"/>
        <v>0</v>
      </c>
      <c r="AI69" s="28">
        <f t="shared" ref="AI69:BN69" si="14">SUM(AI70:AI83)</f>
        <v>54</v>
      </c>
      <c r="AJ69" s="28">
        <f t="shared" si="14"/>
        <v>84471.2</v>
      </c>
      <c r="AK69" s="28">
        <f t="shared" si="14"/>
        <v>0</v>
      </c>
      <c r="AL69" s="28">
        <f t="shared" si="14"/>
        <v>513.46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2038598.79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38916.770000000004</v>
      </c>
      <c r="AX69" s="28">
        <f t="shared" si="14"/>
        <v>0</v>
      </c>
      <c r="AY69" s="28">
        <f t="shared" si="14"/>
        <v>32024.260000000002</v>
      </c>
      <c r="AZ69" s="28">
        <f t="shared" si="14"/>
        <v>0</v>
      </c>
      <c r="BA69" s="28">
        <f t="shared" si="14"/>
        <v>251428</v>
      </c>
      <c r="BB69" s="28">
        <f t="shared" si="14"/>
        <v>0</v>
      </c>
      <c r="BC69" s="28">
        <f t="shared" si="14"/>
        <v>0</v>
      </c>
      <c r="BD69" s="28">
        <f t="shared" si="14"/>
        <v>192563.7</v>
      </c>
      <c r="BE69" s="28">
        <f t="shared" si="14"/>
        <v>779016.29999999993</v>
      </c>
      <c r="BF69" s="28">
        <f t="shared" si="14"/>
        <v>24303.11</v>
      </c>
      <c r="BG69" s="28">
        <f t="shared" si="14"/>
        <v>628018.37</v>
      </c>
      <c r="BH69" s="28">
        <f t="shared" si="14"/>
        <v>2011655.69</v>
      </c>
      <c r="BI69" s="28">
        <f t="shared" si="14"/>
        <v>0</v>
      </c>
      <c r="BJ69" s="28">
        <f t="shared" si="14"/>
        <v>14123.61</v>
      </c>
      <c r="BK69" s="28">
        <f t="shared" si="14"/>
        <v>8519</v>
      </c>
      <c r="BL69" s="28">
        <f t="shared" si="14"/>
        <v>449</v>
      </c>
      <c r="BM69" s="28">
        <f t="shared" si="14"/>
        <v>0</v>
      </c>
      <c r="BN69" s="28">
        <f t="shared" si="14"/>
        <v>1142259.29</v>
      </c>
      <c r="BO69" s="28">
        <f t="shared" ref="BO69:CE69" si="15">SUM(BO70:BO83)</f>
        <v>0</v>
      </c>
      <c r="BP69" s="28">
        <f t="shared" si="15"/>
        <v>321534.74</v>
      </c>
      <c r="BQ69" s="28">
        <f t="shared" si="15"/>
        <v>0</v>
      </c>
      <c r="BR69" s="28">
        <f t="shared" si="15"/>
        <v>319687.28000000003</v>
      </c>
      <c r="BS69" s="28">
        <f t="shared" si="15"/>
        <v>148.88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4500</v>
      </c>
      <c r="BX69" s="28">
        <f t="shared" si="15"/>
        <v>152279.79</v>
      </c>
      <c r="BY69" s="28">
        <f t="shared" si="15"/>
        <v>134428</v>
      </c>
      <c r="BZ69" s="28">
        <f t="shared" si="15"/>
        <v>0</v>
      </c>
      <c r="CA69" s="28">
        <f t="shared" si="15"/>
        <v>188854.26</v>
      </c>
      <c r="CB69" s="28">
        <f t="shared" si="15"/>
        <v>0</v>
      </c>
      <c r="CC69" s="28">
        <f t="shared" si="15"/>
        <v>265398.34999999998</v>
      </c>
      <c r="CD69" s="28">
        <f t="shared" si="15"/>
        <v>8928837.3900000006</v>
      </c>
      <c r="CE69" s="28">
        <f t="shared" si="15"/>
        <v>30458545</v>
      </c>
    </row>
    <row r="70" spans="1:83" x14ac:dyDescent="0.25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>
        <v>10719.25</v>
      </c>
      <c r="T70" s="327"/>
      <c r="U70" s="327">
        <v>589402.62</v>
      </c>
      <c r="V70" s="327"/>
      <c r="W70" s="327"/>
      <c r="X70" s="327"/>
      <c r="Y70" s="327"/>
      <c r="Z70" s="327"/>
      <c r="AA70" s="327"/>
      <c r="AB70" s="327">
        <v>507993</v>
      </c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1108114.8700000001</v>
      </c>
    </row>
    <row r="71" spans="1:83" x14ac:dyDescent="0.25">
      <c r="A71" s="29" t="s">
        <v>271</v>
      </c>
      <c r="B71" s="30"/>
      <c r="C71" s="327">
        <v>1463131.76</v>
      </c>
      <c r="D71" s="327">
        <v>532634</v>
      </c>
      <c r="E71" s="327">
        <f>1217106.34+35325.7</f>
        <v>1252432.04</v>
      </c>
      <c r="F71" s="327">
        <v>34999</v>
      </c>
      <c r="G71" s="327"/>
      <c r="H71" s="327"/>
      <c r="I71" s="327"/>
      <c r="J71" s="327">
        <f>139872+25109</f>
        <v>164981</v>
      </c>
      <c r="K71" s="327"/>
      <c r="L71" s="327"/>
      <c r="M71" s="327"/>
      <c r="N71" s="327"/>
      <c r="O71" s="327">
        <f>382982</f>
        <v>382982</v>
      </c>
      <c r="P71" s="327">
        <v>303206</v>
      </c>
      <c r="Q71" s="327"/>
      <c r="R71" s="327"/>
      <c r="S71" s="327">
        <v>68311</v>
      </c>
      <c r="T71" s="327"/>
      <c r="U71" s="327">
        <v>272624</v>
      </c>
      <c r="V71" s="327"/>
      <c r="W71" s="327"/>
      <c r="X71" s="327"/>
      <c r="Y71" s="327">
        <v>1356745</v>
      </c>
      <c r="Z71" s="327"/>
      <c r="AA71" s="327"/>
      <c r="AB71" s="327"/>
      <c r="AC71" s="327">
        <v>88927</v>
      </c>
      <c r="AD71" s="327"/>
      <c r="AE71" s="327"/>
      <c r="AF71" s="327"/>
      <c r="AG71" s="327">
        <v>2483312</v>
      </c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>
        <v>27693</v>
      </c>
      <c r="AZ71" s="327"/>
      <c r="BA71" s="327"/>
      <c r="BB71" s="327"/>
      <c r="BC71" s="327"/>
      <c r="BD71" s="327"/>
      <c r="BE71" s="327"/>
      <c r="BF71" s="327">
        <v>8637.58</v>
      </c>
      <c r="BG71" s="327"/>
      <c r="BH71" s="327"/>
      <c r="BI71" s="327"/>
      <c r="BJ71" s="327">
        <v>13374</v>
      </c>
      <c r="BK71" s="327"/>
      <c r="BL71" s="327">
        <v>449</v>
      </c>
      <c r="BM71" s="327"/>
      <c r="BN71" s="327"/>
      <c r="BO71" s="327"/>
      <c r="BP71" s="327"/>
      <c r="BQ71" s="327"/>
      <c r="BR71" s="327">
        <v>78810</v>
      </c>
      <c r="BS71" s="327"/>
      <c r="BT71" s="327"/>
      <c r="BU71" s="327"/>
      <c r="BV71" s="327"/>
      <c r="BW71" s="327"/>
      <c r="BX71" s="327"/>
      <c r="BY71" s="327">
        <v>134428</v>
      </c>
      <c r="BZ71" s="327"/>
      <c r="CA71" s="327"/>
      <c r="CB71" s="327"/>
      <c r="CC71" s="327"/>
      <c r="CD71" s="327"/>
      <c r="CE71" s="28">
        <f t="shared" si="16"/>
        <v>8667676.3800000008</v>
      </c>
    </row>
    <row r="72" spans="1:83" x14ac:dyDescent="0.25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>
        <v>985524</v>
      </c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985524</v>
      </c>
    </row>
    <row r="73" spans="1:83" x14ac:dyDescent="0.25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>
        <v>513.5</v>
      </c>
      <c r="Q73" s="327"/>
      <c r="R73" s="327">
        <v>-347.57</v>
      </c>
      <c r="S73" s="327"/>
      <c r="T73" s="327"/>
      <c r="U73" s="327"/>
      <c r="V73" s="327">
        <v>513.46</v>
      </c>
      <c r="W73" s="327">
        <v>513.5</v>
      </c>
      <c r="X73" s="327"/>
      <c r="Y73" s="327">
        <v>513.46</v>
      </c>
      <c r="Z73" s="327"/>
      <c r="AA73" s="327"/>
      <c r="AB73" s="327"/>
      <c r="AC73" s="327"/>
      <c r="AD73" s="327"/>
      <c r="AE73" s="327"/>
      <c r="AF73" s="327"/>
      <c r="AG73" s="327">
        <v>513.46</v>
      </c>
      <c r="AH73" s="327"/>
      <c r="AI73" s="327"/>
      <c r="AJ73" s="327"/>
      <c r="AK73" s="327"/>
      <c r="AL73" s="327">
        <v>513.46</v>
      </c>
      <c r="AM73" s="327"/>
      <c r="AN73" s="327"/>
      <c r="AO73" s="327"/>
      <c r="AP73" s="327">
        <f>230199.84+620468.93+7.23+103991.81+73672.98</f>
        <v>1028340.79</v>
      </c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>
        <v>346017.27</v>
      </c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1377091.33</v>
      </c>
    </row>
    <row r="74" spans="1:83" x14ac:dyDescent="0.25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>
        <v>251428</v>
      </c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251428</v>
      </c>
    </row>
    <row r="75" spans="1:83" x14ac:dyDescent="0.25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>
        <v>575748</v>
      </c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575748</v>
      </c>
    </row>
    <row r="76" spans="1:83" x14ac:dyDescent="0.25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>
        <v>754376</v>
      </c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754376</v>
      </c>
    </row>
    <row r="77" spans="1:83" x14ac:dyDescent="0.25">
      <c r="A77" s="29" t="s">
        <v>277</v>
      </c>
      <c r="B77" s="30"/>
      <c r="C77" s="327">
        <v>42150.73</v>
      </c>
      <c r="D77" s="327">
        <v>520</v>
      </c>
      <c r="E77" s="327">
        <v>9440.1299999999992</v>
      </c>
      <c r="F77" s="327">
        <v>618.05999999999995</v>
      </c>
      <c r="G77" s="327"/>
      <c r="H77" s="327"/>
      <c r="I77" s="327"/>
      <c r="J77" s="327"/>
      <c r="K77" s="327"/>
      <c r="L77" s="327"/>
      <c r="M77" s="327"/>
      <c r="N77" s="327"/>
      <c r="O77" s="327"/>
      <c r="P77" s="327">
        <v>482136</v>
      </c>
      <c r="Q77" s="327">
        <v>436.68</v>
      </c>
      <c r="R77" s="327"/>
      <c r="S77" s="327">
        <v>5880.96</v>
      </c>
      <c r="T77" s="327"/>
      <c r="U77" s="327">
        <v>31917.59</v>
      </c>
      <c r="V77" s="327"/>
      <c r="W77" s="327">
        <v>234237.72</v>
      </c>
      <c r="X77" s="327">
        <v>339309</v>
      </c>
      <c r="Y77" s="327">
        <v>917344.96</v>
      </c>
      <c r="Z77" s="327"/>
      <c r="AA77" s="327">
        <v>47346.76</v>
      </c>
      <c r="AB77" s="327">
        <v>119167.63</v>
      </c>
      <c r="AC77" s="327">
        <v>583</v>
      </c>
      <c r="AD77" s="327"/>
      <c r="AE77" s="327">
        <v>63668.38</v>
      </c>
      <c r="AF77" s="327"/>
      <c r="AG77" s="327">
        <v>15265.18</v>
      </c>
      <c r="AH77" s="327"/>
      <c r="AI77" s="327">
        <v>54</v>
      </c>
      <c r="AJ77" s="327">
        <v>83422.2</v>
      </c>
      <c r="AK77" s="327"/>
      <c r="AL77" s="327"/>
      <c r="AM77" s="327"/>
      <c r="AN77" s="327"/>
      <c r="AO77" s="327"/>
      <c r="AP77" s="327">
        <v>245209.2</v>
      </c>
      <c r="AQ77" s="327"/>
      <c r="AR77" s="327"/>
      <c r="AS77" s="327"/>
      <c r="AT77" s="327"/>
      <c r="AU77" s="327"/>
      <c r="AV77" s="327"/>
      <c r="AW77" s="327"/>
      <c r="AX77" s="327"/>
      <c r="AY77" s="327">
        <v>4331.26</v>
      </c>
      <c r="AZ77" s="327"/>
      <c r="BA77" s="327"/>
      <c r="BB77" s="327"/>
      <c r="BC77" s="327"/>
      <c r="BD77" s="327">
        <v>15583.97</v>
      </c>
      <c r="BE77" s="327">
        <v>756536.83</v>
      </c>
      <c r="BF77" s="327">
        <v>15587.39</v>
      </c>
      <c r="BG77" s="327">
        <v>628018.37</v>
      </c>
      <c r="BH77" s="327">
        <v>1025804.28</v>
      </c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>
        <v>4500</v>
      </c>
      <c r="BX77" s="327">
        <v>103948.49</v>
      </c>
      <c r="BY77" s="327"/>
      <c r="BZ77" s="327"/>
      <c r="CA77" s="327">
        <v>80201.33</v>
      </c>
      <c r="CB77" s="327"/>
      <c r="CC77" s="327">
        <v>1350</v>
      </c>
      <c r="CD77" s="327"/>
      <c r="CE77" s="28">
        <f t="shared" si="16"/>
        <v>5274570.1000000006</v>
      </c>
    </row>
    <row r="78" spans="1:83" x14ac:dyDescent="0.25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>
        <v>37470</v>
      </c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>
        <v>320683</v>
      </c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358153</v>
      </c>
    </row>
    <row r="79" spans="1:83" x14ac:dyDescent="0.25">
      <c r="A79" s="29" t="s">
        <v>279</v>
      </c>
      <c r="B79" s="16"/>
      <c r="C79" s="327"/>
      <c r="D79" s="327"/>
      <c r="E79" s="327">
        <v>2000</v>
      </c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>
        <v>14566</v>
      </c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>
        <f>1499+1460</f>
        <v>2959</v>
      </c>
      <c r="BO79" s="327"/>
      <c r="BP79" s="327"/>
      <c r="BQ79" s="327"/>
      <c r="BR79" s="327">
        <v>216968</v>
      </c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>
        <f>210523+52541</f>
        <v>263064</v>
      </c>
      <c r="CD79" s="327"/>
      <c r="CE79" s="28">
        <f t="shared" si="16"/>
        <v>499557</v>
      </c>
    </row>
    <row r="80" spans="1:83" x14ac:dyDescent="0.25">
      <c r="A80" s="29" t="s">
        <v>280</v>
      </c>
      <c r="B80" s="1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>
        <v>58276</v>
      </c>
      <c r="Q80" s="327"/>
      <c r="R80" s="327"/>
      <c r="S80" s="327"/>
      <c r="T80" s="327"/>
      <c r="U80" s="327">
        <v>3672</v>
      </c>
      <c r="V80" s="327"/>
      <c r="W80" s="327"/>
      <c r="X80" s="327"/>
      <c r="Y80" s="327">
        <v>590</v>
      </c>
      <c r="Z80" s="327"/>
      <c r="AA80" s="327"/>
      <c r="AB80" s="327"/>
      <c r="AC80" s="327"/>
      <c r="AD80" s="327"/>
      <c r="AE80" s="327">
        <v>3361</v>
      </c>
      <c r="AF80" s="327"/>
      <c r="AG80" s="327">
        <v>8469</v>
      </c>
      <c r="AH80" s="327"/>
      <c r="AI80" s="327"/>
      <c r="AJ80" s="327">
        <v>1049</v>
      </c>
      <c r="AK80" s="327"/>
      <c r="AL80" s="327"/>
      <c r="AM80" s="327"/>
      <c r="AN80" s="327"/>
      <c r="AO80" s="327"/>
      <c r="AP80" s="327">
        <f>5579+84797</f>
        <v>90376</v>
      </c>
      <c r="AQ80" s="327"/>
      <c r="AR80" s="327"/>
      <c r="AS80" s="327"/>
      <c r="AT80" s="327"/>
      <c r="AU80" s="327"/>
      <c r="AV80" s="327"/>
      <c r="AW80" s="327">
        <v>16786</v>
      </c>
      <c r="AX80" s="327"/>
      <c r="AY80" s="327"/>
      <c r="AZ80" s="327"/>
      <c r="BA80" s="327"/>
      <c r="BB80" s="327"/>
      <c r="BC80" s="327"/>
      <c r="BD80" s="327">
        <v>104</v>
      </c>
      <c r="BE80" s="327">
        <v>5836</v>
      </c>
      <c r="BF80" s="327"/>
      <c r="BG80" s="327"/>
      <c r="BH80" s="327">
        <v>181</v>
      </c>
      <c r="BI80" s="327"/>
      <c r="BJ80" s="327">
        <v>490</v>
      </c>
      <c r="BK80" s="327"/>
      <c r="BL80" s="327"/>
      <c r="BM80" s="327"/>
      <c r="BN80" s="327">
        <v>5968</v>
      </c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>
        <v>88841</v>
      </c>
      <c r="CB80" s="327"/>
      <c r="CC80" s="327">
        <f>719+5</f>
        <v>724</v>
      </c>
      <c r="CD80" s="327"/>
      <c r="CE80" s="28">
        <f t="shared" si="16"/>
        <v>284723</v>
      </c>
    </row>
    <row r="81" spans="1:84" x14ac:dyDescent="0.25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>
        <v>418141.79</v>
      </c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>
        <v>5629009.3899999997</v>
      </c>
      <c r="CE81" s="28">
        <f t="shared" si="16"/>
        <v>6047151.1799999997</v>
      </c>
    </row>
    <row r="82" spans="1:84" x14ac:dyDescent="0.25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 x14ac:dyDescent="0.25">
      <c r="A83" s="29" t="s">
        <v>283</v>
      </c>
      <c r="B83" s="16"/>
      <c r="C83" s="318">
        <v>38731.279999999999</v>
      </c>
      <c r="D83" s="318"/>
      <c r="E83" s="320">
        <v>12518.53</v>
      </c>
      <c r="F83" s="320"/>
      <c r="G83" s="318"/>
      <c r="H83" s="318"/>
      <c r="I83" s="320"/>
      <c r="J83" s="320"/>
      <c r="K83" s="320"/>
      <c r="L83" s="320"/>
      <c r="M83" s="318"/>
      <c r="N83" s="318"/>
      <c r="O83" s="318">
        <v>245.28</v>
      </c>
      <c r="P83" s="320">
        <v>5087.2</v>
      </c>
      <c r="Q83" s="320"/>
      <c r="R83" s="321"/>
      <c r="S83" s="320">
        <v>90573.81</v>
      </c>
      <c r="T83" s="318"/>
      <c r="U83" s="320">
        <v>7698.25</v>
      </c>
      <c r="V83" s="320"/>
      <c r="W83" s="318"/>
      <c r="X83" s="320"/>
      <c r="Y83" s="320"/>
      <c r="Z83" s="320"/>
      <c r="AA83" s="320"/>
      <c r="AB83" s="320">
        <v>1190.69</v>
      </c>
      <c r="AC83" s="320"/>
      <c r="AD83" s="320"/>
      <c r="AE83" s="320">
        <v>244.74</v>
      </c>
      <c r="AF83" s="320"/>
      <c r="AG83" s="320">
        <v>84285.72</v>
      </c>
      <c r="AH83" s="320"/>
      <c r="AI83" s="320"/>
      <c r="AJ83" s="320"/>
      <c r="AK83" s="320"/>
      <c r="AL83" s="320"/>
      <c r="AM83" s="320"/>
      <c r="AN83" s="320"/>
      <c r="AO83" s="318"/>
      <c r="AP83" s="320">
        <f>7895.54+160149.47+36450</f>
        <v>204495.01</v>
      </c>
      <c r="AQ83" s="318"/>
      <c r="AR83" s="318"/>
      <c r="AS83" s="318"/>
      <c r="AT83" s="318"/>
      <c r="AU83" s="320"/>
      <c r="AV83" s="320"/>
      <c r="AW83" s="320">
        <v>22130.77</v>
      </c>
      <c r="AX83" s="320"/>
      <c r="AY83" s="320"/>
      <c r="AZ83" s="320"/>
      <c r="BA83" s="320"/>
      <c r="BB83" s="320"/>
      <c r="BC83" s="320"/>
      <c r="BD83" s="320">
        <f>205525.29-28649.56</f>
        <v>176875.73</v>
      </c>
      <c r="BE83" s="320">
        <v>16643.47</v>
      </c>
      <c r="BF83" s="320">
        <v>78.14</v>
      </c>
      <c r="BG83" s="320"/>
      <c r="BH83" s="321">
        <f>146.41</f>
        <v>146.41</v>
      </c>
      <c r="BI83" s="320"/>
      <c r="BJ83" s="320">
        <v>259.61</v>
      </c>
      <c r="BK83" s="320">
        <v>8519</v>
      </c>
      <c r="BL83" s="320"/>
      <c r="BM83" s="320"/>
      <c r="BN83" s="320">
        <v>211567.02</v>
      </c>
      <c r="BO83" s="320"/>
      <c r="BP83" s="320">
        <v>851.74</v>
      </c>
      <c r="BQ83" s="320"/>
      <c r="BR83" s="320">
        <v>23909.279999999999</v>
      </c>
      <c r="BS83" s="320">
        <v>148.88</v>
      </c>
      <c r="BT83" s="320"/>
      <c r="BU83" s="320"/>
      <c r="BV83" s="320"/>
      <c r="BW83" s="320"/>
      <c r="BX83" s="320">
        <v>48331.3</v>
      </c>
      <c r="BY83" s="320"/>
      <c r="BZ83" s="320"/>
      <c r="CA83" s="320">
        <v>19811.93</v>
      </c>
      <c r="CB83" s="320"/>
      <c r="CC83" s="320">
        <v>260.35000000000002</v>
      </c>
      <c r="CD83" s="327">
        <v>3299828</v>
      </c>
      <c r="CE83" s="28">
        <f t="shared" si="16"/>
        <v>4274432.1400000006</v>
      </c>
    </row>
    <row r="84" spans="1:84" x14ac:dyDescent="0.25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>
        <f>334003.23+202169.41</f>
        <v>536172.64</v>
      </c>
      <c r="T84" s="318"/>
      <c r="U84" s="318"/>
      <c r="V84" s="318"/>
      <c r="W84" s="318">
        <v>53041.65</v>
      </c>
      <c r="X84" s="318"/>
      <c r="Y84" s="318">
        <v>493612.84</v>
      </c>
      <c r="Z84" s="318"/>
      <c r="AA84" s="318"/>
      <c r="AB84" s="318"/>
      <c r="AC84" s="318"/>
      <c r="AD84" s="318"/>
      <c r="AE84" s="318"/>
      <c r="AF84" s="318"/>
      <c r="AG84" s="318">
        <v>422485</v>
      </c>
      <c r="AH84" s="318"/>
      <c r="AI84" s="318"/>
      <c r="AJ84" s="318"/>
      <c r="AK84" s="318"/>
      <c r="AL84" s="318"/>
      <c r="AM84" s="318"/>
      <c r="AN84" s="318"/>
      <c r="AO84" s="318"/>
      <c r="AP84" s="318">
        <v>92586.96</v>
      </c>
      <c r="AQ84" s="318"/>
      <c r="AR84" s="318"/>
      <c r="AS84" s="318"/>
      <c r="AT84" s="318"/>
      <c r="AU84" s="318"/>
      <c r="AV84" s="318"/>
      <c r="AW84" s="318">
        <v>22032</v>
      </c>
      <c r="AX84" s="318"/>
      <c r="AY84" s="318">
        <v>382764</v>
      </c>
      <c r="AZ84" s="318"/>
      <c r="BA84" s="318"/>
      <c r="BB84" s="318"/>
      <c r="BC84" s="318"/>
      <c r="BD84" s="318">
        <v>11782.78</v>
      </c>
      <c r="BE84" s="318"/>
      <c r="BF84" s="318"/>
      <c r="BG84" s="318"/>
      <c r="BH84" s="318">
        <v>720</v>
      </c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>
        <v>68815</v>
      </c>
      <c r="BT84" s="318"/>
      <c r="BU84" s="318"/>
      <c r="BV84" s="318"/>
      <c r="BW84" s="318">
        <v>26015</v>
      </c>
      <c r="BX84" s="318"/>
      <c r="BY84" s="318"/>
      <c r="BZ84" s="318"/>
      <c r="CA84" s="318"/>
      <c r="CB84" s="318"/>
      <c r="CC84" s="318"/>
      <c r="CD84" s="327">
        <f>319762+4000+66203.3+6967.45</f>
        <v>396932.75</v>
      </c>
      <c r="CE84" s="28">
        <f t="shared" si="16"/>
        <v>2506960.62</v>
      </c>
    </row>
    <row r="85" spans="1:84" x14ac:dyDescent="0.25">
      <c r="A85" s="35" t="s">
        <v>285</v>
      </c>
      <c r="B85" s="28"/>
      <c r="C85" s="28">
        <f t="shared" ref="C85:AH85" si="17">SUM(C61:C69)-C84</f>
        <v>6353803.0899999999</v>
      </c>
      <c r="D85" s="28">
        <f t="shared" si="17"/>
        <v>1451627.88</v>
      </c>
      <c r="E85" s="28">
        <f t="shared" si="17"/>
        <v>9591894.1799999997</v>
      </c>
      <c r="F85" s="28">
        <f t="shared" si="17"/>
        <v>5626391.4199999999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1860475.64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1254990.43</v>
      </c>
      <c r="P85" s="28">
        <f t="shared" si="17"/>
        <v>10107047.359999999</v>
      </c>
      <c r="Q85" s="28">
        <f t="shared" si="17"/>
        <v>1007927.0000000001</v>
      </c>
      <c r="R85" s="28">
        <f t="shared" si="17"/>
        <v>2000525.8499999999</v>
      </c>
      <c r="S85" s="28">
        <f t="shared" si="17"/>
        <v>1791014.7199999997</v>
      </c>
      <c r="T85" s="28">
        <f t="shared" si="17"/>
        <v>146360.69</v>
      </c>
      <c r="U85" s="28">
        <f t="shared" si="17"/>
        <v>5630734.8500000006</v>
      </c>
      <c r="V85" s="28">
        <f t="shared" si="17"/>
        <v>143378.12</v>
      </c>
      <c r="W85" s="28">
        <f t="shared" si="17"/>
        <v>712624.25999999989</v>
      </c>
      <c r="X85" s="28">
        <f t="shared" si="17"/>
        <v>1576239.55</v>
      </c>
      <c r="Y85" s="28">
        <f t="shared" si="17"/>
        <v>6152121.2599999998</v>
      </c>
      <c r="Z85" s="28">
        <f t="shared" si="17"/>
        <v>6016870.4500000002</v>
      </c>
      <c r="AA85" s="28">
        <f t="shared" si="17"/>
        <v>393712.46</v>
      </c>
      <c r="AB85" s="28">
        <f t="shared" si="17"/>
        <v>5893942.1000000006</v>
      </c>
      <c r="AC85" s="28">
        <f t="shared" si="17"/>
        <v>1986634.28</v>
      </c>
      <c r="AD85" s="28">
        <f t="shared" si="17"/>
        <v>40907</v>
      </c>
      <c r="AE85" s="28">
        <f t="shared" si="17"/>
        <v>3457677.37</v>
      </c>
      <c r="AF85" s="28">
        <f t="shared" si="17"/>
        <v>0</v>
      </c>
      <c r="AG85" s="28">
        <f t="shared" si="17"/>
        <v>11307033.740000002</v>
      </c>
      <c r="AH85" s="28">
        <f t="shared" si="17"/>
        <v>0</v>
      </c>
      <c r="AI85" s="28">
        <f t="shared" ref="AI85:BN85" si="18">SUM(AI61:AI69)-AI84</f>
        <v>3125798.0999999996</v>
      </c>
      <c r="AJ85" s="28">
        <f t="shared" si="18"/>
        <v>1979061.71</v>
      </c>
      <c r="AK85" s="28">
        <f t="shared" si="18"/>
        <v>0</v>
      </c>
      <c r="AL85" s="28">
        <f t="shared" si="18"/>
        <v>488974.28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37579595.429999992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3523032.34</v>
      </c>
      <c r="AX85" s="28">
        <f t="shared" si="18"/>
        <v>0</v>
      </c>
      <c r="AY85" s="28">
        <f t="shared" si="18"/>
        <v>1604228.3300000003</v>
      </c>
      <c r="AZ85" s="28">
        <f t="shared" si="18"/>
        <v>0</v>
      </c>
      <c r="BA85" s="28">
        <f t="shared" si="18"/>
        <v>301311.09999999998</v>
      </c>
      <c r="BB85" s="28">
        <f t="shared" si="18"/>
        <v>0</v>
      </c>
      <c r="BC85" s="28">
        <f t="shared" si="18"/>
        <v>0</v>
      </c>
      <c r="BD85" s="28">
        <f t="shared" si="18"/>
        <v>913568.46</v>
      </c>
      <c r="BE85" s="28">
        <f t="shared" si="18"/>
        <v>3353528.57</v>
      </c>
      <c r="BF85" s="28">
        <f t="shared" si="18"/>
        <v>2618659.8899999997</v>
      </c>
      <c r="BG85" s="28">
        <f t="shared" si="18"/>
        <v>639254.32999999996</v>
      </c>
      <c r="BH85" s="28">
        <f t="shared" si="18"/>
        <v>4527882.7699999996</v>
      </c>
      <c r="BI85" s="28">
        <f t="shared" si="18"/>
        <v>0</v>
      </c>
      <c r="BJ85" s="28">
        <f t="shared" si="18"/>
        <v>748918.97</v>
      </c>
      <c r="BK85" s="28">
        <f t="shared" si="18"/>
        <v>-141439.19</v>
      </c>
      <c r="BL85" s="28">
        <f t="shared" si="18"/>
        <v>199814.17</v>
      </c>
      <c r="BM85" s="28">
        <f t="shared" si="18"/>
        <v>0</v>
      </c>
      <c r="BN85" s="28">
        <f t="shared" si="18"/>
        <v>3092445.2</v>
      </c>
      <c r="BO85" s="28">
        <f t="shared" ref="BO85:CD85" si="19">SUM(BO61:BO69)-BO84</f>
        <v>338195.43</v>
      </c>
      <c r="BP85" s="28">
        <f t="shared" si="19"/>
        <v>447026.18</v>
      </c>
      <c r="BQ85" s="28">
        <f t="shared" si="19"/>
        <v>0</v>
      </c>
      <c r="BR85" s="28">
        <f t="shared" si="19"/>
        <v>1309360.45</v>
      </c>
      <c r="BS85" s="28">
        <f t="shared" si="19"/>
        <v>-30172.500000000007</v>
      </c>
      <c r="BT85" s="28">
        <f t="shared" si="19"/>
        <v>27732.550000000003</v>
      </c>
      <c r="BU85" s="28">
        <f t="shared" si="19"/>
        <v>0</v>
      </c>
      <c r="BV85" s="28">
        <f t="shared" si="19"/>
        <v>1206532.28</v>
      </c>
      <c r="BW85" s="28">
        <f t="shared" si="19"/>
        <v>133707.87</v>
      </c>
      <c r="BX85" s="28">
        <f t="shared" si="19"/>
        <v>2895721.63</v>
      </c>
      <c r="BY85" s="28">
        <f t="shared" si="19"/>
        <v>1344856.77</v>
      </c>
      <c r="BZ85" s="28">
        <f t="shared" si="19"/>
        <v>0</v>
      </c>
      <c r="CA85" s="28">
        <f t="shared" si="19"/>
        <v>515242.04</v>
      </c>
      <c r="CB85" s="28">
        <f t="shared" si="19"/>
        <v>39225.07</v>
      </c>
      <c r="CC85" s="28">
        <f t="shared" si="19"/>
        <v>4227967.13</v>
      </c>
      <c r="CD85" s="28">
        <f t="shared" si="19"/>
        <v>8531904.6400000006</v>
      </c>
      <c r="CE85" s="28">
        <f t="shared" si="16"/>
        <v>170045867.69999993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/>
    </row>
    <row r="87" spans="1:84" x14ac:dyDescent="0.25">
      <c r="A87" s="35" t="s">
        <v>287</v>
      </c>
      <c r="B87" s="16"/>
      <c r="C87" s="318">
        <v>13437076.1</v>
      </c>
      <c r="D87" s="318">
        <v>2278640</v>
      </c>
      <c r="E87" s="318">
        <v>22411382.34</v>
      </c>
      <c r="F87" s="318">
        <v>7796168.2699999996</v>
      </c>
      <c r="G87" s="318"/>
      <c r="H87" s="318"/>
      <c r="I87" s="318"/>
      <c r="J87" s="318">
        <v>5934224.0899999999</v>
      </c>
      <c r="K87" s="318"/>
      <c r="L87" s="318"/>
      <c r="M87" s="318"/>
      <c r="N87" s="318"/>
      <c r="O87" s="318">
        <v>20645793.09</v>
      </c>
      <c r="P87" s="318">
        <v>31218559.359999999</v>
      </c>
      <c r="Q87" s="318">
        <v>1360122.42</v>
      </c>
      <c r="R87" s="318">
        <v>3249389.96</v>
      </c>
      <c r="S87" s="318">
        <v>3883409.14</v>
      </c>
      <c r="T87" s="318">
        <v>2621019.23</v>
      </c>
      <c r="U87" s="318">
        <v>54216920.520000003</v>
      </c>
      <c r="V87" s="318">
        <v>160238.12</v>
      </c>
      <c r="W87" s="318">
        <v>1812952.44</v>
      </c>
      <c r="X87" s="318">
        <v>13246391.34</v>
      </c>
      <c r="Y87" s="318">
        <v>18068867.640000001</v>
      </c>
      <c r="Z87" s="318">
        <v>794966.3</v>
      </c>
      <c r="AA87" s="318">
        <v>1172793.8799999999</v>
      </c>
      <c r="AB87" s="318"/>
      <c r="AC87" s="318">
        <v>14756651.460000001</v>
      </c>
      <c r="AD87" s="318"/>
      <c r="AE87" s="318">
        <v>3176899.98</v>
      </c>
      <c r="AF87" s="318"/>
      <c r="AG87" s="318">
        <f>15556664.92+2338977</f>
        <v>17895641.920000002</v>
      </c>
      <c r="AH87" s="318"/>
      <c r="AI87" s="318">
        <v>20970.03</v>
      </c>
      <c r="AJ87" s="318">
        <v>1038305.67</v>
      </c>
      <c r="AK87" s="318"/>
      <c r="AL87" s="318">
        <v>1071651.58</v>
      </c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242269034.88000003</v>
      </c>
    </row>
    <row r="88" spans="1:84" x14ac:dyDescent="0.25">
      <c r="A88" s="35" t="s">
        <v>288</v>
      </c>
      <c r="B88" s="16"/>
      <c r="C88" s="318">
        <v>345468.6</v>
      </c>
      <c r="D88" s="318">
        <v>51744.88</v>
      </c>
      <c r="E88" s="318">
        <v>5770818.5999999996</v>
      </c>
      <c r="F88" s="318">
        <f>-20940.67+20941</f>
        <v>0.33000000000174623</v>
      </c>
      <c r="G88" s="318"/>
      <c r="H88" s="318"/>
      <c r="I88" s="318"/>
      <c r="J88" s="318"/>
      <c r="K88" s="318"/>
      <c r="L88" s="318"/>
      <c r="M88" s="318"/>
      <c r="N88" s="318"/>
      <c r="O88" s="318">
        <f>2407104.26-20940.67</f>
        <v>2386163.59</v>
      </c>
      <c r="P88" s="318">
        <v>39575642.170000002</v>
      </c>
      <c r="Q88" s="318">
        <v>2619249.87</v>
      </c>
      <c r="R88" s="318"/>
      <c r="S88" s="318">
        <v>4324829.58</v>
      </c>
      <c r="T88" s="318">
        <v>3858549.58</v>
      </c>
      <c r="U88" s="318">
        <v>40375689.479999997</v>
      </c>
      <c r="V88" s="318">
        <v>198903.34</v>
      </c>
      <c r="W88" s="318">
        <v>8222672.04</v>
      </c>
      <c r="X88" s="318">
        <v>39594580.770000003</v>
      </c>
      <c r="Y88" s="318">
        <v>33731886.899999999</v>
      </c>
      <c r="Z88" s="318">
        <v>36575525.100000001</v>
      </c>
      <c r="AA88" s="318">
        <v>2616706.25</v>
      </c>
      <c r="AB88" s="318">
        <v>13909392</v>
      </c>
      <c r="AC88" s="318">
        <v>4653521.46</v>
      </c>
      <c r="AD88" s="318"/>
      <c r="AE88" s="318">
        <v>6234674.7599999998</v>
      </c>
      <c r="AF88" s="318"/>
      <c r="AG88" s="318">
        <v>45141917.100000001</v>
      </c>
      <c r="AH88" s="318"/>
      <c r="AI88" s="318">
        <f>8026315.02+7160607.37</f>
        <v>15186922.390000001</v>
      </c>
      <c r="AJ88" s="318">
        <v>21468395.620000001</v>
      </c>
      <c r="AK88" s="318"/>
      <c r="AL88" s="318">
        <v>1213152.6200000001</v>
      </c>
      <c r="AM88" s="318"/>
      <c r="AN88" s="318"/>
      <c r="AO88" s="318"/>
      <c r="AP88" s="318">
        <f>5596050.25+65818324-2338977</f>
        <v>69075397.25</v>
      </c>
      <c r="AQ88" s="318"/>
      <c r="AR88" s="318"/>
      <c r="AS88" s="318"/>
      <c r="AT88" s="318"/>
      <c r="AU88" s="318"/>
      <c r="AV88" s="31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397131804.28000003</v>
      </c>
    </row>
    <row r="89" spans="1:84" x14ac:dyDescent="0.25">
      <c r="A89" s="22" t="s">
        <v>289</v>
      </c>
      <c r="B89" s="16"/>
      <c r="C89" s="28">
        <f t="shared" ref="C89:AV89" si="21">C87+C88</f>
        <v>13782544.699999999</v>
      </c>
      <c r="D89" s="28">
        <f t="shared" si="21"/>
        <v>2330384.88</v>
      </c>
      <c r="E89" s="28">
        <f t="shared" si="21"/>
        <v>28182200.939999998</v>
      </c>
      <c r="F89" s="28">
        <f t="shared" si="21"/>
        <v>7796168.5999999996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5934224.0899999999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23031956.68</v>
      </c>
      <c r="P89" s="28">
        <f t="shared" si="21"/>
        <v>70794201.530000001</v>
      </c>
      <c r="Q89" s="28">
        <f t="shared" si="21"/>
        <v>3979372.29</v>
      </c>
      <c r="R89" s="28">
        <f t="shared" si="21"/>
        <v>3249389.96</v>
      </c>
      <c r="S89" s="28">
        <f t="shared" si="21"/>
        <v>8208238.7200000007</v>
      </c>
      <c r="T89" s="28">
        <f t="shared" si="21"/>
        <v>6479568.8100000005</v>
      </c>
      <c r="U89" s="28">
        <f t="shared" si="21"/>
        <v>94592610</v>
      </c>
      <c r="V89" s="28">
        <f t="shared" si="21"/>
        <v>359141.45999999996</v>
      </c>
      <c r="W89" s="28">
        <f t="shared" si="21"/>
        <v>10035624.48</v>
      </c>
      <c r="X89" s="28">
        <f t="shared" si="21"/>
        <v>52840972.109999999</v>
      </c>
      <c r="Y89" s="28">
        <f t="shared" si="21"/>
        <v>51800754.539999999</v>
      </c>
      <c r="Z89" s="28">
        <f t="shared" si="21"/>
        <v>37370491.399999999</v>
      </c>
      <c r="AA89" s="28">
        <f t="shared" si="21"/>
        <v>3789500.13</v>
      </c>
      <c r="AB89" s="28">
        <f t="shared" si="21"/>
        <v>13909392</v>
      </c>
      <c r="AC89" s="28">
        <f t="shared" si="21"/>
        <v>19410172.920000002</v>
      </c>
      <c r="AD89" s="28">
        <f t="shared" si="21"/>
        <v>0</v>
      </c>
      <c r="AE89" s="28">
        <f t="shared" si="21"/>
        <v>9411574.7400000002</v>
      </c>
      <c r="AF89" s="28">
        <f t="shared" si="21"/>
        <v>0</v>
      </c>
      <c r="AG89" s="28">
        <f t="shared" si="21"/>
        <v>63037559.020000003</v>
      </c>
      <c r="AH89" s="28">
        <f t="shared" si="21"/>
        <v>0</v>
      </c>
      <c r="AI89" s="28">
        <f t="shared" si="21"/>
        <v>15207892.42</v>
      </c>
      <c r="AJ89" s="28">
        <f t="shared" si="21"/>
        <v>22506701.290000003</v>
      </c>
      <c r="AK89" s="28">
        <f t="shared" si="21"/>
        <v>0</v>
      </c>
      <c r="AL89" s="28">
        <f t="shared" si="21"/>
        <v>2284804.2000000002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69075397.25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639400839.15999997</v>
      </c>
    </row>
    <row r="90" spans="1:84" x14ac:dyDescent="0.25">
      <c r="A90" s="35" t="s">
        <v>290</v>
      </c>
      <c r="B90" s="28"/>
      <c r="C90" s="318">
        <v>8232</v>
      </c>
      <c r="D90" s="318">
        <v>13916</v>
      </c>
      <c r="E90" s="318">
        <f>13916+11423</f>
        <v>25339</v>
      </c>
      <c r="F90" s="318">
        <v>9902</v>
      </c>
      <c r="G90" s="318"/>
      <c r="H90" s="318"/>
      <c r="I90" s="318"/>
      <c r="J90" s="318">
        <v>1521</v>
      </c>
      <c r="K90" s="318"/>
      <c r="L90" s="318"/>
      <c r="M90" s="318"/>
      <c r="N90" s="318"/>
      <c r="O90" s="318"/>
      <c r="P90" s="318">
        <v>14511</v>
      </c>
      <c r="Q90" s="318">
        <v>3360</v>
      </c>
      <c r="R90" s="318">
        <v>150</v>
      </c>
      <c r="S90" s="318">
        <v>4865</v>
      </c>
      <c r="T90" s="318"/>
      <c r="U90" s="318">
        <v>10739</v>
      </c>
      <c r="V90" s="318">
        <v>150</v>
      </c>
      <c r="W90" s="318">
        <v>5560</v>
      </c>
      <c r="X90" s="318">
        <v>3170</v>
      </c>
      <c r="Y90" s="318">
        <v>16696</v>
      </c>
      <c r="Z90" s="318"/>
      <c r="AA90" s="318">
        <v>4247</v>
      </c>
      <c r="AB90" s="318">
        <v>3904</v>
      </c>
      <c r="AC90" s="318">
        <v>4057</v>
      </c>
      <c r="AD90" s="318">
        <v>3507</v>
      </c>
      <c r="AE90" s="318">
        <v>8153</v>
      </c>
      <c r="AF90" s="318"/>
      <c r="AG90" s="318">
        <v>12512</v>
      </c>
      <c r="AH90" s="318"/>
      <c r="AI90" s="318">
        <v>20613</v>
      </c>
      <c r="AJ90" s="318">
        <v>1192</v>
      </c>
      <c r="AK90" s="318"/>
      <c r="AL90" s="318">
        <v>200</v>
      </c>
      <c r="AM90" s="318"/>
      <c r="AN90" s="318"/>
      <c r="AO90" s="318"/>
      <c r="AP90" s="318">
        <v>92549</v>
      </c>
      <c r="AQ90" s="318"/>
      <c r="AR90" s="318"/>
      <c r="AS90" s="318"/>
      <c r="AT90" s="318"/>
      <c r="AU90" s="318"/>
      <c r="AV90" s="318"/>
      <c r="AW90" s="318">
        <v>1395</v>
      </c>
      <c r="AX90" s="318"/>
      <c r="AY90" s="318">
        <v>6014</v>
      </c>
      <c r="AZ90" s="318"/>
      <c r="BA90" s="318">
        <v>750</v>
      </c>
      <c r="BB90" s="318"/>
      <c r="BC90" s="318"/>
      <c r="BD90" s="318">
        <v>9924</v>
      </c>
      <c r="BE90" s="318">
        <f>17471+180</f>
        <v>17651</v>
      </c>
      <c r="BF90" s="318">
        <v>1396</v>
      </c>
      <c r="BG90" s="318">
        <v>831</v>
      </c>
      <c r="BH90" s="318">
        <v>5695</v>
      </c>
      <c r="BI90" s="318"/>
      <c r="BJ90" s="318">
        <v>642</v>
      </c>
      <c r="BK90" s="318">
        <v>1470</v>
      </c>
      <c r="BL90" s="318">
        <v>4442</v>
      </c>
      <c r="BM90" s="318"/>
      <c r="BN90" s="318">
        <v>1711</v>
      </c>
      <c r="BO90" s="318">
        <v>247</v>
      </c>
      <c r="BP90" s="318">
        <v>260</v>
      </c>
      <c r="BQ90" s="318"/>
      <c r="BR90" s="318">
        <v>4430</v>
      </c>
      <c r="BS90" s="318">
        <v>580</v>
      </c>
      <c r="BT90" s="318">
        <v>575</v>
      </c>
      <c r="BU90" s="318"/>
      <c r="BV90" s="318">
        <v>708</v>
      </c>
      <c r="BW90" s="318">
        <v>1896</v>
      </c>
      <c r="BX90" s="318">
        <v>532</v>
      </c>
      <c r="BY90" s="318">
        <v>582</v>
      </c>
      <c r="BZ90" s="318"/>
      <c r="CA90" s="318">
        <v>252</v>
      </c>
      <c r="CB90" s="318">
        <v>120</v>
      </c>
      <c r="CC90" s="318">
        <v>90556</v>
      </c>
      <c r="CD90" s="236" t="s">
        <v>248</v>
      </c>
      <c r="CE90" s="28">
        <f t="shared" si="20"/>
        <v>421704</v>
      </c>
      <c r="CF90" s="28">
        <f>BE59-CE90</f>
        <v>0</v>
      </c>
    </row>
    <row r="91" spans="1:84" x14ac:dyDescent="0.25">
      <c r="A91" s="22" t="s">
        <v>291</v>
      </c>
      <c r="B91" s="16"/>
      <c r="C91" s="318">
        <f>1524+6000</f>
        <v>7524</v>
      </c>
      <c r="D91" s="318"/>
      <c r="E91" s="318">
        <v>23242</v>
      </c>
      <c r="F91" s="318">
        <v>8106</v>
      </c>
      <c r="G91" s="318"/>
      <c r="H91" s="318"/>
      <c r="I91" s="318"/>
      <c r="J91" s="318">
        <v>468</v>
      </c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>
        <v>7192</v>
      </c>
      <c r="AE91" s="318"/>
      <c r="AF91" s="318"/>
      <c r="AG91" s="318">
        <v>1076</v>
      </c>
      <c r="AH91" s="318"/>
      <c r="AI91" s="318">
        <f>1445+268</f>
        <v>1713</v>
      </c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>
        <f>AZ59</f>
        <v>0</v>
      </c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49321</v>
      </c>
      <c r="CF91" s="28">
        <f>AY59-CE91</f>
        <v>271542</v>
      </c>
    </row>
    <row r="92" spans="1:84" x14ac:dyDescent="0.25">
      <c r="A92" s="22" t="s">
        <v>292</v>
      </c>
      <c r="B92" s="16"/>
      <c r="C92" s="318">
        <f>(C90/$CE$90)*75836</f>
        <v>1480.3794889306243</v>
      </c>
      <c r="D92" s="318">
        <f t="shared" ref="D92:AW92" si="22">(D90/$CE$90)*75836</f>
        <v>2502.5462789065318</v>
      </c>
      <c r="E92" s="318">
        <f t="shared" si="22"/>
        <v>4556.7706353271487</v>
      </c>
      <c r="F92" s="318">
        <f t="shared" si="22"/>
        <v>1780.6994289833626</v>
      </c>
      <c r="G92" s="318">
        <f t="shared" si="22"/>
        <v>0</v>
      </c>
      <c r="H92" s="318">
        <f t="shared" si="22"/>
        <v>0</v>
      </c>
      <c r="I92" s="318">
        <f t="shared" si="22"/>
        <v>0</v>
      </c>
      <c r="J92" s="318">
        <f t="shared" si="22"/>
        <v>273.52492743725458</v>
      </c>
      <c r="K92" s="318">
        <f t="shared" si="22"/>
        <v>0</v>
      </c>
      <c r="L92" s="318">
        <f t="shared" si="22"/>
        <v>0</v>
      </c>
      <c r="M92" s="318">
        <f t="shared" si="22"/>
        <v>0</v>
      </c>
      <c r="N92" s="318">
        <f t="shared" si="22"/>
        <v>0</v>
      </c>
      <c r="O92" s="318">
        <f t="shared" si="22"/>
        <v>0</v>
      </c>
      <c r="P92" s="318">
        <f t="shared" si="22"/>
        <v>2609.5464970690346</v>
      </c>
      <c r="Q92" s="318">
        <f t="shared" si="22"/>
        <v>604.23652609413239</v>
      </c>
      <c r="R92" s="318">
        <f t="shared" si="22"/>
        <v>26.974844914916623</v>
      </c>
      <c r="S92" s="318">
        <f t="shared" si="22"/>
        <v>874.8841367404624</v>
      </c>
      <c r="T92" s="318">
        <f t="shared" si="22"/>
        <v>0</v>
      </c>
      <c r="U92" s="318">
        <f t="shared" si="22"/>
        <v>1931.2190636085975</v>
      </c>
      <c r="V92" s="318">
        <f t="shared" si="22"/>
        <v>26.974844914916623</v>
      </c>
      <c r="W92" s="318">
        <f t="shared" si="22"/>
        <v>999.86758484624283</v>
      </c>
      <c r="X92" s="318">
        <f t="shared" si="22"/>
        <v>570.06838920190467</v>
      </c>
      <c r="Y92" s="318">
        <f t="shared" si="22"/>
        <v>3002.4800713296531</v>
      </c>
      <c r="Z92" s="318">
        <f t="shared" si="22"/>
        <v>0</v>
      </c>
      <c r="AA92" s="318">
        <f t="shared" si="22"/>
        <v>763.74777569100593</v>
      </c>
      <c r="AB92" s="318">
        <f t="shared" si="22"/>
        <v>702.06529698556335</v>
      </c>
      <c r="AC92" s="318">
        <f t="shared" si="22"/>
        <v>729.57963879877832</v>
      </c>
      <c r="AD92" s="318">
        <f t="shared" si="22"/>
        <v>630.67187411075076</v>
      </c>
      <c r="AE92" s="318">
        <f t="shared" si="22"/>
        <v>1466.1727372754349</v>
      </c>
      <c r="AF92" s="318">
        <f t="shared" si="22"/>
        <v>0</v>
      </c>
      <c r="AG92" s="318">
        <f t="shared" si="22"/>
        <v>2250.0617305029118</v>
      </c>
      <c r="AH92" s="318">
        <f t="shared" si="22"/>
        <v>0</v>
      </c>
      <c r="AI92" s="318">
        <f t="shared" si="22"/>
        <v>3706.8831882078425</v>
      </c>
      <c r="AJ92" s="318">
        <f t="shared" si="22"/>
        <v>214.36010092387079</v>
      </c>
      <c r="AK92" s="318">
        <f t="shared" si="22"/>
        <v>0</v>
      </c>
      <c r="AL92" s="318">
        <f t="shared" si="22"/>
        <v>35.966459886555498</v>
      </c>
      <c r="AM92" s="318">
        <f t="shared" si="22"/>
        <v>0</v>
      </c>
      <c r="AN92" s="318">
        <f t="shared" si="22"/>
        <v>0</v>
      </c>
      <c r="AO92" s="318">
        <f t="shared" si="22"/>
        <v>0</v>
      </c>
      <c r="AP92" s="318">
        <f t="shared" si="22"/>
        <v>16643.299480204125</v>
      </c>
      <c r="AQ92" s="318">
        <f t="shared" si="22"/>
        <v>0</v>
      </c>
      <c r="AR92" s="318">
        <f t="shared" si="22"/>
        <v>0</v>
      </c>
      <c r="AS92" s="318">
        <f t="shared" si="22"/>
        <v>0</v>
      </c>
      <c r="AT92" s="318">
        <f t="shared" si="22"/>
        <v>0</v>
      </c>
      <c r="AU92" s="318">
        <f t="shared" si="22"/>
        <v>0</v>
      </c>
      <c r="AV92" s="318">
        <f t="shared" si="22"/>
        <v>0</v>
      </c>
      <c r="AW92" s="318">
        <f t="shared" si="22"/>
        <v>250.86605770872461</v>
      </c>
      <c r="AX92" s="286" t="s">
        <v>248</v>
      </c>
      <c r="AY92" s="286" t="s">
        <v>248</v>
      </c>
      <c r="AZ92" s="25" t="s">
        <v>248</v>
      </c>
      <c r="BA92" s="318">
        <f t="shared" ref="BA92:BC92" si="23">(BA90/$CE$90)*75836</f>
        <v>134.87422457458314</v>
      </c>
      <c r="BB92" s="318">
        <f t="shared" si="23"/>
        <v>0</v>
      </c>
      <c r="BC92" s="318">
        <f t="shared" si="23"/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f t="shared" ref="BH92:BI92" si="24">(BH90/$CE$90)*75836</f>
        <v>1024.1449452696679</v>
      </c>
      <c r="BI92" s="318">
        <f t="shared" si="24"/>
        <v>0</v>
      </c>
      <c r="BJ92" s="25" t="s">
        <v>248</v>
      </c>
      <c r="BK92" s="318">
        <f t="shared" ref="BK92:BM92" si="25">(BK90/$CE$90)*75836</f>
        <v>264.35348016618292</v>
      </c>
      <c r="BL92" s="318">
        <f t="shared" si="25"/>
        <v>798.81507408039761</v>
      </c>
      <c r="BM92" s="318">
        <f t="shared" si="25"/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f t="shared" ref="BS92:CB92" si="26">(BS90/$CE$90)*75836</f>
        <v>104.30273367101094</v>
      </c>
      <c r="BT92" s="318">
        <f t="shared" si="26"/>
        <v>103.40357217384707</v>
      </c>
      <c r="BU92" s="318">
        <f t="shared" si="26"/>
        <v>0</v>
      </c>
      <c r="BV92" s="318">
        <f t="shared" si="26"/>
        <v>127.32126799840646</v>
      </c>
      <c r="BW92" s="318">
        <f t="shared" si="26"/>
        <v>340.96203972454612</v>
      </c>
      <c r="BX92" s="318">
        <f t="shared" si="26"/>
        <v>95.670783298237623</v>
      </c>
      <c r="BY92" s="318">
        <f t="shared" si="26"/>
        <v>104.6623982698765</v>
      </c>
      <c r="BZ92" s="318">
        <f t="shared" si="26"/>
        <v>0</v>
      </c>
      <c r="CA92" s="318">
        <f t="shared" si="26"/>
        <v>45.317739457059929</v>
      </c>
      <c r="CB92" s="318">
        <f t="shared" si="26"/>
        <v>21.579875931933298</v>
      </c>
      <c r="CC92" s="25" t="s">
        <v>248</v>
      </c>
      <c r="CD92" s="25" t="s">
        <v>248</v>
      </c>
      <c r="CE92" s="28">
        <f t="shared" si="20"/>
        <v>51799.255193216086</v>
      </c>
      <c r="CF92" s="16"/>
    </row>
    <row r="93" spans="1:84" x14ac:dyDescent="0.25">
      <c r="A93" s="22" t="s">
        <v>293</v>
      </c>
      <c r="B93" s="16"/>
      <c r="C93" s="318">
        <v>58836</v>
      </c>
      <c r="D93" s="318"/>
      <c r="E93" s="318">
        <f>73127+51889</f>
        <v>125016</v>
      </c>
      <c r="F93" s="318">
        <v>81050</v>
      </c>
      <c r="G93" s="318"/>
      <c r="H93" s="318"/>
      <c r="I93" s="318"/>
      <c r="J93" s="318">
        <v>10574</v>
      </c>
      <c r="K93" s="318"/>
      <c r="L93" s="318"/>
      <c r="M93" s="318"/>
      <c r="N93" s="318"/>
      <c r="O93" s="318"/>
      <c r="P93" s="318">
        <v>35242</v>
      </c>
      <c r="Q93" s="318"/>
      <c r="R93" s="318"/>
      <c r="S93" s="318"/>
      <c r="T93" s="318"/>
      <c r="U93" s="318"/>
      <c r="V93" s="318"/>
      <c r="W93" s="318"/>
      <c r="X93" s="318">
        <v>6106</v>
      </c>
      <c r="Y93" s="318">
        <v>48274</v>
      </c>
      <c r="Z93" s="318"/>
      <c r="AA93" s="318"/>
      <c r="AB93" s="318"/>
      <c r="AC93" s="318"/>
      <c r="AD93" s="318"/>
      <c r="AE93" s="318">
        <v>17945</v>
      </c>
      <c r="AF93" s="318"/>
      <c r="AG93" s="318">
        <v>102815</v>
      </c>
      <c r="AH93" s="318"/>
      <c r="AI93" s="318">
        <f>36427+10191</f>
        <v>46618</v>
      </c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532476</v>
      </c>
      <c r="CF93" s="28">
        <f>BA59</f>
        <v>0</v>
      </c>
    </row>
    <row r="94" spans="1:84" x14ac:dyDescent="0.25">
      <c r="A94" s="22" t="s">
        <v>294</v>
      </c>
      <c r="B94" s="16"/>
      <c r="C94" s="322">
        <f>22.9</f>
        <v>22.9</v>
      </c>
      <c r="D94" s="322">
        <v>1.4</v>
      </c>
      <c r="E94" s="322">
        <v>40.57</v>
      </c>
      <c r="F94" s="322">
        <f>22.85+4.55</f>
        <v>27.400000000000002</v>
      </c>
      <c r="G94" s="322"/>
      <c r="H94" s="322"/>
      <c r="I94" s="322"/>
      <c r="J94" s="322">
        <v>10.64</v>
      </c>
      <c r="K94" s="322"/>
      <c r="L94" s="322"/>
      <c r="M94" s="322"/>
      <c r="N94" s="322"/>
      <c r="O94" s="322"/>
      <c r="P94" s="319">
        <v>8.7899999999999991</v>
      </c>
      <c r="Q94" s="319">
        <v>5.38</v>
      </c>
      <c r="R94" s="319">
        <v>0.99</v>
      </c>
      <c r="S94" s="323"/>
      <c r="T94" s="323"/>
      <c r="U94" s="324"/>
      <c r="V94" s="319"/>
      <c r="W94" s="319"/>
      <c r="X94" s="319"/>
      <c r="Y94" s="319">
        <f>0.75+1.01</f>
        <v>1.76</v>
      </c>
      <c r="Z94" s="319"/>
      <c r="AA94" s="319">
        <v>0.97</v>
      </c>
      <c r="AB94" s="323"/>
      <c r="AC94" s="319"/>
      <c r="AD94" s="319"/>
      <c r="AE94" s="319">
        <v>0.41</v>
      </c>
      <c r="AF94" s="319"/>
      <c r="AG94" s="319">
        <v>20.61</v>
      </c>
      <c r="AH94" s="319"/>
      <c r="AI94" s="319">
        <f>12.28+0.81</f>
        <v>13.09</v>
      </c>
      <c r="AJ94" s="319">
        <f>2.77+2.15+4.74</f>
        <v>9.66</v>
      </c>
      <c r="AK94" s="319"/>
      <c r="AL94" s="319"/>
      <c r="AM94" s="319"/>
      <c r="AN94" s="319"/>
      <c r="AO94" s="319"/>
      <c r="AP94" s="319">
        <f>0.24+1.04+0.98</f>
        <v>2.2599999999999998</v>
      </c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166.82999999999998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1359</v>
      </c>
      <c r="D96" s="329" t="s">
        <v>5</v>
      </c>
      <c r="E96" s="330" t="s">
        <v>5</v>
      </c>
      <c r="F96" s="12"/>
    </row>
    <row r="97" spans="1:6" x14ac:dyDescent="0.25">
      <c r="A97" s="28" t="s">
        <v>297</v>
      </c>
      <c r="B97" s="36" t="s">
        <v>298</v>
      </c>
      <c r="C97" s="331" t="s">
        <v>1349</v>
      </c>
      <c r="D97" s="329" t="s">
        <v>5</v>
      </c>
      <c r="E97" s="330" t="s">
        <v>5</v>
      </c>
      <c r="F97" s="12"/>
    </row>
    <row r="98" spans="1:6" x14ac:dyDescent="0.25">
      <c r="A98" s="28" t="s">
        <v>299</v>
      </c>
      <c r="B98" s="36" t="s">
        <v>298</v>
      </c>
      <c r="C98" s="332" t="s">
        <v>1350</v>
      </c>
      <c r="D98" s="329" t="s">
        <v>5</v>
      </c>
      <c r="E98" s="330" t="s">
        <v>5</v>
      </c>
      <c r="F98" s="12"/>
    </row>
    <row r="99" spans="1:6" x14ac:dyDescent="0.25">
      <c r="A99" s="28" t="s">
        <v>300</v>
      </c>
      <c r="B99" s="36" t="s">
        <v>298</v>
      </c>
      <c r="C99" s="333" t="s">
        <v>1351</v>
      </c>
      <c r="D99" s="329" t="s">
        <v>5</v>
      </c>
      <c r="E99" s="330" t="s">
        <v>5</v>
      </c>
      <c r="F99" s="12"/>
    </row>
    <row r="100" spans="1:6" x14ac:dyDescent="0.25">
      <c r="A100" s="28" t="s">
        <v>301</v>
      </c>
      <c r="B100" s="36" t="s">
        <v>298</v>
      </c>
      <c r="C100" s="332" t="s">
        <v>1352</v>
      </c>
      <c r="D100" s="329" t="s">
        <v>5</v>
      </c>
      <c r="E100" s="330" t="s">
        <v>5</v>
      </c>
      <c r="F100" s="12"/>
    </row>
    <row r="101" spans="1:6" x14ac:dyDescent="0.25">
      <c r="A101" s="28" t="s">
        <v>302</v>
      </c>
      <c r="B101" s="36" t="s">
        <v>298</v>
      </c>
      <c r="C101" s="332" t="s">
        <v>1353</v>
      </c>
      <c r="D101" s="329" t="s">
        <v>5</v>
      </c>
      <c r="E101" s="330" t="s">
        <v>5</v>
      </c>
      <c r="F101" s="12"/>
    </row>
    <row r="102" spans="1:6" x14ac:dyDescent="0.25">
      <c r="A102" s="28" t="s">
        <v>303</v>
      </c>
      <c r="B102" s="36" t="s">
        <v>298</v>
      </c>
      <c r="C102" s="334">
        <v>99337</v>
      </c>
      <c r="D102" s="329" t="s">
        <v>5</v>
      </c>
      <c r="E102" s="330" t="s">
        <v>5</v>
      </c>
      <c r="F102" s="12"/>
    </row>
    <row r="103" spans="1:6" x14ac:dyDescent="0.25">
      <c r="A103" s="28" t="s">
        <v>304</v>
      </c>
      <c r="B103" s="36" t="s">
        <v>298</v>
      </c>
      <c r="C103" s="332" t="s">
        <v>1354</v>
      </c>
      <c r="D103" s="329" t="s">
        <v>5</v>
      </c>
      <c r="E103" s="330" t="s">
        <v>5</v>
      </c>
      <c r="F103" s="12"/>
    </row>
    <row r="104" spans="1:6" x14ac:dyDescent="0.25">
      <c r="A104" s="28" t="s">
        <v>305</v>
      </c>
      <c r="B104" s="36" t="s">
        <v>298</v>
      </c>
      <c r="C104" s="335" t="s">
        <v>1360</v>
      </c>
      <c r="D104" s="329" t="s">
        <v>5</v>
      </c>
      <c r="E104" s="330" t="s">
        <v>5</v>
      </c>
      <c r="F104" s="12"/>
    </row>
    <row r="105" spans="1:6" x14ac:dyDescent="0.25">
      <c r="A105" s="28" t="s">
        <v>306</v>
      </c>
      <c r="B105" s="36" t="s">
        <v>298</v>
      </c>
      <c r="C105" s="335" t="s">
        <v>1355</v>
      </c>
      <c r="D105" s="329" t="s">
        <v>5</v>
      </c>
      <c r="E105" s="330" t="s">
        <v>5</v>
      </c>
      <c r="F105" s="12"/>
    </row>
    <row r="106" spans="1:6" x14ac:dyDescent="0.25">
      <c r="A106" s="28" t="s">
        <v>307</v>
      </c>
      <c r="B106" s="36" t="s">
        <v>298</v>
      </c>
      <c r="C106" s="332" t="s">
        <v>1356</v>
      </c>
      <c r="D106" s="329" t="s">
        <v>5</v>
      </c>
      <c r="E106" s="330" t="s">
        <v>5</v>
      </c>
      <c r="F106" s="12"/>
    </row>
    <row r="107" spans="1:6" x14ac:dyDescent="0.25">
      <c r="A107" s="28" t="s">
        <v>308</v>
      </c>
      <c r="B107" s="36" t="s">
        <v>298</v>
      </c>
      <c r="C107" s="336" t="s">
        <v>1357</v>
      </c>
      <c r="D107" s="329" t="s">
        <v>5</v>
      </c>
      <c r="E107" s="330" t="s">
        <v>5</v>
      </c>
      <c r="F107" s="12"/>
    </row>
    <row r="108" spans="1:6" x14ac:dyDescent="0.25">
      <c r="A108" s="28" t="s">
        <v>309</v>
      </c>
      <c r="B108" s="36" t="s">
        <v>298</v>
      </c>
      <c r="C108" s="336" t="s">
        <v>1358</v>
      </c>
      <c r="D108" s="329" t="s">
        <v>5</v>
      </c>
      <c r="E108" s="330" t="s">
        <v>5</v>
      </c>
      <c r="F108" s="12"/>
    </row>
    <row r="109" spans="1:6" x14ac:dyDescent="0.25">
      <c r="A109" s="40" t="s">
        <v>310</v>
      </c>
      <c r="B109" s="36" t="s">
        <v>298</v>
      </c>
      <c r="C109" s="332"/>
      <c r="D109" s="329" t="s">
        <v>5</v>
      </c>
      <c r="E109" s="330" t="s">
        <v>5</v>
      </c>
      <c r="F109" s="12"/>
    </row>
    <row r="110" spans="1:6" x14ac:dyDescent="0.25">
      <c r="A110" s="40" t="s">
        <v>311</v>
      </c>
      <c r="B110" s="36" t="s">
        <v>298</v>
      </c>
      <c r="C110" s="332"/>
      <c r="D110" s="329" t="s">
        <v>5</v>
      </c>
      <c r="E110" s="330" t="s">
        <v>5</v>
      </c>
      <c r="F110" s="12"/>
    </row>
    <row r="111" spans="1:6" x14ac:dyDescent="0.25">
      <c r="A111" s="34" t="s">
        <v>312</v>
      </c>
      <c r="B111" s="34"/>
      <c r="C111" s="34"/>
      <c r="D111" s="34"/>
      <c r="E111" s="34"/>
    </row>
    <row r="112" spans="1:6" x14ac:dyDescent="0.25">
      <c r="A112" s="41" t="s">
        <v>313</v>
      </c>
      <c r="B112" s="41"/>
      <c r="C112" s="41"/>
      <c r="D112" s="41"/>
      <c r="E112" s="41"/>
    </row>
    <row r="113" spans="1:5" x14ac:dyDescent="0.25">
      <c r="A113" s="16" t="s">
        <v>302</v>
      </c>
      <c r="B113" s="42" t="s">
        <v>298</v>
      </c>
      <c r="C113" s="337"/>
      <c r="D113" s="16"/>
      <c r="E113" s="16"/>
    </row>
    <row r="114" spans="1:5" x14ac:dyDescent="0.25">
      <c r="A114" s="16" t="s">
        <v>304</v>
      </c>
      <c r="B114" s="42" t="s">
        <v>298</v>
      </c>
      <c r="C114" s="337"/>
      <c r="D114" s="16"/>
      <c r="E114" s="16"/>
    </row>
    <row r="115" spans="1:5" x14ac:dyDescent="0.25">
      <c r="A115" s="16" t="s">
        <v>314</v>
      </c>
      <c r="B115" s="42" t="s">
        <v>298</v>
      </c>
      <c r="C115" s="337"/>
      <c r="D115" s="16"/>
      <c r="E115" s="16"/>
    </row>
    <row r="116" spans="1:5" x14ac:dyDescent="0.25">
      <c r="A116" s="41" t="s">
        <v>315</v>
      </c>
      <c r="B116" s="41"/>
      <c r="C116" s="41"/>
      <c r="D116" s="41"/>
      <c r="E116" s="41"/>
    </row>
    <row r="117" spans="1:5" x14ac:dyDescent="0.25">
      <c r="A117" s="16" t="s">
        <v>316</v>
      </c>
      <c r="B117" s="42" t="s">
        <v>298</v>
      </c>
      <c r="C117" s="337"/>
      <c r="D117" s="16"/>
      <c r="E117" s="16"/>
    </row>
    <row r="118" spans="1:5" x14ac:dyDescent="0.25">
      <c r="A118" s="16" t="s">
        <v>159</v>
      </c>
      <c r="B118" s="42" t="s">
        <v>298</v>
      </c>
      <c r="C118" s="338"/>
      <c r="D118" s="16"/>
      <c r="E118" s="16"/>
    </row>
    <row r="119" spans="1:5" x14ac:dyDescent="0.25">
      <c r="A119" s="41" t="s">
        <v>317</v>
      </c>
      <c r="B119" s="41"/>
      <c r="C119" s="41"/>
      <c r="D119" s="41"/>
      <c r="E119" s="41"/>
    </row>
    <row r="120" spans="1:5" x14ac:dyDescent="0.25">
      <c r="A120" s="16" t="s">
        <v>318</v>
      </c>
      <c r="B120" s="42" t="s">
        <v>298</v>
      </c>
      <c r="C120" s="337"/>
      <c r="D120" s="16"/>
      <c r="E120" s="16"/>
    </row>
    <row r="121" spans="1:5" x14ac:dyDescent="0.25">
      <c r="A121" s="16" t="s">
        <v>319</v>
      </c>
      <c r="B121" s="42" t="s">
        <v>298</v>
      </c>
      <c r="C121" s="337"/>
      <c r="D121" s="16"/>
      <c r="E121" s="16"/>
    </row>
    <row r="122" spans="1:5" x14ac:dyDescent="0.25">
      <c r="A122" s="16" t="s">
        <v>320</v>
      </c>
      <c r="B122" s="42" t="s">
        <v>298</v>
      </c>
      <c r="C122" s="337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321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25">
      <c r="A127" s="16" t="s">
        <v>324</v>
      </c>
      <c r="B127" s="42" t="s">
        <v>298</v>
      </c>
      <c r="C127" s="339">
        <v>6248</v>
      </c>
      <c r="D127" s="340">
        <v>19152</v>
      </c>
      <c r="E127" s="16"/>
    </row>
    <row r="128" spans="1:5" x14ac:dyDescent="0.25">
      <c r="A128" s="16" t="s">
        <v>325</v>
      </c>
      <c r="B128" s="42" t="s">
        <v>298</v>
      </c>
      <c r="C128" s="339"/>
      <c r="D128" s="340"/>
      <c r="E128" s="16"/>
    </row>
    <row r="129" spans="1:5" x14ac:dyDescent="0.25">
      <c r="A129" s="16" t="s">
        <v>326</v>
      </c>
      <c r="B129" s="42" t="s">
        <v>298</v>
      </c>
      <c r="C129" s="337"/>
      <c r="D129" s="340"/>
      <c r="E129" s="16"/>
    </row>
    <row r="130" spans="1:5" x14ac:dyDescent="0.25">
      <c r="A130" s="16" t="s">
        <v>327</v>
      </c>
      <c r="B130" s="42" t="s">
        <v>298</v>
      </c>
      <c r="C130" s="337">
        <v>1448</v>
      </c>
      <c r="D130" s="340">
        <v>2087</v>
      </c>
      <c r="E130" s="16"/>
    </row>
    <row r="131" spans="1:5" x14ac:dyDescent="0.25">
      <c r="A131" s="22" t="s">
        <v>328</v>
      </c>
      <c r="B131" s="16"/>
      <c r="C131" s="17" t="s">
        <v>194</v>
      </c>
      <c r="D131" s="16"/>
      <c r="E131" s="16"/>
    </row>
    <row r="132" spans="1:5" x14ac:dyDescent="0.25">
      <c r="A132" s="16" t="s">
        <v>329</v>
      </c>
      <c r="B132" s="42" t="s">
        <v>298</v>
      </c>
      <c r="C132" s="337">
        <v>14</v>
      </c>
      <c r="D132" s="16"/>
      <c r="E132" s="16"/>
    </row>
    <row r="133" spans="1:5" x14ac:dyDescent="0.25">
      <c r="A133" s="16" t="s">
        <v>330</v>
      </c>
      <c r="B133" s="42" t="s">
        <v>298</v>
      </c>
      <c r="C133" s="337">
        <v>16</v>
      </c>
      <c r="D133" s="16"/>
      <c r="E133" s="16"/>
    </row>
    <row r="134" spans="1:5" x14ac:dyDescent="0.25">
      <c r="A134" s="16" t="s">
        <v>331</v>
      </c>
      <c r="B134" s="42" t="s">
        <v>298</v>
      </c>
      <c r="C134" s="341">
        <v>54</v>
      </c>
      <c r="D134" s="16"/>
      <c r="E134" s="16"/>
    </row>
    <row r="135" spans="1:5" x14ac:dyDescent="0.25">
      <c r="A135" s="16" t="s">
        <v>332</v>
      </c>
      <c r="B135" s="42" t="s">
        <v>298</v>
      </c>
      <c r="C135" s="337"/>
      <c r="D135" s="16"/>
      <c r="E135" s="16"/>
    </row>
    <row r="136" spans="1:5" x14ac:dyDescent="0.25">
      <c r="A136" s="16" t="s">
        <v>333</v>
      </c>
      <c r="B136" s="42" t="s">
        <v>298</v>
      </c>
      <c r="C136" s="337">
        <v>17</v>
      </c>
      <c r="D136" s="16"/>
      <c r="E136" s="16"/>
    </row>
    <row r="137" spans="1:5" x14ac:dyDescent="0.25">
      <c r="A137" s="16" t="s">
        <v>334</v>
      </c>
      <c r="B137" s="42" t="s">
        <v>298</v>
      </c>
      <c r="C137" s="337"/>
      <c r="D137" s="16"/>
      <c r="E137" s="16"/>
    </row>
    <row r="138" spans="1:5" x14ac:dyDescent="0.25">
      <c r="A138" s="16" t="s">
        <v>123</v>
      </c>
      <c r="B138" s="42" t="s">
        <v>298</v>
      </c>
      <c r="C138" s="337"/>
      <c r="D138" s="16"/>
      <c r="E138" s="16"/>
    </row>
    <row r="139" spans="1:5" x14ac:dyDescent="0.25">
      <c r="A139" s="16" t="s">
        <v>335</v>
      </c>
      <c r="B139" s="42" t="s">
        <v>298</v>
      </c>
      <c r="C139" s="339"/>
      <c r="D139" s="16"/>
      <c r="E139" s="16"/>
    </row>
    <row r="140" spans="1:5" x14ac:dyDescent="0.25">
      <c r="A140" s="16" t="s">
        <v>336</v>
      </c>
      <c r="B140" s="42"/>
      <c r="C140" s="337"/>
      <c r="D140" s="16"/>
      <c r="E140" s="16"/>
    </row>
    <row r="141" spans="1:5" x14ac:dyDescent="0.25">
      <c r="A141" s="16" t="s">
        <v>326</v>
      </c>
      <c r="B141" s="42" t="s">
        <v>298</v>
      </c>
      <c r="C141" s="337"/>
      <c r="D141" s="16"/>
      <c r="E141" s="16"/>
    </row>
    <row r="142" spans="1:5" x14ac:dyDescent="0.25">
      <c r="A142" s="16" t="s">
        <v>337</v>
      </c>
      <c r="B142" s="42" t="s">
        <v>298</v>
      </c>
      <c r="C142" s="337">
        <v>10</v>
      </c>
      <c r="D142" s="16"/>
      <c r="E142" s="16"/>
    </row>
    <row r="143" spans="1:5" x14ac:dyDescent="0.25">
      <c r="A143" s="16" t="s">
        <v>338</v>
      </c>
      <c r="B143" s="16"/>
      <c r="C143" s="23"/>
      <c r="D143" s="16"/>
      <c r="E143" s="28">
        <f>SUM(C132:C142)</f>
        <v>111</v>
      </c>
    </row>
    <row r="144" spans="1:5" x14ac:dyDescent="0.25">
      <c r="A144" s="16" t="s">
        <v>339</v>
      </c>
      <c r="B144" s="42" t="s">
        <v>298</v>
      </c>
      <c r="C144" s="339">
        <v>111</v>
      </c>
      <c r="D144" s="16"/>
      <c r="E144" s="16"/>
    </row>
    <row r="145" spans="1:6" x14ac:dyDescent="0.25">
      <c r="A145" s="16" t="s">
        <v>340</v>
      </c>
      <c r="B145" s="42" t="s">
        <v>298</v>
      </c>
      <c r="C145" s="337">
        <v>10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341</v>
      </c>
      <c r="B147" s="42" t="s">
        <v>298</v>
      </c>
      <c r="C147" s="339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342</v>
      </c>
      <c r="B152" s="45"/>
      <c r="C152" s="45"/>
      <c r="D152" s="45"/>
      <c r="E152" s="45"/>
    </row>
    <row r="153" spans="1:6" x14ac:dyDescent="0.2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25">
      <c r="A154" s="16" t="s">
        <v>323</v>
      </c>
      <c r="B154" s="340">
        <f>1505+606</f>
        <v>2111</v>
      </c>
      <c r="C154" s="340">
        <f>380+1898</f>
        <v>2278</v>
      </c>
      <c r="D154" s="340">
        <v>1859</v>
      </c>
      <c r="E154" s="28">
        <f>SUM(B154:D154)</f>
        <v>6248</v>
      </c>
    </row>
    <row r="155" spans="1:6" x14ac:dyDescent="0.25">
      <c r="A155" s="16" t="s">
        <v>242</v>
      </c>
      <c r="B155" s="340">
        <f>6564+3116</f>
        <v>9680</v>
      </c>
      <c r="C155" s="340">
        <f>661+4670</f>
        <v>5331</v>
      </c>
      <c r="D155" s="340">
        <v>4141</v>
      </c>
      <c r="E155" s="28">
        <f>SUM(B155:D155)</f>
        <v>19152</v>
      </c>
    </row>
    <row r="156" spans="1:6" x14ac:dyDescent="0.25">
      <c r="A156" s="16" t="s">
        <v>346</v>
      </c>
      <c r="B156" s="340">
        <v>27887</v>
      </c>
      <c r="C156" s="340">
        <v>25225</v>
      </c>
      <c r="D156" s="340">
        <v>30165</v>
      </c>
      <c r="E156" s="28">
        <f>SUM(B156:D156)</f>
        <v>83277</v>
      </c>
    </row>
    <row r="157" spans="1:6" x14ac:dyDescent="0.25">
      <c r="A157" s="16" t="s">
        <v>287</v>
      </c>
      <c r="B157" s="340">
        <v>124434351</v>
      </c>
      <c r="C157" s="340">
        <v>59261674</v>
      </c>
      <c r="D157" s="340">
        <v>58573021</v>
      </c>
      <c r="E157" s="28">
        <f>SUM(B157:D157)</f>
        <v>242269046</v>
      </c>
      <c r="F157" s="14"/>
    </row>
    <row r="158" spans="1:6" x14ac:dyDescent="0.25">
      <c r="A158" s="16" t="s">
        <v>288</v>
      </c>
      <c r="B158" s="340">
        <v>161856152</v>
      </c>
      <c r="C158" s="340">
        <v>96019253</v>
      </c>
      <c r="D158" s="340">
        <v>139256399</v>
      </c>
      <c r="E158" s="28">
        <f>SUM(B158:D158)</f>
        <v>397131804</v>
      </c>
      <c r="F158" s="14"/>
    </row>
    <row r="159" spans="1:6" x14ac:dyDescent="0.2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25">
      <c r="A160" s="16" t="s">
        <v>323</v>
      </c>
      <c r="B160" s="317"/>
      <c r="C160" s="317"/>
      <c r="D160" s="317"/>
      <c r="E160" s="28">
        <f>SUM(B160:D160)</f>
        <v>0</v>
      </c>
    </row>
    <row r="161" spans="1:5" x14ac:dyDescent="0.25">
      <c r="A161" s="16" t="s">
        <v>242</v>
      </c>
      <c r="B161" s="317"/>
      <c r="C161" s="317"/>
      <c r="D161" s="317"/>
      <c r="E161" s="28">
        <f>SUM(B161:D161)</f>
        <v>0</v>
      </c>
    </row>
    <row r="162" spans="1:5" x14ac:dyDescent="0.25">
      <c r="A162" s="16" t="s">
        <v>346</v>
      </c>
      <c r="B162" s="340"/>
      <c r="C162" s="340"/>
      <c r="D162" s="340"/>
      <c r="E162" s="28">
        <f>SUM(B162:D162)</f>
        <v>0</v>
      </c>
    </row>
    <row r="163" spans="1:5" x14ac:dyDescent="0.25">
      <c r="A163" s="16" t="s">
        <v>287</v>
      </c>
      <c r="B163" s="317"/>
      <c r="C163" s="317"/>
      <c r="D163" s="317"/>
      <c r="E163" s="28">
        <f>SUM(B163:D163)</f>
        <v>0</v>
      </c>
    </row>
    <row r="164" spans="1:5" x14ac:dyDescent="0.25">
      <c r="A164" s="16" t="s">
        <v>288</v>
      </c>
      <c r="B164" s="340"/>
      <c r="C164" s="340"/>
      <c r="D164" s="340"/>
      <c r="E164" s="28">
        <f>SUM(B164:D164)</f>
        <v>0</v>
      </c>
    </row>
    <row r="165" spans="1:5" x14ac:dyDescent="0.2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25">
      <c r="A166" s="16" t="s">
        <v>323</v>
      </c>
      <c r="B166" s="340"/>
      <c r="C166" s="340"/>
      <c r="D166" s="340"/>
      <c r="E166" s="28">
        <f>SUM(B166:D166)</f>
        <v>0</v>
      </c>
    </row>
    <row r="167" spans="1:5" x14ac:dyDescent="0.25">
      <c r="A167" s="16" t="s">
        <v>242</v>
      </c>
      <c r="B167" s="340"/>
      <c r="C167" s="340"/>
      <c r="D167" s="340"/>
      <c r="E167" s="28">
        <f>SUM(B167:D167)</f>
        <v>0</v>
      </c>
    </row>
    <row r="168" spans="1:5" x14ac:dyDescent="0.25">
      <c r="A168" s="16" t="s">
        <v>346</v>
      </c>
      <c r="B168" s="340"/>
      <c r="C168" s="340"/>
      <c r="D168" s="340"/>
      <c r="E168" s="28">
        <f>SUM(B168:D168)</f>
        <v>0</v>
      </c>
    </row>
    <row r="169" spans="1:5" x14ac:dyDescent="0.25">
      <c r="A169" s="16" t="s">
        <v>287</v>
      </c>
      <c r="B169" s="340"/>
      <c r="C169" s="340"/>
      <c r="D169" s="340"/>
      <c r="E169" s="28">
        <f>SUM(B169:D169)</f>
        <v>0</v>
      </c>
    </row>
    <row r="170" spans="1:5" x14ac:dyDescent="0.25">
      <c r="A170" s="16" t="s">
        <v>288</v>
      </c>
      <c r="B170" s="340"/>
      <c r="C170" s="340"/>
      <c r="D170" s="340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25">
      <c r="A173" s="21" t="s">
        <v>352</v>
      </c>
      <c r="B173" s="317"/>
      <c r="C173" s="317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353</v>
      </c>
      <c r="B179" s="34"/>
      <c r="C179" s="34"/>
      <c r="D179" s="34"/>
      <c r="E179" s="34"/>
    </row>
    <row r="180" spans="1:5" x14ac:dyDescent="0.25">
      <c r="A180" s="41" t="s">
        <v>354</v>
      </c>
      <c r="B180" s="41"/>
      <c r="C180" s="41"/>
      <c r="D180" s="41"/>
      <c r="E180" s="41"/>
    </row>
    <row r="181" spans="1:5" x14ac:dyDescent="0.25">
      <c r="A181" s="16" t="s">
        <v>355</v>
      </c>
      <c r="B181" s="42" t="s">
        <v>298</v>
      </c>
      <c r="C181" s="337">
        <v>4976864</v>
      </c>
      <c r="D181" s="16"/>
      <c r="E181" s="16"/>
    </row>
    <row r="182" spans="1:5" x14ac:dyDescent="0.25">
      <c r="A182" s="16" t="s">
        <v>356</v>
      </c>
      <c r="B182" s="42" t="s">
        <v>298</v>
      </c>
      <c r="C182" s="337">
        <v>530757</v>
      </c>
      <c r="D182" s="16"/>
      <c r="E182" s="16"/>
    </row>
    <row r="183" spans="1:5" x14ac:dyDescent="0.25">
      <c r="A183" s="21" t="s">
        <v>357</v>
      </c>
      <c r="B183" s="42" t="s">
        <v>298</v>
      </c>
      <c r="C183" s="337">
        <v>1317982</v>
      </c>
      <c r="D183" s="16"/>
      <c r="E183" s="16"/>
    </row>
    <row r="184" spans="1:5" x14ac:dyDescent="0.25">
      <c r="A184" s="16" t="s">
        <v>358</v>
      </c>
      <c r="B184" s="42" t="s">
        <v>298</v>
      </c>
      <c r="C184" s="337">
        <v>5420055</v>
      </c>
      <c r="D184" s="16"/>
      <c r="E184" s="16"/>
    </row>
    <row r="185" spans="1:5" x14ac:dyDescent="0.25">
      <c r="A185" s="16" t="s">
        <v>359</v>
      </c>
      <c r="B185" s="42" t="s">
        <v>298</v>
      </c>
      <c r="C185" s="337">
        <v>240701</v>
      </c>
      <c r="D185" s="16"/>
      <c r="E185" s="16"/>
    </row>
    <row r="186" spans="1:5" x14ac:dyDescent="0.25">
      <c r="A186" s="16" t="s">
        <v>360</v>
      </c>
      <c r="B186" s="42" t="s">
        <v>298</v>
      </c>
      <c r="C186" s="337">
        <v>1557188</v>
      </c>
      <c r="D186" s="16"/>
      <c r="E186" s="16"/>
    </row>
    <row r="187" spans="1:5" x14ac:dyDescent="0.25">
      <c r="A187" s="16" t="s">
        <v>361</v>
      </c>
      <c r="B187" s="42" t="s">
        <v>298</v>
      </c>
      <c r="C187" s="337">
        <v>8453</v>
      </c>
      <c r="D187" s="16"/>
      <c r="E187" s="16"/>
    </row>
    <row r="188" spans="1:5" x14ac:dyDescent="0.25">
      <c r="A188" s="16" t="s">
        <v>361</v>
      </c>
      <c r="B188" s="42" t="s">
        <v>298</v>
      </c>
      <c r="C188" s="337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14052000</v>
      </c>
      <c r="E189" s="16"/>
    </row>
    <row r="190" spans="1:5" x14ac:dyDescent="0.25">
      <c r="A190" s="41" t="s">
        <v>362</v>
      </c>
      <c r="B190" s="41"/>
      <c r="C190" s="41"/>
      <c r="D190" s="41"/>
      <c r="E190" s="41"/>
    </row>
    <row r="191" spans="1:5" x14ac:dyDescent="0.25">
      <c r="A191" s="16" t="s">
        <v>363</v>
      </c>
      <c r="B191" s="42" t="s">
        <v>298</v>
      </c>
      <c r="C191" s="337">
        <v>305911</v>
      </c>
      <c r="D191" s="16"/>
      <c r="E191" s="16"/>
    </row>
    <row r="192" spans="1:5" x14ac:dyDescent="0.25">
      <c r="A192" s="16" t="s">
        <v>364</v>
      </c>
      <c r="B192" s="42" t="s">
        <v>298</v>
      </c>
      <c r="C192" s="337">
        <v>33587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339498</v>
      </c>
      <c r="E193" s="16"/>
    </row>
    <row r="194" spans="1:5" x14ac:dyDescent="0.25">
      <c r="A194" s="41" t="s">
        <v>365</v>
      </c>
      <c r="B194" s="41"/>
      <c r="C194" s="41"/>
      <c r="D194" s="41"/>
      <c r="E194" s="41"/>
    </row>
    <row r="195" spans="1:5" x14ac:dyDescent="0.25">
      <c r="A195" s="16" t="s">
        <v>366</v>
      </c>
      <c r="B195" s="42" t="s">
        <v>298</v>
      </c>
      <c r="C195" s="337">
        <v>1031588</v>
      </c>
      <c r="D195" s="16"/>
      <c r="E195" s="16"/>
    </row>
    <row r="196" spans="1:5" x14ac:dyDescent="0.25">
      <c r="A196" s="16" t="s">
        <v>367</v>
      </c>
      <c r="B196" s="42" t="s">
        <v>298</v>
      </c>
      <c r="C196" s="337">
        <v>345503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1377091</v>
      </c>
      <c r="E197" s="16"/>
    </row>
    <row r="198" spans="1:5" x14ac:dyDescent="0.25">
      <c r="A198" s="41" t="s">
        <v>368</v>
      </c>
      <c r="B198" s="41"/>
      <c r="C198" s="41"/>
      <c r="D198" s="41"/>
      <c r="E198" s="41"/>
    </row>
    <row r="199" spans="1:5" x14ac:dyDescent="0.25">
      <c r="A199" s="16" t="s">
        <v>369</v>
      </c>
      <c r="B199" s="42" t="s">
        <v>298</v>
      </c>
      <c r="C199" s="337">
        <v>1021975</v>
      </c>
      <c r="D199" s="16"/>
      <c r="E199" s="16"/>
    </row>
    <row r="200" spans="1:5" x14ac:dyDescent="0.25">
      <c r="A200" s="16" t="s">
        <v>370</v>
      </c>
      <c r="B200" s="42" t="s">
        <v>298</v>
      </c>
      <c r="C200" s="337">
        <v>6047151</v>
      </c>
      <c r="D200" s="16"/>
      <c r="E200" s="16"/>
    </row>
    <row r="201" spans="1:5" x14ac:dyDescent="0.25">
      <c r="A201" s="16" t="s">
        <v>159</v>
      </c>
      <c r="B201" s="42" t="s">
        <v>298</v>
      </c>
      <c r="C201" s="337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7069126</v>
      </c>
      <c r="E202" s="16"/>
    </row>
    <row r="203" spans="1:5" x14ac:dyDescent="0.25">
      <c r="A203" s="41" t="s">
        <v>371</v>
      </c>
      <c r="B203" s="41"/>
      <c r="C203" s="41"/>
      <c r="D203" s="41"/>
      <c r="E203" s="41"/>
    </row>
    <row r="204" spans="1:5" x14ac:dyDescent="0.25">
      <c r="A204" s="16" t="s">
        <v>372</v>
      </c>
      <c r="B204" s="42" t="s">
        <v>298</v>
      </c>
      <c r="C204" s="337"/>
      <c r="D204" s="16"/>
      <c r="E204" s="16"/>
    </row>
    <row r="205" spans="1:5" x14ac:dyDescent="0.25">
      <c r="A205" s="16" t="s">
        <v>373</v>
      </c>
      <c r="B205" s="42" t="s">
        <v>298</v>
      </c>
      <c r="C205" s="337">
        <v>3299828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3299828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374</v>
      </c>
      <c r="B208" s="34"/>
      <c r="C208" s="34"/>
      <c r="D208" s="34"/>
      <c r="E208" s="34"/>
    </row>
    <row r="209" spans="1:5" x14ac:dyDescent="0.25">
      <c r="A209" s="45" t="s">
        <v>375</v>
      </c>
      <c r="B209" s="34"/>
      <c r="C209" s="34"/>
      <c r="D209" s="34"/>
      <c r="E209" s="34"/>
    </row>
    <row r="210" spans="1:5" x14ac:dyDescent="0.2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25">
      <c r="A211" s="16" t="s">
        <v>380</v>
      </c>
      <c r="B211" s="337">
        <v>11731163</v>
      </c>
      <c r="C211" s="337"/>
      <c r="D211" s="340">
        <v>270000</v>
      </c>
      <c r="E211" s="28">
        <f t="shared" ref="E211:E219" si="27">SUM(B211:C211)-D211</f>
        <v>11461163</v>
      </c>
    </row>
    <row r="212" spans="1:5" x14ac:dyDescent="0.25">
      <c r="A212" s="16" t="s">
        <v>381</v>
      </c>
      <c r="B212" s="337">
        <v>416308</v>
      </c>
      <c r="C212" s="337"/>
      <c r="D212" s="340"/>
      <c r="E212" s="28">
        <f t="shared" si="27"/>
        <v>416308</v>
      </c>
    </row>
    <row r="213" spans="1:5" x14ac:dyDescent="0.25">
      <c r="A213" s="16" t="s">
        <v>382</v>
      </c>
      <c r="B213" s="337">
        <v>16404711</v>
      </c>
      <c r="C213" s="337">
        <v>1687</v>
      </c>
      <c r="D213" s="340"/>
      <c r="E213" s="28">
        <f t="shared" si="27"/>
        <v>16406398</v>
      </c>
    </row>
    <row r="214" spans="1:5" x14ac:dyDescent="0.25">
      <c r="A214" s="16" t="s">
        <v>383</v>
      </c>
      <c r="B214" s="337">
        <v>0</v>
      </c>
      <c r="C214" s="337"/>
      <c r="D214" s="340"/>
      <c r="E214" s="28">
        <f t="shared" si="27"/>
        <v>0</v>
      </c>
    </row>
    <row r="215" spans="1:5" x14ac:dyDescent="0.25">
      <c r="A215" s="16" t="s">
        <v>384</v>
      </c>
      <c r="B215" s="337">
        <v>678037</v>
      </c>
      <c r="C215" s="337">
        <v>326019</v>
      </c>
      <c r="D215" s="340"/>
      <c r="E215" s="28">
        <f t="shared" si="27"/>
        <v>1004056</v>
      </c>
    </row>
    <row r="216" spans="1:5" x14ac:dyDescent="0.25">
      <c r="A216" s="16" t="s">
        <v>385</v>
      </c>
      <c r="B216" s="337">
        <v>21515686</v>
      </c>
      <c r="C216" s="337">
        <v>2747314</v>
      </c>
      <c r="D216" s="340">
        <v>1054303</v>
      </c>
      <c r="E216" s="28">
        <f t="shared" si="27"/>
        <v>23208697</v>
      </c>
    </row>
    <row r="217" spans="1:5" x14ac:dyDescent="0.25">
      <c r="A217" s="16" t="s">
        <v>386</v>
      </c>
      <c r="B217" s="337">
        <v>0</v>
      </c>
      <c r="C217" s="337"/>
      <c r="D217" s="340"/>
      <c r="E217" s="28">
        <f t="shared" si="27"/>
        <v>0</v>
      </c>
    </row>
    <row r="218" spans="1:5" x14ac:dyDescent="0.25">
      <c r="A218" s="16" t="s">
        <v>387</v>
      </c>
      <c r="B218" s="337">
        <v>28629497</v>
      </c>
      <c r="C218" s="337">
        <v>674284</v>
      </c>
      <c r="D218" s="340">
        <v>120341</v>
      </c>
      <c r="E218" s="28">
        <f t="shared" si="27"/>
        <v>29183440</v>
      </c>
    </row>
    <row r="219" spans="1:5" x14ac:dyDescent="0.25">
      <c r="A219" s="16" t="s">
        <v>388</v>
      </c>
      <c r="B219" s="337">
        <v>976698</v>
      </c>
      <c r="C219" s="337">
        <v>1611778</v>
      </c>
      <c r="D219" s="340">
        <v>2332074</v>
      </c>
      <c r="E219" s="28">
        <f t="shared" si="27"/>
        <v>256402</v>
      </c>
    </row>
    <row r="220" spans="1:5" x14ac:dyDescent="0.25">
      <c r="A220" s="16" t="s">
        <v>230</v>
      </c>
      <c r="B220" s="28">
        <f>SUM(B211:B219)</f>
        <v>80352100</v>
      </c>
      <c r="C220" s="237">
        <f>SUM(C211:C219)</f>
        <v>5361082</v>
      </c>
      <c r="D220" s="28">
        <f>SUM(D211:D219)</f>
        <v>3776718</v>
      </c>
      <c r="E220" s="28">
        <f>SUM(E211:E219)</f>
        <v>81936464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389</v>
      </c>
      <c r="B222" s="45"/>
      <c r="C222" s="45"/>
      <c r="D222" s="45"/>
      <c r="E222" s="45"/>
    </row>
    <row r="223" spans="1:5" x14ac:dyDescent="0.2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25">
      <c r="A224" s="16" t="s">
        <v>380</v>
      </c>
      <c r="B224" s="51"/>
      <c r="C224" s="50"/>
      <c r="D224" s="51"/>
      <c r="E224" s="16"/>
    </row>
    <row r="225" spans="1:6" x14ac:dyDescent="0.25">
      <c r="A225" s="16" t="s">
        <v>381</v>
      </c>
      <c r="B225" s="337">
        <v>411459</v>
      </c>
      <c r="C225" s="337">
        <v>1293</v>
      </c>
      <c r="D225" s="340"/>
      <c r="E225" s="28">
        <f t="shared" ref="E225:E232" si="28">SUM(B225:C225)-D225</f>
        <v>412752</v>
      </c>
    </row>
    <row r="226" spans="1:6" x14ac:dyDescent="0.25">
      <c r="A226" s="16" t="s">
        <v>382</v>
      </c>
      <c r="B226" s="337">
        <v>984596</v>
      </c>
      <c r="C226" s="337">
        <v>234589</v>
      </c>
      <c r="D226" s="340"/>
      <c r="E226" s="28">
        <f t="shared" si="28"/>
        <v>1219185</v>
      </c>
    </row>
    <row r="227" spans="1:6" x14ac:dyDescent="0.25">
      <c r="A227" s="16" t="s">
        <v>383</v>
      </c>
      <c r="B227" s="337">
        <v>0</v>
      </c>
      <c r="C227" s="337"/>
      <c r="D227" s="340"/>
      <c r="E227" s="28">
        <f t="shared" si="28"/>
        <v>0</v>
      </c>
    </row>
    <row r="228" spans="1:6" x14ac:dyDescent="0.25">
      <c r="A228" s="16" t="s">
        <v>384</v>
      </c>
      <c r="B228" s="337">
        <v>0</v>
      </c>
      <c r="C228" s="337">
        <v>99109</v>
      </c>
      <c r="D228" s="340"/>
      <c r="E228" s="28">
        <f t="shared" si="28"/>
        <v>99109</v>
      </c>
    </row>
    <row r="229" spans="1:6" x14ac:dyDescent="0.25">
      <c r="A229" s="16" t="s">
        <v>385</v>
      </c>
      <c r="B229" s="337">
        <v>9868157</v>
      </c>
      <c r="C229" s="337">
        <v>3247772</v>
      </c>
      <c r="D229" s="340">
        <v>262588</v>
      </c>
      <c r="E229" s="28">
        <f t="shared" si="28"/>
        <v>12853341</v>
      </c>
    </row>
    <row r="230" spans="1:6" x14ac:dyDescent="0.25">
      <c r="A230" s="16" t="s">
        <v>386</v>
      </c>
      <c r="B230" s="337">
        <v>0</v>
      </c>
      <c r="C230" s="337"/>
      <c r="D230" s="340"/>
      <c r="E230" s="28">
        <f t="shared" si="28"/>
        <v>0</v>
      </c>
    </row>
    <row r="231" spans="1:6" x14ac:dyDescent="0.25">
      <c r="A231" s="16" t="s">
        <v>387</v>
      </c>
      <c r="B231" s="337">
        <v>991787</v>
      </c>
      <c r="C231" s="337">
        <v>1336154</v>
      </c>
      <c r="D231" s="340">
        <v>14040</v>
      </c>
      <c r="E231" s="28">
        <f t="shared" si="28"/>
        <v>2313901</v>
      </c>
    </row>
    <row r="232" spans="1:6" x14ac:dyDescent="0.25">
      <c r="A232" s="16" t="s">
        <v>388</v>
      </c>
      <c r="B232" s="337">
        <v>0</v>
      </c>
      <c r="C232" s="337"/>
      <c r="D232" s="340"/>
      <c r="E232" s="28">
        <f t="shared" si="28"/>
        <v>0</v>
      </c>
    </row>
    <row r="233" spans="1:6" x14ac:dyDescent="0.25">
      <c r="A233" s="16" t="s">
        <v>230</v>
      </c>
      <c r="B233" s="28">
        <f>SUM(B224:B232)</f>
        <v>12255999</v>
      </c>
      <c r="C233" s="237">
        <f>SUM(C224:C232)</f>
        <v>4918917</v>
      </c>
      <c r="D233" s="28">
        <f>SUM(D224:D232)</f>
        <v>276628</v>
      </c>
      <c r="E233" s="28">
        <f>SUM(E224:E232)</f>
        <v>16898288</v>
      </c>
    </row>
    <row r="234" spans="1:6" x14ac:dyDescent="0.25">
      <c r="A234" s="16"/>
      <c r="B234" s="16"/>
      <c r="C234" s="23"/>
      <c r="D234" s="16"/>
      <c r="E234" s="16"/>
      <c r="F234" s="11">
        <f>E220-E233</f>
        <v>65038176</v>
      </c>
    </row>
    <row r="235" spans="1:6" x14ac:dyDescent="0.25">
      <c r="A235" s="34" t="s">
        <v>390</v>
      </c>
      <c r="B235" s="34"/>
      <c r="C235" s="34"/>
      <c r="D235" s="34"/>
      <c r="E235" s="34"/>
    </row>
    <row r="236" spans="1:6" x14ac:dyDescent="0.25">
      <c r="A236" s="34"/>
      <c r="B236" s="356" t="s">
        <v>391</v>
      </c>
      <c r="C236" s="356"/>
      <c r="D236" s="34"/>
      <c r="E236" s="34"/>
    </row>
    <row r="237" spans="1:6" x14ac:dyDescent="0.25">
      <c r="A237" s="52" t="s">
        <v>391</v>
      </c>
      <c r="B237" s="34"/>
      <c r="C237" s="337">
        <v>1089367</v>
      </c>
      <c r="D237" s="36">
        <f>C237</f>
        <v>1089367</v>
      </c>
      <c r="E237" s="34"/>
    </row>
    <row r="238" spans="1:6" x14ac:dyDescent="0.25">
      <c r="A238" s="41" t="s">
        <v>392</v>
      </c>
      <c r="B238" s="41"/>
      <c r="C238" s="41"/>
      <c r="D238" s="41"/>
      <c r="E238" s="41"/>
    </row>
    <row r="239" spans="1:6" x14ac:dyDescent="0.25">
      <c r="A239" s="16" t="s">
        <v>393</v>
      </c>
      <c r="B239" s="42" t="s">
        <v>298</v>
      </c>
      <c r="C239" s="337">
        <v>241455725</v>
      </c>
      <c r="D239" s="16"/>
      <c r="E239" s="16"/>
    </row>
    <row r="240" spans="1:6" x14ac:dyDescent="0.25">
      <c r="A240" s="16" t="s">
        <v>394</v>
      </c>
      <c r="B240" s="42" t="s">
        <v>298</v>
      </c>
      <c r="C240" s="337">
        <v>117361566</v>
      </c>
      <c r="D240" s="16"/>
      <c r="E240" s="16"/>
    </row>
    <row r="241" spans="1:5" x14ac:dyDescent="0.25">
      <c r="A241" s="16" t="s">
        <v>395</v>
      </c>
      <c r="B241" s="42" t="s">
        <v>298</v>
      </c>
      <c r="C241" s="337">
        <v>6210665</v>
      </c>
      <c r="D241" s="16"/>
      <c r="E241" s="16"/>
    </row>
    <row r="242" spans="1:5" x14ac:dyDescent="0.25">
      <c r="A242" s="16" t="s">
        <v>396</v>
      </c>
      <c r="B242" s="42" t="s">
        <v>298</v>
      </c>
      <c r="C242" s="337">
        <v>8455522</v>
      </c>
      <c r="D242" s="16"/>
      <c r="E242" s="16"/>
    </row>
    <row r="243" spans="1:5" x14ac:dyDescent="0.25">
      <c r="A243" s="16" t="s">
        <v>397</v>
      </c>
      <c r="B243" s="42" t="s">
        <v>298</v>
      </c>
      <c r="C243" s="337">
        <v>95492157</v>
      </c>
      <c r="D243" s="16"/>
      <c r="E243" s="16"/>
    </row>
    <row r="244" spans="1:5" x14ac:dyDescent="0.25">
      <c r="A244" s="16" t="s">
        <v>398</v>
      </c>
      <c r="B244" s="42" t="s">
        <v>298</v>
      </c>
      <c r="C244" s="337"/>
      <c r="D244" s="16"/>
      <c r="E244" s="16"/>
    </row>
    <row r="245" spans="1:5" x14ac:dyDescent="0.25">
      <c r="A245" s="16" t="s">
        <v>399</v>
      </c>
      <c r="B245" s="16"/>
      <c r="C245" s="23"/>
      <c r="D245" s="28">
        <f>SUM(C239:C244)</f>
        <v>468975635</v>
      </c>
      <c r="E245" s="16"/>
    </row>
    <row r="246" spans="1:5" x14ac:dyDescent="0.25">
      <c r="A246" s="41" t="s">
        <v>400</v>
      </c>
      <c r="B246" s="41"/>
      <c r="C246" s="41"/>
      <c r="D246" s="41"/>
      <c r="E246" s="41"/>
    </row>
    <row r="247" spans="1:5" x14ac:dyDescent="0.25">
      <c r="A247" s="22" t="s">
        <v>401</v>
      </c>
      <c r="B247" s="42" t="s">
        <v>298</v>
      </c>
      <c r="C247" s="339">
        <v>3600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402</v>
      </c>
      <c r="B249" s="42" t="s">
        <v>298</v>
      </c>
      <c r="C249" s="337">
        <v>4905140</v>
      </c>
      <c r="D249" s="16"/>
      <c r="E249" s="16"/>
    </row>
    <row r="250" spans="1:5" x14ac:dyDescent="0.25">
      <c r="A250" s="22" t="s">
        <v>403</v>
      </c>
      <c r="B250" s="42" t="s">
        <v>298</v>
      </c>
      <c r="C250" s="337">
        <v>12113825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404</v>
      </c>
      <c r="B252" s="16"/>
      <c r="C252" s="23"/>
      <c r="D252" s="28">
        <f>SUM(C249:C251)</f>
        <v>17018965</v>
      </c>
      <c r="E252" s="16"/>
    </row>
    <row r="253" spans="1:5" x14ac:dyDescent="0.25">
      <c r="A253" s="41" t="s">
        <v>405</v>
      </c>
      <c r="B253" s="41"/>
      <c r="C253" s="41"/>
      <c r="D253" s="41"/>
      <c r="E253" s="41"/>
    </row>
    <row r="254" spans="1:5" x14ac:dyDescent="0.25">
      <c r="A254" s="16" t="s">
        <v>406</v>
      </c>
      <c r="B254" s="42" t="s">
        <v>298</v>
      </c>
      <c r="C254" s="337">
        <v>2414469</v>
      </c>
      <c r="D254" s="16"/>
      <c r="E254" s="16"/>
    </row>
    <row r="255" spans="1:5" x14ac:dyDescent="0.25">
      <c r="A255" s="16" t="s">
        <v>405</v>
      </c>
      <c r="B255" s="42" t="s">
        <v>298</v>
      </c>
      <c r="C255" s="337"/>
      <c r="D255" s="16"/>
      <c r="E255" s="16"/>
    </row>
    <row r="256" spans="1:5" x14ac:dyDescent="0.25">
      <c r="A256" s="16" t="s">
        <v>407</v>
      </c>
      <c r="B256" s="16"/>
      <c r="C256" s="23"/>
      <c r="D256" s="28">
        <f>SUM(C254:C255)</f>
        <v>2414469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408</v>
      </c>
      <c r="B258" s="16"/>
      <c r="C258" s="23"/>
      <c r="D258" s="28">
        <f>D237+D245+D252+D256</f>
        <v>489498436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409</v>
      </c>
      <c r="B264" s="34"/>
      <c r="C264" s="34"/>
      <c r="D264" s="34"/>
      <c r="E264" s="34"/>
    </row>
    <row r="265" spans="1:5" x14ac:dyDescent="0.25">
      <c r="A265" s="41" t="s">
        <v>410</v>
      </c>
      <c r="B265" s="41"/>
      <c r="C265" s="41"/>
      <c r="D265" s="41"/>
      <c r="E265" s="41"/>
    </row>
    <row r="266" spans="1:5" x14ac:dyDescent="0.25">
      <c r="A266" s="16" t="s">
        <v>411</v>
      </c>
      <c r="B266" s="42" t="s">
        <v>298</v>
      </c>
      <c r="C266" s="337">
        <v>-1996778</v>
      </c>
      <c r="D266" s="16"/>
      <c r="E266" s="16"/>
    </row>
    <row r="267" spans="1:5" x14ac:dyDescent="0.25">
      <c r="A267" s="16" t="s">
        <v>412</v>
      </c>
      <c r="B267" s="42" t="s">
        <v>298</v>
      </c>
      <c r="C267" s="337"/>
      <c r="D267" s="16"/>
      <c r="E267" s="16"/>
    </row>
    <row r="268" spans="1:5" x14ac:dyDescent="0.25">
      <c r="A268" s="16" t="s">
        <v>413</v>
      </c>
      <c r="B268" s="42" t="s">
        <v>298</v>
      </c>
      <c r="C268" s="337">
        <v>123269504</v>
      </c>
      <c r="D268" s="16"/>
      <c r="E268" s="16"/>
    </row>
    <row r="269" spans="1:5" x14ac:dyDescent="0.25">
      <c r="A269" s="16" t="s">
        <v>414</v>
      </c>
      <c r="B269" s="42" t="s">
        <v>298</v>
      </c>
      <c r="C269" s="337">
        <v>99304293</v>
      </c>
      <c r="D269" s="16"/>
      <c r="E269" s="16"/>
    </row>
    <row r="270" spans="1:5" x14ac:dyDescent="0.25">
      <c r="A270" s="16" t="s">
        <v>415</v>
      </c>
      <c r="B270" s="42" t="s">
        <v>298</v>
      </c>
      <c r="C270" s="337">
        <v>616553</v>
      </c>
      <c r="D270" s="16"/>
      <c r="E270" s="16"/>
    </row>
    <row r="271" spans="1:5" x14ac:dyDescent="0.25">
      <c r="A271" s="16" t="s">
        <v>416</v>
      </c>
      <c r="B271" s="42" t="s">
        <v>298</v>
      </c>
      <c r="C271" s="337">
        <v>2974339</v>
      </c>
      <c r="D271" s="16"/>
      <c r="E271" s="16"/>
    </row>
    <row r="272" spans="1:5" x14ac:dyDescent="0.25">
      <c r="A272" s="16" t="s">
        <v>417</v>
      </c>
      <c r="B272" s="42" t="s">
        <v>298</v>
      </c>
      <c r="C272" s="337"/>
      <c r="D272" s="16"/>
      <c r="E272" s="16"/>
    </row>
    <row r="273" spans="1:5" x14ac:dyDescent="0.25">
      <c r="A273" s="16" t="s">
        <v>418</v>
      </c>
      <c r="B273" s="42" t="s">
        <v>298</v>
      </c>
      <c r="C273" s="337">
        <v>3980616</v>
      </c>
      <c r="D273" s="16"/>
      <c r="E273" s="16"/>
    </row>
    <row r="274" spans="1:5" x14ac:dyDescent="0.25">
      <c r="A274" s="16" t="s">
        <v>419</v>
      </c>
      <c r="B274" s="42" t="s">
        <v>298</v>
      </c>
      <c r="C274" s="337">
        <v>5337060</v>
      </c>
      <c r="D274" s="16"/>
      <c r="E274" s="16"/>
    </row>
    <row r="275" spans="1:5" x14ac:dyDescent="0.25">
      <c r="A275" s="16" t="s">
        <v>420</v>
      </c>
      <c r="B275" s="42" t="s">
        <v>298</v>
      </c>
      <c r="C275" s="337"/>
      <c r="D275" s="16"/>
      <c r="E275" s="16"/>
    </row>
    <row r="276" spans="1:5" x14ac:dyDescent="0.25">
      <c r="A276" s="16" t="s">
        <v>421</v>
      </c>
      <c r="B276" s="16"/>
      <c r="C276" s="23"/>
      <c r="D276" s="28">
        <f>SUM(C266:C268)-C269+SUM(C270:C275)</f>
        <v>34877001</v>
      </c>
      <c r="E276" s="16"/>
    </row>
    <row r="277" spans="1:5" x14ac:dyDescent="0.25">
      <c r="A277" s="41" t="s">
        <v>422</v>
      </c>
      <c r="B277" s="41"/>
      <c r="C277" s="41"/>
      <c r="D277" s="41"/>
      <c r="E277" s="41"/>
    </row>
    <row r="278" spans="1:5" x14ac:dyDescent="0.25">
      <c r="A278" s="16" t="s">
        <v>411</v>
      </c>
      <c r="B278" s="42" t="s">
        <v>298</v>
      </c>
      <c r="C278" s="337">
        <v>0</v>
      </c>
      <c r="D278" s="16"/>
      <c r="E278" s="16"/>
    </row>
    <row r="279" spans="1:5" x14ac:dyDescent="0.25">
      <c r="A279" s="16" t="s">
        <v>412</v>
      </c>
      <c r="B279" s="42" t="s">
        <v>298</v>
      </c>
      <c r="C279" s="337">
        <v>0</v>
      </c>
      <c r="D279" s="16"/>
      <c r="E279" s="16"/>
    </row>
    <row r="280" spans="1:5" x14ac:dyDescent="0.25">
      <c r="A280" s="16" t="s">
        <v>423</v>
      </c>
      <c r="B280" s="42" t="s">
        <v>298</v>
      </c>
      <c r="C280" s="337">
        <v>0</v>
      </c>
      <c r="D280" s="16"/>
      <c r="E280" s="16"/>
    </row>
    <row r="281" spans="1:5" x14ac:dyDescent="0.25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425</v>
      </c>
      <c r="B282" s="41"/>
      <c r="C282" s="41"/>
      <c r="D282" s="41"/>
      <c r="E282" s="41"/>
    </row>
    <row r="283" spans="1:5" x14ac:dyDescent="0.25">
      <c r="A283" s="16" t="s">
        <v>380</v>
      </c>
      <c r="B283" s="42" t="s">
        <v>298</v>
      </c>
      <c r="C283" s="337">
        <v>11461163</v>
      </c>
      <c r="D283" s="16"/>
      <c r="E283" s="16"/>
    </row>
    <row r="284" spans="1:5" x14ac:dyDescent="0.25">
      <c r="A284" s="16" t="s">
        <v>381</v>
      </c>
      <c r="B284" s="42" t="s">
        <v>298</v>
      </c>
      <c r="C284" s="337">
        <v>416308</v>
      </c>
      <c r="D284" s="16"/>
      <c r="E284" s="16"/>
    </row>
    <row r="285" spans="1:5" x14ac:dyDescent="0.25">
      <c r="A285" s="16" t="s">
        <v>382</v>
      </c>
      <c r="B285" s="42" t="s">
        <v>298</v>
      </c>
      <c r="C285" s="337">
        <v>16406399</v>
      </c>
      <c r="D285" s="16"/>
      <c r="E285" s="16"/>
    </row>
    <row r="286" spans="1:5" x14ac:dyDescent="0.25">
      <c r="A286" s="16" t="s">
        <v>426</v>
      </c>
      <c r="B286" s="42" t="s">
        <v>298</v>
      </c>
      <c r="C286" s="337">
        <v>0</v>
      </c>
      <c r="D286" s="16"/>
      <c r="E286" s="16"/>
    </row>
    <row r="287" spans="1:5" x14ac:dyDescent="0.25">
      <c r="A287" s="16" t="s">
        <v>427</v>
      </c>
      <c r="B287" s="42" t="s">
        <v>298</v>
      </c>
      <c r="C287" s="337">
        <v>0</v>
      </c>
      <c r="D287" s="16"/>
      <c r="E287" s="16"/>
    </row>
    <row r="288" spans="1:5" x14ac:dyDescent="0.25">
      <c r="A288" s="16" t="s">
        <v>428</v>
      </c>
      <c r="B288" s="42" t="s">
        <v>298</v>
      </c>
      <c r="C288" s="337">
        <v>24212757</v>
      </c>
      <c r="D288" s="16"/>
      <c r="E288" s="16"/>
    </row>
    <row r="289" spans="1:5" x14ac:dyDescent="0.25">
      <c r="A289" s="16" t="s">
        <v>387</v>
      </c>
      <c r="B289" s="42" t="s">
        <v>298</v>
      </c>
      <c r="C289" s="337">
        <v>29183444</v>
      </c>
      <c r="D289" s="16"/>
      <c r="E289" s="16"/>
    </row>
    <row r="290" spans="1:5" x14ac:dyDescent="0.25">
      <c r="A290" s="16" t="s">
        <v>388</v>
      </c>
      <c r="B290" s="42" t="s">
        <v>298</v>
      </c>
      <c r="C290" s="337">
        <v>256403</v>
      </c>
      <c r="D290" s="16"/>
      <c r="E290" s="16"/>
    </row>
    <row r="291" spans="1:5" x14ac:dyDescent="0.25">
      <c r="A291" s="16" t="s">
        <v>429</v>
      </c>
      <c r="B291" s="16"/>
      <c r="C291" s="23"/>
      <c r="D291" s="28">
        <f>SUM(C283:C290)</f>
        <v>81936474</v>
      </c>
      <c r="E291" s="16"/>
    </row>
    <row r="292" spans="1:5" x14ac:dyDescent="0.25">
      <c r="A292" s="16" t="s">
        <v>430</v>
      </c>
      <c r="B292" s="42" t="s">
        <v>298</v>
      </c>
      <c r="C292" s="337">
        <v>16897588</v>
      </c>
      <c r="D292" s="16"/>
      <c r="E292" s="16"/>
    </row>
    <row r="293" spans="1:5" x14ac:dyDescent="0.25">
      <c r="A293" s="16" t="s">
        <v>431</v>
      </c>
      <c r="B293" s="16"/>
      <c r="C293" s="23"/>
      <c r="D293" s="28">
        <f>D291-C292</f>
        <v>65038886</v>
      </c>
      <c r="E293" s="16"/>
    </row>
    <row r="294" spans="1:5" x14ac:dyDescent="0.25">
      <c r="A294" s="41" t="s">
        <v>432</v>
      </c>
      <c r="B294" s="41"/>
      <c r="C294" s="41"/>
      <c r="D294" s="41"/>
      <c r="E294" s="41"/>
    </row>
    <row r="295" spans="1:5" x14ac:dyDescent="0.25">
      <c r="A295" s="16" t="s">
        <v>433</v>
      </c>
      <c r="B295" s="42" t="s">
        <v>298</v>
      </c>
      <c r="C295" s="337"/>
      <c r="D295" s="16"/>
      <c r="E295" s="16"/>
    </row>
    <row r="296" spans="1:5" x14ac:dyDescent="0.25">
      <c r="A296" s="16" t="s">
        <v>434</v>
      </c>
      <c r="B296" s="42" t="s">
        <v>298</v>
      </c>
      <c r="C296" s="337"/>
      <c r="D296" s="16"/>
      <c r="E296" s="16"/>
    </row>
    <row r="297" spans="1:5" x14ac:dyDescent="0.25">
      <c r="A297" s="16" t="s">
        <v>435</v>
      </c>
      <c r="B297" s="42" t="s">
        <v>298</v>
      </c>
      <c r="C297" s="337">
        <v>270824</v>
      </c>
      <c r="D297" s="16"/>
      <c r="E297" s="16"/>
    </row>
    <row r="298" spans="1:5" x14ac:dyDescent="0.25">
      <c r="A298" s="16" t="s">
        <v>423</v>
      </c>
      <c r="B298" s="42" t="s">
        <v>298</v>
      </c>
      <c r="C298" s="337">
        <v>1824919</v>
      </c>
      <c r="D298" s="16"/>
      <c r="E298" s="16"/>
    </row>
    <row r="299" spans="1:5" x14ac:dyDescent="0.25">
      <c r="A299" s="16" t="s">
        <v>436</v>
      </c>
      <c r="B299" s="16"/>
      <c r="C299" s="23"/>
      <c r="D299" s="28">
        <f>C295-C296+C297+C298</f>
        <v>2095743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437</v>
      </c>
      <c r="B301" s="41"/>
      <c r="C301" s="41"/>
      <c r="D301" s="41"/>
      <c r="E301" s="41"/>
    </row>
    <row r="302" spans="1:5" x14ac:dyDescent="0.25">
      <c r="A302" s="16" t="s">
        <v>438</v>
      </c>
      <c r="B302" s="42" t="s">
        <v>298</v>
      </c>
      <c r="C302" s="337">
        <v>22280144</v>
      </c>
      <c r="D302" s="16"/>
      <c r="E302" s="16"/>
    </row>
    <row r="303" spans="1:5" x14ac:dyDescent="0.25">
      <c r="A303" s="16" t="s">
        <v>439</v>
      </c>
      <c r="B303" s="42" t="s">
        <v>298</v>
      </c>
      <c r="C303" s="337"/>
      <c r="D303" s="16"/>
      <c r="E303" s="16"/>
    </row>
    <row r="304" spans="1:5" x14ac:dyDescent="0.25">
      <c r="A304" s="16" t="s">
        <v>440</v>
      </c>
      <c r="B304" s="42" t="s">
        <v>298</v>
      </c>
      <c r="C304" s="337"/>
      <c r="D304" s="16"/>
      <c r="E304" s="16"/>
    </row>
    <row r="305" spans="1:6" x14ac:dyDescent="0.25">
      <c r="A305" s="16" t="s">
        <v>441</v>
      </c>
      <c r="B305" s="42" t="s">
        <v>298</v>
      </c>
      <c r="C305" s="337"/>
      <c r="D305" s="16"/>
      <c r="E305" s="16"/>
    </row>
    <row r="306" spans="1:6" x14ac:dyDescent="0.25">
      <c r="A306" s="16" t="s">
        <v>442</v>
      </c>
      <c r="B306" s="16"/>
      <c r="C306" s="23"/>
      <c r="D306" s="28">
        <f>SUM(C302:C305)</f>
        <v>22280144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443</v>
      </c>
      <c r="B308" s="16"/>
      <c r="C308" s="23"/>
      <c r="D308" s="28">
        <f>D276+D281+D293+D299+D306</f>
        <v>124291774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124291774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444</v>
      </c>
      <c r="B312" s="34"/>
      <c r="C312" s="34"/>
      <c r="D312" s="34"/>
      <c r="E312" s="34"/>
    </row>
    <row r="313" spans="1:6" x14ac:dyDescent="0.25">
      <c r="A313" s="41" t="s">
        <v>445</v>
      </c>
      <c r="B313" s="41"/>
      <c r="C313" s="41"/>
      <c r="D313" s="41"/>
      <c r="E313" s="41"/>
    </row>
    <row r="314" spans="1:6" x14ac:dyDescent="0.25">
      <c r="A314" s="16" t="s">
        <v>446</v>
      </c>
      <c r="B314" s="42" t="s">
        <v>298</v>
      </c>
      <c r="C314" s="337"/>
      <c r="D314" s="16"/>
      <c r="E314" s="16"/>
    </row>
    <row r="315" spans="1:6" x14ac:dyDescent="0.25">
      <c r="A315" s="16" t="s">
        <v>447</v>
      </c>
      <c r="B315" s="42" t="s">
        <v>298</v>
      </c>
      <c r="C315" s="337">
        <v>8680344.8000000007</v>
      </c>
      <c r="D315" s="16"/>
      <c r="E315" s="16"/>
    </row>
    <row r="316" spans="1:6" x14ac:dyDescent="0.25">
      <c r="A316" s="16" t="s">
        <v>448</v>
      </c>
      <c r="B316" s="42" t="s">
        <v>298</v>
      </c>
      <c r="C316" s="337">
        <v>7535687</v>
      </c>
      <c r="D316" s="16"/>
      <c r="E316" s="16"/>
    </row>
    <row r="317" spans="1:6" x14ac:dyDescent="0.25">
      <c r="A317" s="16" t="s">
        <v>449</v>
      </c>
      <c r="B317" s="42" t="s">
        <v>298</v>
      </c>
      <c r="C317" s="337"/>
      <c r="D317" s="16"/>
      <c r="E317" s="16"/>
    </row>
    <row r="318" spans="1:6" x14ac:dyDescent="0.25">
      <c r="A318" s="16" t="s">
        <v>450</v>
      </c>
      <c r="B318" s="42" t="s">
        <v>298</v>
      </c>
      <c r="C318" s="337"/>
      <c r="D318" s="16"/>
      <c r="E318" s="16"/>
    </row>
    <row r="319" spans="1:6" x14ac:dyDescent="0.25">
      <c r="A319" s="16" t="s">
        <v>451</v>
      </c>
      <c r="B319" s="42" t="s">
        <v>298</v>
      </c>
      <c r="C319" s="337"/>
      <c r="D319" s="16"/>
      <c r="E319" s="16"/>
    </row>
    <row r="320" spans="1:6" x14ac:dyDescent="0.25">
      <c r="A320" s="16" t="s">
        <v>452</v>
      </c>
      <c r="B320" s="42" t="s">
        <v>298</v>
      </c>
      <c r="C320" s="337"/>
      <c r="D320" s="16"/>
      <c r="E320" s="16"/>
    </row>
    <row r="321" spans="1:5" x14ac:dyDescent="0.25">
      <c r="A321" s="16" t="s">
        <v>453</v>
      </c>
      <c r="B321" s="42" t="s">
        <v>298</v>
      </c>
      <c r="C321" s="337"/>
      <c r="D321" s="16"/>
      <c r="E321" s="16"/>
    </row>
    <row r="322" spans="1:5" x14ac:dyDescent="0.25">
      <c r="A322" s="16" t="s">
        <v>454</v>
      </c>
      <c r="B322" s="42" t="s">
        <v>298</v>
      </c>
      <c r="C322" s="337">
        <v>86109</v>
      </c>
      <c r="D322" s="16"/>
      <c r="E322" s="16"/>
    </row>
    <row r="323" spans="1:5" x14ac:dyDescent="0.25">
      <c r="A323" s="16" t="s">
        <v>455</v>
      </c>
      <c r="B323" s="42" t="s">
        <v>298</v>
      </c>
      <c r="C323" s="337">
        <v>1708502</v>
      </c>
      <c r="D323" s="16"/>
      <c r="E323" s="16"/>
    </row>
    <row r="324" spans="1:5" x14ac:dyDescent="0.25">
      <c r="A324" s="16" t="s">
        <v>456</v>
      </c>
      <c r="B324" s="16"/>
      <c r="C324" s="23"/>
      <c r="D324" s="28">
        <f>SUM(C314:C323)</f>
        <v>18010642.800000001</v>
      </c>
      <c r="E324" s="16"/>
    </row>
    <row r="325" spans="1:5" x14ac:dyDescent="0.25">
      <c r="A325" s="41" t="s">
        <v>457</v>
      </c>
      <c r="B325" s="41"/>
      <c r="C325" s="41"/>
      <c r="D325" s="41"/>
      <c r="E325" s="41"/>
    </row>
    <row r="326" spans="1:5" x14ac:dyDescent="0.25">
      <c r="A326" s="16" t="s">
        <v>458</v>
      </c>
      <c r="B326" s="42" t="s">
        <v>298</v>
      </c>
      <c r="C326" s="337"/>
      <c r="D326" s="16"/>
      <c r="E326" s="16"/>
    </row>
    <row r="327" spans="1:5" x14ac:dyDescent="0.25">
      <c r="A327" s="16" t="s">
        <v>459</v>
      </c>
      <c r="B327" s="42" t="s">
        <v>298</v>
      </c>
      <c r="C327" s="337"/>
      <c r="D327" s="16"/>
      <c r="E327" s="16"/>
    </row>
    <row r="328" spans="1:5" x14ac:dyDescent="0.25">
      <c r="A328" s="16" t="s">
        <v>460</v>
      </c>
      <c r="B328" s="42" t="s">
        <v>298</v>
      </c>
      <c r="C328" s="337">
        <v>312970</v>
      </c>
      <c r="D328" s="16"/>
      <c r="E328" s="16"/>
    </row>
    <row r="329" spans="1:5" x14ac:dyDescent="0.25">
      <c r="A329" s="16" t="s">
        <v>461</v>
      </c>
      <c r="B329" s="16"/>
      <c r="C329" s="23"/>
      <c r="D329" s="28">
        <f>SUM(C326:C328)</f>
        <v>312970</v>
      </c>
      <c r="E329" s="16"/>
    </row>
    <row r="330" spans="1:5" x14ac:dyDescent="0.25">
      <c r="A330" s="41" t="s">
        <v>462</v>
      </c>
      <c r="B330" s="41"/>
      <c r="C330" s="41"/>
      <c r="D330" s="41"/>
      <c r="E330" s="41"/>
    </row>
    <row r="331" spans="1:5" x14ac:dyDescent="0.25">
      <c r="A331" s="16" t="s">
        <v>463</v>
      </c>
      <c r="B331" s="42" t="s">
        <v>298</v>
      </c>
      <c r="C331" s="337"/>
      <c r="D331" s="16"/>
      <c r="E331" s="16"/>
    </row>
    <row r="332" spans="1:5" x14ac:dyDescent="0.25">
      <c r="A332" s="16" t="s">
        <v>464</v>
      </c>
      <c r="B332" s="42" t="s">
        <v>298</v>
      </c>
      <c r="C332" s="337"/>
      <c r="D332" s="16"/>
      <c r="E332" s="16"/>
    </row>
    <row r="333" spans="1:5" x14ac:dyDescent="0.25">
      <c r="A333" s="16" t="s">
        <v>465</v>
      </c>
      <c r="B333" s="42" t="s">
        <v>298</v>
      </c>
      <c r="C333" s="337"/>
      <c r="D333" s="16"/>
      <c r="E333" s="16"/>
    </row>
    <row r="334" spans="1:5" x14ac:dyDescent="0.25">
      <c r="A334" s="22" t="s">
        <v>466</v>
      </c>
      <c r="B334" s="42" t="s">
        <v>298</v>
      </c>
      <c r="C334" s="337">
        <v>35814107</v>
      </c>
      <c r="D334" s="16"/>
      <c r="E334" s="16"/>
    </row>
    <row r="335" spans="1:5" x14ac:dyDescent="0.25">
      <c r="A335" s="16" t="s">
        <v>467</v>
      </c>
      <c r="B335" s="42" t="s">
        <v>298</v>
      </c>
      <c r="C335" s="337" t="s">
        <v>1348</v>
      </c>
      <c r="D335" s="16"/>
      <c r="E335" s="16"/>
    </row>
    <row r="336" spans="1:5" x14ac:dyDescent="0.25">
      <c r="A336" s="22" t="s">
        <v>468</v>
      </c>
      <c r="B336" s="42" t="s">
        <v>298</v>
      </c>
      <c r="C336" s="337">
        <v>85466329</v>
      </c>
      <c r="D336" s="16"/>
      <c r="E336" s="16"/>
    </row>
    <row r="337" spans="1:5" x14ac:dyDescent="0.25">
      <c r="A337" s="22" t="s">
        <v>469</v>
      </c>
      <c r="B337" s="42" t="s">
        <v>298</v>
      </c>
      <c r="C337" s="343"/>
      <c r="D337" s="16"/>
      <c r="E337" s="16"/>
    </row>
    <row r="338" spans="1:5" x14ac:dyDescent="0.25">
      <c r="A338" s="16" t="s">
        <v>470</v>
      </c>
      <c r="B338" s="42" t="s">
        <v>298</v>
      </c>
      <c r="C338" s="337">
        <v>1766305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123046741</v>
      </c>
      <c r="E339" s="16"/>
    </row>
    <row r="340" spans="1:5" x14ac:dyDescent="0.25">
      <c r="A340" s="16" t="s">
        <v>471</v>
      </c>
      <c r="B340" s="16"/>
      <c r="C340" s="23"/>
      <c r="D340" s="28">
        <f>C323</f>
        <v>1708502</v>
      </c>
      <c r="E340" s="16"/>
    </row>
    <row r="341" spans="1:5" x14ac:dyDescent="0.25">
      <c r="A341" s="16" t="s">
        <v>472</v>
      </c>
      <c r="B341" s="16"/>
      <c r="C341" s="23"/>
      <c r="D341" s="28">
        <f>D339-D340</f>
        <v>121338239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473</v>
      </c>
      <c r="B343" s="42" t="s">
        <v>298</v>
      </c>
      <c r="C343" s="342">
        <v>6147091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474</v>
      </c>
      <c r="B345" s="42" t="s">
        <v>298</v>
      </c>
      <c r="C345" s="338">
        <v>0</v>
      </c>
      <c r="D345" s="16"/>
      <c r="E345" s="16"/>
    </row>
    <row r="346" spans="1:5" x14ac:dyDescent="0.25">
      <c r="A346" s="16" t="s">
        <v>475</v>
      </c>
      <c r="B346" s="42" t="s">
        <v>298</v>
      </c>
      <c r="C346" s="338">
        <v>0</v>
      </c>
      <c r="D346" s="16"/>
      <c r="E346" s="16"/>
    </row>
    <row r="347" spans="1:5" x14ac:dyDescent="0.25">
      <c r="A347" s="16" t="s">
        <v>476</v>
      </c>
      <c r="B347" s="42" t="s">
        <v>298</v>
      </c>
      <c r="C347" s="338">
        <v>0</v>
      </c>
      <c r="D347" s="16"/>
      <c r="E347" s="16"/>
    </row>
    <row r="348" spans="1:5" x14ac:dyDescent="0.25">
      <c r="A348" s="16" t="s">
        <v>477</v>
      </c>
      <c r="B348" s="42" t="s">
        <v>298</v>
      </c>
      <c r="C348" s="338">
        <v>-21517169</v>
      </c>
      <c r="D348" s="16"/>
      <c r="E348" s="16"/>
    </row>
    <row r="349" spans="1:5" x14ac:dyDescent="0.25">
      <c r="A349" s="16" t="s">
        <v>478</v>
      </c>
      <c r="B349" s="42" t="s">
        <v>298</v>
      </c>
      <c r="C349" s="338">
        <v>0</v>
      </c>
      <c r="D349" s="16"/>
      <c r="E349" s="16"/>
    </row>
    <row r="350" spans="1:5" x14ac:dyDescent="0.25">
      <c r="A350" s="16" t="s">
        <v>479</v>
      </c>
      <c r="B350" s="16"/>
      <c r="C350" s="23"/>
      <c r="D350" s="28">
        <f>D324+D329+D341+C343+C347+C348</f>
        <v>124291773.80000001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480</v>
      </c>
      <c r="B352" s="16"/>
      <c r="C352" s="23"/>
      <c r="D352" s="28">
        <f>D308</f>
        <v>124291774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481</v>
      </c>
      <c r="B356" s="34"/>
      <c r="C356" s="34"/>
      <c r="D356" s="34"/>
      <c r="E356" s="34"/>
    </row>
    <row r="357" spans="1:5" x14ac:dyDescent="0.25">
      <c r="A357" s="41" t="s">
        <v>482</v>
      </c>
      <c r="B357" s="41"/>
      <c r="C357" s="41"/>
      <c r="D357" s="41"/>
      <c r="E357" s="41"/>
    </row>
    <row r="358" spans="1:5" x14ac:dyDescent="0.25">
      <c r="A358" s="16" t="s">
        <v>483</v>
      </c>
      <c r="B358" s="42" t="s">
        <v>298</v>
      </c>
      <c r="C358" s="337">
        <v>242269045</v>
      </c>
      <c r="D358" s="16"/>
      <c r="E358" s="16"/>
    </row>
    <row r="359" spans="1:5" x14ac:dyDescent="0.25">
      <c r="A359" s="16" t="s">
        <v>484</v>
      </c>
      <c r="B359" s="42" t="s">
        <v>298</v>
      </c>
      <c r="C359" s="337">
        <v>397131804</v>
      </c>
      <c r="D359" s="16"/>
      <c r="E359" s="16"/>
    </row>
    <row r="360" spans="1:5" x14ac:dyDescent="0.25">
      <c r="A360" s="16" t="s">
        <v>485</v>
      </c>
      <c r="B360" s="16"/>
      <c r="C360" s="23"/>
      <c r="D360" s="28">
        <f>SUM(C358:C359)</f>
        <v>639400849</v>
      </c>
      <c r="E360" s="16"/>
    </row>
    <row r="361" spans="1:5" x14ac:dyDescent="0.25">
      <c r="A361" s="41" t="s">
        <v>486</v>
      </c>
      <c r="B361" s="41"/>
      <c r="C361" s="41"/>
      <c r="D361" s="41"/>
      <c r="E361" s="41"/>
    </row>
    <row r="362" spans="1:5" x14ac:dyDescent="0.25">
      <c r="A362" s="16" t="s">
        <v>391</v>
      </c>
      <c r="B362" s="41"/>
      <c r="C362" s="337">
        <v>1089367</v>
      </c>
      <c r="D362" s="16"/>
      <c r="E362" s="41"/>
    </row>
    <row r="363" spans="1:5" x14ac:dyDescent="0.25">
      <c r="A363" s="16" t="s">
        <v>487</v>
      </c>
      <c r="B363" s="42" t="s">
        <v>298</v>
      </c>
      <c r="C363" s="337">
        <v>468975641</v>
      </c>
      <c r="D363" s="16"/>
      <c r="E363" s="16"/>
    </row>
    <row r="364" spans="1:5" x14ac:dyDescent="0.25">
      <c r="A364" s="16" t="s">
        <v>488</v>
      </c>
      <c r="B364" s="42" t="s">
        <v>298</v>
      </c>
      <c r="C364" s="337">
        <v>17018968</v>
      </c>
      <c r="D364" s="16"/>
      <c r="E364" s="16"/>
    </row>
    <row r="365" spans="1:5" x14ac:dyDescent="0.25">
      <c r="A365" s="16" t="s">
        <v>489</v>
      </c>
      <c r="B365" s="42" t="s">
        <v>298</v>
      </c>
      <c r="C365" s="337">
        <v>2414469</v>
      </c>
      <c r="D365" s="16"/>
      <c r="E365" s="16"/>
    </row>
    <row r="366" spans="1:5" x14ac:dyDescent="0.25">
      <c r="A366" s="16" t="s">
        <v>408</v>
      </c>
      <c r="B366" s="16"/>
      <c r="C366" s="23"/>
      <c r="D366" s="28">
        <f>SUM(C362:C365)</f>
        <v>489498445</v>
      </c>
      <c r="E366" s="16"/>
    </row>
    <row r="367" spans="1:5" x14ac:dyDescent="0.25">
      <c r="A367" s="16" t="s">
        <v>490</v>
      </c>
      <c r="B367" s="16"/>
      <c r="C367" s="23"/>
      <c r="D367" s="28">
        <f>D360-D366</f>
        <v>149902404</v>
      </c>
      <c r="E367" s="16"/>
    </row>
    <row r="368" spans="1:5" x14ac:dyDescent="0.25">
      <c r="A368" s="54" t="s">
        <v>491</v>
      </c>
      <c r="B368" s="41"/>
      <c r="C368" s="41"/>
      <c r="D368" s="41"/>
      <c r="E368" s="41"/>
    </row>
    <row r="369" spans="1:6" x14ac:dyDescent="0.25">
      <c r="A369" s="28" t="s">
        <v>492</v>
      </c>
      <c r="B369" s="16"/>
      <c r="C369" s="16"/>
      <c r="D369" s="16"/>
      <c r="E369" s="16"/>
    </row>
    <row r="370" spans="1:6" x14ac:dyDescent="0.25">
      <c r="A370" s="55" t="s">
        <v>493</v>
      </c>
      <c r="B370" s="36" t="s">
        <v>298</v>
      </c>
      <c r="C370" s="337">
        <f>22032+422485</f>
        <v>444517</v>
      </c>
      <c r="D370" s="28">
        <v>0</v>
      </c>
      <c r="E370" s="28"/>
    </row>
    <row r="371" spans="1:6" x14ac:dyDescent="0.25">
      <c r="A371" s="55" t="s">
        <v>494</v>
      </c>
      <c r="B371" s="36" t="s">
        <v>298</v>
      </c>
      <c r="C371" s="337">
        <v>26015</v>
      </c>
      <c r="D371" s="28">
        <v>0</v>
      </c>
      <c r="E371" s="28"/>
    </row>
    <row r="372" spans="1:6" x14ac:dyDescent="0.25">
      <c r="A372" s="55" t="s">
        <v>495</v>
      </c>
      <c r="B372" s="36" t="s">
        <v>298</v>
      </c>
      <c r="C372" s="337"/>
      <c r="D372" s="28">
        <v>0</v>
      </c>
      <c r="E372" s="28"/>
    </row>
    <row r="373" spans="1:6" x14ac:dyDescent="0.25">
      <c r="A373" s="55" t="s">
        <v>496</v>
      </c>
      <c r="B373" s="36" t="s">
        <v>298</v>
      </c>
      <c r="C373" s="337"/>
      <c r="D373" s="28">
        <v>0</v>
      </c>
      <c r="E373" s="28"/>
    </row>
    <row r="374" spans="1:6" x14ac:dyDescent="0.25">
      <c r="A374" s="55" t="s">
        <v>497</v>
      </c>
      <c r="B374" s="36" t="s">
        <v>298</v>
      </c>
      <c r="C374" s="337"/>
      <c r="D374" s="28">
        <v>0</v>
      </c>
      <c r="E374" s="28"/>
    </row>
    <row r="375" spans="1:6" x14ac:dyDescent="0.25">
      <c r="A375" s="55" t="s">
        <v>498</v>
      </c>
      <c r="B375" s="36" t="s">
        <v>298</v>
      </c>
      <c r="C375" s="337"/>
      <c r="D375" s="28">
        <v>0</v>
      </c>
      <c r="E375" s="28"/>
    </row>
    <row r="376" spans="1:6" x14ac:dyDescent="0.25">
      <c r="A376" s="55" t="s">
        <v>499</v>
      </c>
      <c r="B376" s="36" t="s">
        <v>298</v>
      </c>
      <c r="C376" s="337"/>
      <c r="D376" s="28">
        <v>0</v>
      </c>
      <c r="E376" s="28"/>
    </row>
    <row r="377" spans="1:6" x14ac:dyDescent="0.25">
      <c r="A377" s="55" t="s">
        <v>500</v>
      </c>
      <c r="B377" s="36" t="s">
        <v>298</v>
      </c>
      <c r="C377" s="337"/>
      <c r="D377" s="28">
        <v>0</v>
      </c>
      <c r="E377" s="28"/>
    </row>
    <row r="378" spans="1:6" x14ac:dyDescent="0.25">
      <c r="A378" s="55" t="s">
        <v>501</v>
      </c>
      <c r="B378" s="36" t="s">
        <v>298</v>
      </c>
      <c r="C378" s="337">
        <f>92586+319761+4000</f>
        <v>416347</v>
      </c>
      <c r="D378" s="28">
        <v>0</v>
      </c>
      <c r="E378" s="28"/>
    </row>
    <row r="379" spans="1:6" x14ac:dyDescent="0.25">
      <c r="A379" s="55" t="s">
        <v>502</v>
      </c>
      <c r="B379" s="36" t="s">
        <v>298</v>
      </c>
      <c r="C379" s="337">
        <v>382764</v>
      </c>
      <c r="D379" s="28">
        <v>0</v>
      </c>
      <c r="E379" s="28"/>
    </row>
    <row r="380" spans="1:6" x14ac:dyDescent="0.25">
      <c r="A380" s="55" t="s">
        <v>503</v>
      </c>
      <c r="B380" s="36" t="s">
        <v>298</v>
      </c>
      <c r="C380" s="339">
        <f>720+68815+1094610+66203.3+6967.45+1</f>
        <v>1237316.75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504</v>
      </c>
      <c r="B381" s="42"/>
      <c r="C381" s="42"/>
      <c r="D381" s="28">
        <f>SUM(C370:C380)</f>
        <v>2506959.75</v>
      </c>
      <c r="E381" s="28"/>
      <c r="F381" s="56"/>
    </row>
    <row r="382" spans="1:6" x14ac:dyDescent="0.25">
      <c r="A382" s="52" t="s">
        <v>505</v>
      </c>
      <c r="B382" s="42" t="s">
        <v>298</v>
      </c>
      <c r="C382" s="337">
        <v>0</v>
      </c>
      <c r="D382" s="28">
        <v>0</v>
      </c>
      <c r="E382" s="16"/>
    </row>
    <row r="383" spans="1:6" x14ac:dyDescent="0.25">
      <c r="A383" s="16" t="s">
        <v>506</v>
      </c>
      <c r="B383" s="16"/>
      <c r="C383" s="23"/>
      <c r="D383" s="28">
        <f>D381+C382</f>
        <v>2506959.75</v>
      </c>
      <c r="E383" s="16"/>
    </row>
    <row r="384" spans="1:6" x14ac:dyDescent="0.25">
      <c r="A384" s="16" t="s">
        <v>507</v>
      </c>
      <c r="B384" s="16"/>
      <c r="C384" s="23"/>
      <c r="D384" s="28">
        <f>D367+D383</f>
        <v>152409363.75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508</v>
      </c>
      <c r="B388" s="41"/>
      <c r="C388" s="41"/>
      <c r="D388" s="41"/>
      <c r="E388" s="41"/>
    </row>
    <row r="389" spans="1:5" x14ac:dyDescent="0.25">
      <c r="A389" s="16" t="s">
        <v>509</v>
      </c>
      <c r="B389" s="42" t="s">
        <v>298</v>
      </c>
      <c r="C389" s="337">
        <v>76189576</v>
      </c>
      <c r="D389" s="16"/>
      <c r="E389" s="16"/>
    </row>
    <row r="390" spans="1:5" x14ac:dyDescent="0.25">
      <c r="A390" s="16" t="s">
        <v>11</v>
      </c>
      <c r="B390" s="42" t="s">
        <v>298</v>
      </c>
      <c r="C390" s="337">
        <v>14052068</v>
      </c>
      <c r="D390" s="16"/>
      <c r="E390" s="16"/>
    </row>
    <row r="391" spans="1:5" x14ac:dyDescent="0.25">
      <c r="A391" s="16" t="s">
        <v>264</v>
      </c>
      <c r="B391" s="42" t="s">
        <v>298</v>
      </c>
      <c r="C391" s="337">
        <v>7299745</v>
      </c>
      <c r="D391" s="16"/>
      <c r="E391" s="16"/>
    </row>
    <row r="392" spans="1:5" x14ac:dyDescent="0.25">
      <c r="A392" s="16" t="s">
        <v>510</v>
      </c>
      <c r="B392" s="42" t="s">
        <v>298</v>
      </c>
      <c r="C392" s="337">
        <v>25242712</v>
      </c>
      <c r="D392" s="16"/>
      <c r="E392" s="16"/>
    </row>
    <row r="393" spans="1:5" x14ac:dyDescent="0.25">
      <c r="A393" s="16" t="s">
        <v>511</v>
      </c>
      <c r="B393" s="42" t="s">
        <v>298</v>
      </c>
      <c r="C393" s="337">
        <v>2255245</v>
      </c>
      <c r="D393" s="16"/>
      <c r="E393" s="16"/>
    </row>
    <row r="394" spans="1:5" x14ac:dyDescent="0.25">
      <c r="A394" s="16" t="s">
        <v>512</v>
      </c>
      <c r="B394" s="42" t="s">
        <v>298</v>
      </c>
      <c r="C394" s="337">
        <v>11814934</v>
      </c>
      <c r="D394" s="16"/>
      <c r="E394" s="16"/>
    </row>
    <row r="395" spans="1:5" x14ac:dyDescent="0.25">
      <c r="A395" s="16" t="s">
        <v>16</v>
      </c>
      <c r="B395" s="42" t="s">
        <v>298</v>
      </c>
      <c r="C395" s="337">
        <v>4918917</v>
      </c>
      <c r="D395" s="16"/>
      <c r="E395" s="16"/>
    </row>
    <row r="396" spans="1:5" x14ac:dyDescent="0.25">
      <c r="A396" s="16" t="s">
        <v>513</v>
      </c>
      <c r="B396" s="42" t="s">
        <v>298</v>
      </c>
      <c r="C396" s="337">
        <v>339497</v>
      </c>
      <c r="D396" s="16"/>
      <c r="E396" s="16"/>
    </row>
    <row r="397" spans="1:5" x14ac:dyDescent="0.25">
      <c r="A397" s="16" t="s">
        <v>514</v>
      </c>
      <c r="B397" s="42" t="s">
        <v>298</v>
      </c>
      <c r="C397" s="339">
        <v>1377091</v>
      </c>
      <c r="D397" s="16"/>
      <c r="E397" s="16"/>
    </row>
    <row r="398" spans="1:5" x14ac:dyDescent="0.25">
      <c r="A398" s="16" t="s">
        <v>515</v>
      </c>
      <c r="B398" s="42" t="s">
        <v>298</v>
      </c>
      <c r="C398" s="339">
        <v>6047151</v>
      </c>
      <c r="D398" s="16"/>
      <c r="E398" s="16"/>
    </row>
    <row r="399" spans="1:5" x14ac:dyDescent="0.25">
      <c r="A399" s="16" t="s">
        <v>516</v>
      </c>
      <c r="B399" s="42" t="s">
        <v>298</v>
      </c>
      <c r="C399" s="339">
        <v>3299828</v>
      </c>
      <c r="D399" s="16"/>
      <c r="E399" s="16"/>
    </row>
    <row r="400" spans="1:5" x14ac:dyDescent="0.25">
      <c r="A400" s="28" t="s">
        <v>517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337">
        <v>1108114</v>
      </c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337">
        <v>8667674</v>
      </c>
      <c r="D402" s="28">
        <v>0</v>
      </c>
      <c r="E402" s="28"/>
    </row>
    <row r="403" spans="1:9" x14ac:dyDescent="0.25">
      <c r="A403" s="29" t="s">
        <v>518</v>
      </c>
      <c r="B403" s="36" t="s">
        <v>298</v>
      </c>
      <c r="C403" s="337">
        <v>985524</v>
      </c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337"/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337">
        <v>251428</v>
      </c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337">
        <v>575747.93000000005</v>
      </c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337">
        <v>735973</v>
      </c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337">
        <v>5274570</v>
      </c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337">
        <f>320683.18+37470.41</f>
        <v>358153.58999999997</v>
      </c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337">
        <f>484993.52+14566.03</f>
        <v>499559.55000000005</v>
      </c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337">
        <f>199926.34+84797.06</f>
        <v>284723.40000000002</v>
      </c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337"/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337"/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339">
        <f>938155+1+36450+1</f>
        <v>974607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519</v>
      </c>
      <c r="B415" s="42"/>
      <c r="C415" s="42"/>
      <c r="D415" s="28">
        <f>SUM(C401:C414)</f>
        <v>19716074.469999999</v>
      </c>
      <c r="E415" s="28"/>
      <c r="F415" s="56"/>
      <c r="G415" s="56"/>
      <c r="H415" s="56"/>
      <c r="I415" s="56"/>
    </row>
    <row r="416" spans="1:9" x14ac:dyDescent="0.25">
      <c r="A416" s="28" t="s">
        <v>520</v>
      </c>
      <c r="B416" s="16"/>
      <c r="C416" s="23"/>
      <c r="D416" s="28">
        <f>SUM(C389:C399,D415)</f>
        <v>172552838.47</v>
      </c>
      <c r="E416" s="28"/>
    </row>
    <row r="417" spans="1:13" x14ac:dyDescent="0.25">
      <c r="A417" s="28" t="s">
        <v>521</v>
      </c>
      <c r="B417" s="16"/>
      <c r="C417" s="23"/>
      <c r="D417" s="28">
        <f>D384-D416</f>
        <v>-20143474.719999999</v>
      </c>
      <c r="E417" s="28"/>
    </row>
    <row r="418" spans="1:13" x14ac:dyDescent="0.25">
      <c r="A418" s="28" t="s">
        <v>522</v>
      </c>
      <c r="B418" s="16"/>
      <c r="C418" s="339">
        <f>(3094893-271270-241524)*-1</f>
        <v>-2582099</v>
      </c>
      <c r="D418" s="28">
        <v>0</v>
      </c>
      <c r="E418" s="28"/>
    </row>
    <row r="419" spans="1:13" x14ac:dyDescent="0.25">
      <c r="A419" s="55" t="s">
        <v>523</v>
      </c>
      <c r="B419" s="42" t="s">
        <v>298</v>
      </c>
      <c r="C419" s="337"/>
      <c r="D419" s="28">
        <v>0</v>
      </c>
      <c r="E419" s="28"/>
    </row>
    <row r="420" spans="1:13" x14ac:dyDescent="0.25">
      <c r="A420" s="57" t="s">
        <v>524</v>
      </c>
      <c r="B420" s="16"/>
      <c r="C420" s="16"/>
      <c r="D420" s="28">
        <f>SUM(C418:C419)</f>
        <v>-2582099</v>
      </c>
      <c r="E420" s="28"/>
      <c r="F420" s="11">
        <f>D420-C399</f>
        <v>-5881927</v>
      </c>
    </row>
    <row r="421" spans="1:13" x14ac:dyDescent="0.25">
      <c r="A421" s="28" t="s">
        <v>525</v>
      </c>
      <c r="B421" s="16"/>
      <c r="C421" s="23"/>
      <c r="D421" s="28">
        <f>D417+D420</f>
        <v>-22725573.719999999</v>
      </c>
      <c r="E421" s="28"/>
      <c r="F421" s="59"/>
    </row>
    <row r="422" spans="1:13" x14ac:dyDescent="0.25">
      <c r="A422" s="28" t="s">
        <v>526</v>
      </c>
      <c r="B422" s="42" t="s">
        <v>298</v>
      </c>
      <c r="C422" s="337">
        <v>1208405</v>
      </c>
      <c r="D422" s="28">
        <v>0</v>
      </c>
      <c r="E422" s="16"/>
    </row>
    <row r="423" spans="1:13" x14ac:dyDescent="0.25">
      <c r="A423" s="16" t="s">
        <v>527</v>
      </c>
      <c r="B423" s="42" t="s">
        <v>298</v>
      </c>
      <c r="C423" s="337"/>
      <c r="D423" s="28">
        <v>0</v>
      </c>
      <c r="E423" s="16"/>
    </row>
    <row r="424" spans="1:13" x14ac:dyDescent="0.25">
      <c r="A424" s="16" t="s">
        <v>528</v>
      </c>
      <c r="B424" s="16"/>
      <c r="C424" s="23"/>
      <c r="D424" s="28">
        <f>D421+C422-C423</f>
        <v>-21517168.719999999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529</v>
      </c>
      <c r="D612" s="229">
        <f>CE90-(BE90+CD90)</f>
        <v>404053</v>
      </c>
      <c r="E612" s="231">
        <f>SUM(C624:D647)+SUM(C668:D713)</f>
        <v>158082441.12081394</v>
      </c>
      <c r="F612" s="231">
        <f>CE64-(AX64+BD64+BE64+BG64+BJ64+BN64+BP64+BQ64+CB64+CC64+CD64)</f>
        <v>25244814.339999996</v>
      </c>
      <c r="G612" s="229">
        <f>CE91-(AX91+AY91+BD91+BE91+BG91+BJ91+BN91+BP91+BQ91+CB91+CC91+CD91)</f>
        <v>49321</v>
      </c>
      <c r="H612" s="234">
        <f>CE60-(AX60+AY60+AZ60+BD60+BE60+BG60+BJ60+BN60+BO60+BP60+BQ60+BR60+CB60+CC60+CD60)</f>
        <v>671.23</v>
      </c>
      <c r="I612" s="229">
        <f>CE92-(AX92+AY92+AZ92+BD92+BE92+BF92+BG92+BJ92+BN92+BO92+BP92+BQ92+BR92+CB92+CC92+CD92)</f>
        <v>51777.675317284149</v>
      </c>
      <c r="J612" s="229">
        <f>CE93-(AX93+AY93+AZ93+BA93+BD93+BE93+BF93+BG93+BJ93+BN93+BO93+BP93+BQ93+BR93+CB93+CC93+CD93)</f>
        <v>532476</v>
      </c>
      <c r="K612" s="229">
        <f>CE89-(AW89+AX89+AY89+AZ89+BA89+BB89+BC89+BD89+BE89+BF89+BG89+BH89+BI89+BJ89+BK89+BL89+BM89+BN89+BO89+BP89+BQ89+BR89+BS89+BT89+BU89+BV89+BW89+BX89+CB89+CC89+CD89)</f>
        <v>639400839.15999997</v>
      </c>
      <c r="L612" s="235">
        <f>CE94-(AW94+AX94+AY94+AZ94+BA94+BB94+BC94+BD94+BE94+BF94+BG94+BH94+BI94+BJ94+BK94+BL94+BM94+BN94+BO94+BP94+BQ94+BR94+BS94+BT94+BU94+BV94+BW94+BX94+BY94+BZ94+CA94+CB94+CC94+CD94)</f>
        <v>166.82999999999998</v>
      </c>
    </row>
    <row r="613" spans="1:14" s="212" customFormat="1" ht="12.6" customHeight="1" x14ac:dyDescent="0.2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" customHeight="1" x14ac:dyDescent="0.2">
      <c r="A614" s="224">
        <v>8430</v>
      </c>
      <c r="B614" s="223" t="s">
        <v>167</v>
      </c>
      <c r="C614" s="229">
        <f>BE85</f>
        <v>3353528.57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" customHeight="1" x14ac:dyDescent="0.2">
      <c r="A615" s="224"/>
      <c r="B615" s="223" t="s">
        <v>541</v>
      </c>
      <c r="C615" s="229">
        <f>CD69-CD84</f>
        <v>8531904.6400000006</v>
      </c>
      <c r="D615" s="229">
        <f>SUM(C614:C615)</f>
        <v>11885433.210000001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" customHeight="1" x14ac:dyDescent="0.2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" customHeight="1" x14ac:dyDescent="0.2">
      <c r="A617" s="224">
        <v>8510</v>
      </c>
      <c r="B617" s="228" t="s">
        <v>172</v>
      </c>
      <c r="C617" s="229">
        <f>BJ85</f>
        <v>748918.97</v>
      </c>
      <c r="D617" s="229">
        <f>(D615/D612)*BJ90</f>
        <v>18884.770366313332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" customHeight="1" x14ac:dyDescent="0.2">
      <c r="A618" s="224">
        <v>8470</v>
      </c>
      <c r="B618" s="228" t="s">
        <v>546</v>
      </c>
      <c r="C618" s="229">
        <f>BG85</f>
        <v>639254.32999999996</v>
      </c>
      <c r="D618" s="229">
        <f>(D615/D612)*BG90</f>
        <v>24444.305567611184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" customHeight="1" x14ac:dyDescent="0.2">
      <c r="A619" s="224">
        <v>8610</v>
      </c>
      <c r="B619" s="228" t="s">
        <v>548</v>
      </c>
      <c r="C619" s="229">
        <f>BN85</f>
        <v>3092445.2</v>
      </c>
      <c r="D619" s="229">
        <f>(D615/D612)*BN90</f>
        <v>50329.972113336618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" customHeight="1" x14ac:dyDescent="0.2">
      <c r="A620" s="224">
        <v>8790</v>
      </c>
      <c r="B620" s="228" t="s">
        <v>550</v>
      </c>
      <c r="C620" s="229">
        <f>CC85</f>
        <v>4227967.13</v>
      </c>
      <c r="D620" s="229">
        <f>(D615/D612)*CC90</f>
        <v>2663752.7496758099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" customHeight="1" x14ac:dyDescent="0.2">
      <c r="A621" s="224">
        <v>8630</v>
      </c>
      <c r="B621" s="228" t="s">
        <v>552</v>
      </c>
      <c r="C621" s="229">
        <f>BP85</f>
        <v>447026.18</v>
      </c>
      <c r="D621" s="229">
        <f>(D615/D612)*BP90</f>
        <v>7648.0378430552437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" customHeight="1" x14ac:dyDescent="0.2">
      <c r="A622" s="224">
        <v>8770</v>
      </c>
      <c r="B622" s="223" t="s">
        <v>554</v>
      </c>
      <c r="C622" s="229">
        <f>CB85</f>
        <v>39225.07</v>
      </c>
      <c r="D622" s="229">
        <f>(D615/D612)*CB90</f>
        <v>3529.8636198716508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" customHeight="1" x14ac:dyDescent="0.2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11963426.579186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" customHeight="1" x14ac:dyDescent="0.2">
      <c r="A624" s="224">
        <v>8420</v>
      </c>
      <c r="B624" s="228" t="s">
        <v>166</v>
      </c>
      <c r="C624" s="229">
        <f>BD85</f>
        <v>913568.46</v>
      </c>
      <c r="D624" s="229">
        <f>(D615/D612)*BD90</f>
        <v>291919.7213633855</v>
      </c>
      <c r="E624" s="231">
        <f>(E623/E612)*SUM(C624:D624)</f>
        <v>91229.419583643263</v>
      </c>
      <c r="F624" s="231">
        <f>SUM(C624:E624)</f>
        <v>1296717.6009470287</v>
      </c>
      <c r="G624" s="229"/>
      <c r="H624" s="231"/>
      <c r="I624" s="229"/>
      <c r="J624" s="229"/>
      <c r="N624" s="225" t="s">
        <v>558</v>
      </c>
    </row>
    <row r="625" spans="1:14" s="212" customFormat="1" ht="12.6" customHeight="1" x14ac:dyDescent="0.2">
      <c r="A625" s="224">
        <v>8320</v>
      </c>
      <c r="B625" s="228" t="s">
        <v>162</v>
      </c>
      <c r="C625" s="229">
        <f>AY85</f>
        <v>1604228.3300000003</v>
      </c>
      <c r="D625" s="229">
        <f>(D615/D612)*AY90</f>
        <v>176904.99841590089</v>
      </c>
      <c r="E625" s="231">
        <f>(E623/E612)*SUM(C625:D625)</f>
        <v>134793.32461699465</v>
      </c>
      <c r="F625" s="231">
        <f>(F624/F612)*AY64</f>
        <v>29201.817435546789</v>
      </c>
      <c r="G625" s="229">
        <f>SUM(C625:F625)</f>
        <v>1945128.4704684427</v>
      </c>
      <c r="H625" s="231"/>
      <c r="I625" s="229"/>
      <c r="J625" s="229"/>
      <c r="N625" s="225" t="s">
        <v>559</v>
      </c>
    </row>
    <row r="626" spans="1:14" s="212" customFormat="1" ht="12.6" customHeight="1" x14ac:dyDescent="0.2">
      <c r="A626" s="224">
        <v>8650</v>
      </c>
      <c r="B626" s="228" t="s">
        <v>179</v>
      </c>
      <c r="C626" s="229">
        <f>BR85</f>
        <v>1309360.45</v>
      </c>
      <c r="D626" s="229">
        <f>(D615/D612)*BR90</f>
        <v>130310.79863359511</v>
      </c>
      <c r="E626" s="231">
        <f>(E623/E612)*SUM(C626:D626)</f>
        <v>108952.01996551992</v>
      </c>
      <c r="F626" s="231">
        <f>(F624/F612)*BR64</f>
        <v>1402.211742358671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" customHeight="1" x14ac:dyDescent="0.2">
      <c r="A627" s="224">
        <v>8620</v>
      </c>
      <c r="B627" s="223" t="s">
        <v>561</v>
      </c>
      <c r="C627" s="229">
        <f>BO85</f>
        <v>338195.43</v>
      </c>
      <c r="D627" s="229">
        <f>(D615/D612)*BO90</f>
        <v>7265.6359509024815</v>
      </c>
      <c r="E627" s="231">
        <f>(E623/E612)*SUM(C627:D627)</f>
        <v>26143.941535621918</v>
      </c>
      <c r="F627" s="231">
        <f>(F624/F612)*BO64</f>
        <v>68.654369476887183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" customHeight="1" x14ac:dyDescent="0.2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1921699.1421974751</v>
      </c>
      <c r="I628" s="229"/>
      <c r="J628" s="229"/>
      <c r="N628" s="225" t="s">
        <v>563</v>
      </c>
    </row>
    <row r="629" spans="1:14" s="212" customFormat="1" ht="12.6" customHeight="1" x14ac:dyDescent="0.2">
      <c r="A629" s="224">
        <v>8460</v>
      </c>
      <c r="B629" s="228" t="s">
        <v>168</v>
      </c>
      <c r="C629" s="229">
        <f>BF85</f>
        <v>2618659.8899999997</v>
      </c>
      <c r="D629" s="229">
        <f>(D615/D612)*BF90</f>
        <v>41064.080111173535</v>
      </c>
      <c r="E629" s="231">
        <f>(E623/E612)*SUM(C629:D629)</f>
        <v>201283.66067556007</v>
      </c>
      <c r="F629" s="231">
        <f>(F624/F612)*BF64</f>
        <v>7690.9484935738274</v>
      </c>
      <c r="G629" s="229">
        <f>(G625/G612)*BF91</f>
        <v>0</v>
      </c>
      <c r="H629" s="231">
        <f>(H628/H612)*BF60</f>
        <v>103925.15063654535</v>
      </c>
      <c r="I629" s="229">
        <f>SUM(C629:H629)</f>
        <v>2972623.7299168524</v>
      </c>
      <c r="J629" s="229"/>
      <c r="N629" s="225" t="s">
        <v>564</v>
      </c>
    </row>
    <row r="630" spans="1:14" s="212" customFormat="1" ht="12.6" customHeight="1" x14ac:dyDescent="0.2">
      <c r="A630" s="224">
        <v>8350</v>
      </c>
      <c r="B630" s="228" t="s">
        <v>565</v>
      </c>
      <c r="C630" s="229">
        <f>BA85</f>
        <v>301311.09999999998</v>
      </c>
      <c r="D630" s="229">
        <f>(D615/D612)*BA90</f>
        <v>22061.647624197816</v>
      </c>
      <c r="E630" s="231">
        <f>(E623/E612)*SUM(C630:D630)</f>
        <v>24472.332894676994</v>
      </c>
      <c r="F630" s="231">
        <f>(F624/F612)*BA64</f>
        <v>2112.9332728820586</v>
      </c>
      <c r="G630" s="229">
        <f>(G625/G612)*BA91</f>
        <v>0</v>
      </c>
      <c r="H630" s="231">
        <f>(H628/H612)*BA60</f>
        <v>0</v>
      </c>
      <c r="I630" s="229">
        <f>(I629/I612)*BA92</f>
        <v>7743.3047750350452</v>
      </c>
      <c r="J630" s="229">
        <f>SUM(C630:I630)</f>
        <v>357701.31856679195</v>
      </c>
      <c r="N630" s="225" t="s">
        <v>566</v>
      </c>
    </row>
    <row r="631" spans="1:14" s="212" customFormat="1" ht="12.6" customHeight="1" x14ac:dyDescent="0.2">
      <c r="A631" s="224">
        <v>8200</v>
      </c>
      <c r="B631" s="228" t="s">
        <v>567</v>
      </c>
      <c r="C631" s="229">
        <f>AW85</f>
        <v>3523032.34</v>
      </c>
      <c r="D631" s="229">
        <f>(D615/D612)*AW90</f>
        <v>41034.664581007943</v>
      </c>
      <c r="E631" s="231">
        <f>(E623/E612)*SUM(C631:D631)</f>
        <v>269722.89667527319</v>
      </c>
      <c r="F631" s="231">
        <f>(F624/F612)*AW64</f>
        <v>1203.1465339991248</v>
      </c>
      <c r="G631" s="229">
        <f>(G625/G612)*AW91</f>
        <v>0</v>
      </c>
      <c r="H631" s="231">
        <f>(H628/H612)*AW60</f>
        <v>93303.599428237285</v>
      </c>
      <c r="I631" s="229">
        <f>(I629/I612)*AW92</f>
        <v>14402.546881565182</v>
      </c>
      <c r="J631" s="229">
        <f>(J630/J612)*AW93</f>
        <v>0</v>
      </c>
      <c r="N631" s="225" t="s">
        <v>568</v>
      </c>
    </row>
    <row r="632" spans="1:14" s="212" customFormat="1" ht="12.6" customHeight="1" x14ac:dyDescent="0.2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" customHeight="1" x14ac:dyDescent="0.2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" customHeight="1" x14ac:dyDescent="0.2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" customHeight="1" x14ac:dyDescent="0.2">
      <c r="A635" s="224">
        <v>8530</v>
      </c>
      <c r="B635" s="228" t="s">
        <v>575</v>
      </c>
      <c r="C635" s="229">
        <f>BK85</f>
        <v>-141439.19</v>
      </c>
      <c r="D635" s="229">
        <f>(D615/D612)*BK90</f>
        <v>43240.829343427722</v>
      </c>
      <c r="E635" s="231">
        <f>(E623/E612)*SUM(C635:D635)</f>
        <v>-7431.4950451296563</v>
      </c>
      <c r="F635" s="231">
        <f>(F624/F612)*BK64</f>
        <v>24.669919176075787</v>
      </c>
      <c r="G635" s="229">
        <f>(G625/G612)*BK91</f>
        <v>0</v>
      </c>
      <c r="H635" s="231">
        <f>(H628/H612)*BK60</f>
        <v>0</v>
      </c>
      <c r="I635" s="229">
        <f>(I629/I612)*BK92</f>
        <v>15176.877359068687</v>
      </c>
      <c r="J635" s="229">
        <f>(J630/J612)*BK93</f>
        <v>0</v>
      </c>
      <c r="N635" s="225" t="s">
        <v>576</v>
      </c>
    </row>
    <row r="636" spans="1:14" s="212" customFormat="1" ht="12.6" customHeight="1" x14ac:dyDescent="0.2">
      <c r="A636" s="224">
        <v>8480</v>
      </c>
      <c r="B636" s="228" t="s">
        <v>577</v>
      </c>
      <c r="C636" s="229">
        <f>BH85</f>
        <v>4527882.7699999996</v>
      </c>
      <c r="D636" s="229">
        <f>(D615/D612)*BH90</f>
        <v>167521.44429307542</v>
      </c>
      <c r="E636" s="231">
        <f>(E623/E612)*SUM(C636:D636)</f>
        <v>355340.68919372023</v>
      </c>
      <c r="F636" s="231">
        <f>(F624/F612)*BH64</f>
        <v>1547.5253122535623</v>
      </c>
      <c r="G636" s="229">
        <f>(G625/G612)*BH91</f>
        <v>0</v>
      </c>
      <c r="H636" s="231">
        <f>(H628/H612)*BH60</f>
        <v>40596.656639840585</v>
      </c>
      <c r="I636" s="229">
        <f>(I629/I612)*BH92</f>
        <v>58797.494258432773</v>
      </c>
      <c r="J636" s="229">
        <f>(J630/J612)*BH93</f>
        <v>0</v>
      </c>
      <c r="N636" s="225" t="s">
        <v>578</v>
      </c>
    </row>
    <row r="637" spans="1:14" s="212" customFormat="1" ht="12.6" customHeight="1" x14ac:dyDescent="0.2">
      <c r="A637" s="224">
        <v>8560</v>
      </c>
      <c r="B637" s="228" t="s">
        <v>174</v>
      </c>
      <c r="C637" s="229">
        <f>BL85</f>
        <v>199814.17</v>
      </c>
      <c r="D637" s="229">
        <f>(D615/D612)*BL90</f>
        <v>130663.78499558227</v>
      </c>
      <c r="E637" s="231">
        <f>(E623/E612)*SUM(C637:D637)</f>
        <v>25010.043636709921</v>
      </c>
      <c r="F637" s="231">
        <f>(F624/F612)*BL64</f>
        <v>1452.8855479820036</v>
      </c>
      <c r="G637" s="229">
        <f>(G625/G612)*BL91</f>
        <v>0</v>
      </c>
      <c r="H637" s="231">
        <f>(H628/H612)*BL60</f>
        <v>69655.617492758902</v>
      </c>
      <c r="I637" s="229">
        <f>(I629/I612)*BL92</f>
        <v>45861.013080940887</v>
      </c>
      <c r="J637" s="229">
        <f>(J630/J612)*BL93</f>
        <v>0</v>
      </c>
      <c r="N637" s="225" t="s">
        <v>579</v>
      </c>
    </row>
    <row r="638" spans="1:14" s="212" customFormat="1" ht="12.6" customHeight="1" x14ac:dyDescent="0.2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" customHeight="1" x14ac:dyDescent="0.2">
      <c r="A639" s="224">
        <v>8660</v>
      </c>
      <c r="B639" s="228" t="s">
        <v>582</v>
      </c>
      <c r="C639" s="229">
        <f>BS85</f>
        <v>-30172.500000000007</v>
      </c>
      <c r="D639" s="229">
        <f>(D615/D612)*BS90</f>
        <v>17061.007496046313</v>
      </c>
      <c r="E639" s="231">
        <f>(E623/E612)*SUM(C639:D639)</f>
        <v>-992.25680475619151</v>
      </c>
      <c r="F639" s="231">
        <f>(F624/F612)*BS64</f>
        <v>1620.521624488744</v>
      </c>
      <c r="G639" s="229">
        <f>(G625/G612)*BS91</f>
        <v>0</v>
      </c>
      <c r="H639" s="231">
        <f>(H628/H612)*BS60</f>
        <v>0</v>
      </c>
      <c r="I639" s="229">
        <f>(I629/I612)*BS92</f>
        <v>5988.1556926937674</v>
      </c>
      <c r="J639" s="229">
        <f>(J630/J612)*BS93</f>
        <v>0</v>
      </c>
      <c r="N639" s="225" t="s">
        <v>583</v>
      </c>
    </row>
    <row r="640" spans="1:14" s="212" customFormat="1" ht="12.6" customHeight="1" x14ac:dyDescent="0.2">
      <c r="A640" s="224">
        <v>8670</v>
      </c>
      <c r="B640" s="228" t="s">
        <v>584</v>
      </c>
      <c r="C640" s="229">
        <f>BT85</f>
        <v>27732.550000000003</v>
      </c>
      <c r="D640" s="229">
        <f>(D615/D612)*BT90</f>
        <v>16913.929845218328</v>
      </c>
      <c r="E640" s="231">
        <f>(E623/E612)*SUM(C640:D640)</f>
        <v>3378.7742639878261</v>
      </c>
      <c r="F640" s="231">
        <f>(F624/F612)*BT64</f>
        <v>4.729753805557297</v>
      </c>
      <c r="G640" s="229">
        <f>(G625/G612)*BT91</f>
        <v>0</v>
      </c>
      <c r="H640" s="231">
        <f>(H628/H612)*BT60</f>
        <v>0</v>
      </c>
      <c r="I640" s="229">
        <f>(I629/I612)*BT92</f>
        <v>5936.5336608602011</v>
      </c>
      <c r="J640" s="229">
        <f>(J630/J612)*BT93</f>
        <v>0</v>
      </c>
      <c r="N640" s="225" t="s">
        <v>585</v>
      </c>
    </row>
    <row r="641" spans="1:14" s="212" customFormat="1" ht="12.6" customHeight="1" x14ac:dyDescent="0.2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" customHeight="1" x14ac:dyDescent="0.2">
      <c r="A642" s="224">
        <v>8690</v>
      </c>
      <c r="B642" s="228" t="s">
        <v>588</v>
      </c>
      <c r="C642" s="229">
        <f>BV85</f>
        <v>1206532.28</v>
      </c>
      <c r="D642" s="229">
        <f>(D615/D612)*BV90</f>
        <v>20826.195357242741</v>
      </c>
      <c r="E642" s="231">
        <f>(E623/E612)*SUM(C642:D642)</f>
        <v>92884.528491410994</v>
      </c>
      <c r="F642" s="231">
        <f>(F624/F612)*BV64</f>
        <v>207.76809918573633</v>
      </c>
      <c r="G642" s="229">
        <f>(G625/G612)*BV91</f>
        <v>0</v>
      </c>
      <c r="H642" s="231">
        <f>(H628/H612)*BV60</f>
        <v>11623.58434116733</v>
      </c>
      <c r="I642" s="229">
        <f>(I629/I612)*BV92</f>
        <v>7309.6797076330804</v>
      </c>
      <c r="J642" s="229">
        <f>(J630/J612)*BV93</f>
        <v>0</v>
      </c>
      <c r="N642" s="225" t="s">
        <v>589</v>
      </c>
    </row>
    <row r="643" spans="1:14" s="212" customFormat="1" ht="12.6" customHeight="1" x14ac:dyDescent="0.2">
      <c r="A643" s="224">
        <v>8700</v>
      </c>
      <c r="B643" s="228" t="s">
        <v>590</v>
      </c>
      <c r="C643" s="229">
        <f>BW85</f>
        <v>133707.87</v>
      </c>
      <c r="D643" s="229">
        <f>(D615/D612)*BW90</f>
        <v>55771.845193972084</v>
      </c>
      <c r="E643" s="231">
        <f>(E623/E612)*SUM(C643:D643)</f>
        <v>14339.522118308792</v>
      </c>
      <c r="F643" s="231">
        <f>(F624/F612)*BW64</f>
        <v>1862.8788734912077</v>
      </c>
      <c r="G643" s="229">
        <f>(G625/G612)*BW91</f>
        <v>0</v>
      </c>
      <c r="H643" s="231">
        <f>(H628/H612)*BW60</f>
        <v>3120.6174709045304</v>
      </c>
      <c r="I643" s="229">
        <f>(I629/I612)*BW92</f>
        <v>19575.07447128859</v>
      </c>
      <c r="J643" s="229">
        <f>(J630/J612)*BW93</f>
        <v>0</v>
      </c>
      <c r="N643" s="225" t="s">
        <v>591</v>
      </c>
    </row>
    <row r="644" spans="1:14" s="212" customFormat="1" ht="12.6" customHeight="1" x14ac:dyDescent="0.2">
      <c r="A644" s="224">
        <v>8710</v>
      </c>
      <c r="B644" s="228" t="s">
        <v>592</v>
      </c>
      <c r="C644" s="229">
        <f>BX85</f>
        <v>2895721.63</v>
      </c>
      <c r="D644" s="229">
        <f>(D615/D612)*BX90</f>
        <v>15649.062048097652</v>
      </c>
      <c r="E644" s="231">
        <f>(E623/E612)*SUM(C644:D644)</f>
        <v>220327.88254131694</v>
      </c>
      <c r="F644" s="231">
        <f>(F624/F612)*BX64</f>
        <v>837.00205333844406</v>
      </c>
      <c r="G644" s="229">
        <f>(G625/G612)*BX91</f>
        <v>0</v>
      </c>
      <c r="H644" s="231">
        <f>(H628/H612)*BX60</f>
        <v>45148.750014829762</v>
      </c>
      <c r="I644" s="229">
        <f>(I629/I612)*BX92</f>
        <v>5492.5841870915247</v>
      </c>
      <c r="J644" s="229">
        <f>(J630/J612)*BX93</f>
        <v>0</v>
      </c>
      <c r="K644" s="231">
        <f>SUM(C631:J644)</f>
        <v>14274825.180629551</v>
      </c>
      <c r="L644" s="231"/>
      <c r="N644" s="225" t="s">
        <v>593</v>
      </c>
    </row>
    <row r="645" spans="1:14" s="212" customFormat="1" ht="12.6" customHeight="1" x14ac:dyDescent="0.2">
      <c r="A645" s="224">
        <v>8720</v>
      </c>
      <c r="B645" s="228" t="s">
        <v>594</v>
      </c>
      <c r="C645" s="229">
        <f>BY85</f>
        <v>1344856.77</v>
      </c>
      <c r="D645" s="229">
        <f>(D615/D612)*BY90</f>
        <v>17119.838556377508</v>
      </c>
      <c r="E645" s="231">
        <f>(E623/E612)*SUM(C645:D645)</f>
        <v>103072.21373549268</v>
      </c>
      <c r="F645" s="231">
        <f>(F624/F612)*BY64</f>
        <v>4345.1834204099796</v>
      </c>
      <c r="G645" s="229">
        <f>(G625/G612)*BY91</f>
        <v>0</v>
      </c>
      <c r="H645" s="231">
        <f>(H628/H612)*BY60</f>
        <v>18151.114463793321</v>
      </c>
      <c r="I645" s="229">
        <f>(I629/I612)*BY92</f>
        <v>6008.8045054271943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" customHeight="1" x14ac:dyDescent="0.2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" customHeight="1" x14ac:dyDescent="0.2">
      <c r="A647" s="224">
        <v>8740</v>
      </c>
      <c r="B647" s="228" t="s">
        <v>598</v>
      </c>
      <c r="C647" s="229">
        <f>CA85</f>
        <v>515242.04</v>
      </c>
      <c r="D647" s="229">
        <f>(D615/D612)*CA90</f>
        <v>7412.7136017304665</v>
      </c>
      <c r="E647" s="231">
        <f>(E623/E612)*SUM(C647:D647)</f>
        <v>39553.676718581388</v>
      </c>
      <c r="F647" s="231">
        <f>(F624/F612)*CA64</f>
        <v>326.13368103751816</v>
      </c>
      <c r="G647" s="229">
        <f>(G625/G612)*CA91</f>
        <v>0</v>
      </c>
      <c r="H647" s="231">
        <f>(H628/H612)*CA60</f>
        <v>7959.0060267106355</v>
      </c>
      <c r="I647" s="229">
        <f>(I629/I612)*CA92</f>
        <v>2601.750404411775</v>
      </c>
      <c r="J647" s="229">
        <f>(J630/J612)*CA93</f>
        <v>0</v>
      </c>
      <c r="K647" s="231">
        <v>0</v>
      </c>
      <c r="L647" s="231">
        <f>SUM(C645:K647)</f>
        <v>2066649.2451139723</v>
      </c>
      <c r="N647" s="225" t="s">
        <v>599</v>
      </c>
    </row>
    <row r="648" spans="1:14" s="212" customFormat="1" ht="12.6" customHeight="1" x14ac:dyDescent="0.2">
      <c r="A648" s="224"/>
      <c r="B648" s="224"/>
      <c r="C648" s="212">
        <f>SUM(C614:C647)</f>
        <v>42368504.480000004</v>
      </c>
      <c r="L648" s="227"/>
    </row>
    <row r="666" spans="1:14" s="212" customFormat="1" ht="12.6" customHeight="1" x14ac:dyDescent="0.2">
      <c r="C666" s="222" t="s">
        <v>600</v>
      </c>
      <c r="M666" s="222" t="s">
        <v>601</v>
      </c>
    </row>
    <row r="667" spans="1:14" s="212" customFormat="1" ht="12.6" customHeight="1" x14ac:dyDescent="0.2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" customHeight="1" x14ac:dyDescent="0.2">
      <c r="A668" s="224">
        <v>6010</v>
      </c>
      <c r="B668" s="223" t="s">
        <v>329</v>
      </c>
      <c r="C668" s="229">
        <f>C85</f>
        <v>6353803.0899999999</v>
      </c>
      <c r="D668" s="229">
        <f>(D615/D612)*C90</f>
        <v>242148.64432319524</v>
      </c>
      <c r="E668" s="231">
        <f>(E623/E612)*SUM(C668:D668)</f>
        <v>499171.08904665301</v>
      </c>
      <c r="F668" s="231">
        <f>(F624/F612)*C64</f>
        <v>31478.246195727665</v>
      </c>
      <c r="G668" s="229">
        <f>(G625/G612)*C91</f>
        <v>296732.56040641031</v>
      </c>
      <c r="H668" s="231">
        <f>(H628/H612)*C60</f>
        <v>89868.057258434128</v>
      </c>
      <c r="I668" s="229">
        <f>(I629/I612)*C92</f>
        <v>84990.513210784644</v>
      </c>
      <c r="J668" s="229">
        <f>(J630/J612)*C93</f>
        <v>39524.250443580124</v>
      </c>
      <c r="K668" s="229">
        <f>(K644/K612)*C89</f>
        <v>307699.65268606792</v>
      </c>
      <c r="L668" s="229">
        <f>(L647/L612)*C94</f>
        <v>283679.60027039482</v>
      </c>
      <c r="M668" s="212">
        <f t="shared" ref="M668:M713" si="29">ROUND(SUM(D668:L668),0)</f>
        <v>1875293</v>
      </c>
      <c r="N668" s="223" t="s">
        <v>603</v>
      </c>
    </row>
    <row r="669" spans="1:14" s="212" customFormat="1" ht="12.6" customHeight="1" x14ac:dyDescent="0.2">
      <c r="A669" s="224">
        <v>6030</v>
      </c>
      <c r="B669" s="223" t="s">
        <v>330</v>
      </c>
      <c r="C669" s="229">
        <f>D85</f>
        <v>1451627.88</v>
      </c>
      <c r="D669" s="229">
        <f>(D615/D612)*D90</f>
        <v>409346.5177844491</v>
      </c>
      <c r="E669" s="231">
        <f>(E623/E612)*SUM(C669:D669)</f>
        <v>140835.56918648691</v>
      </c>
      <c r="F669" s="231">
        <f>(F624/F612)*D64</f>
        <v>4671.8132941251879</v>
      </c>
      <c r="G669" s="229">
        <f>(G625/G612)*D91</f>
        <v>0</v>
      </c>
      <c r="H669" s="231">
        <f>(H628/H612)*D60</f>
        <v>15345.421691787415</v>
      </c>
      <c r="I669" s="229">
        <f>(I629/I612)*D92</f>
        <v>143674.43899918356</v>
      </c>
      <c r="J669" s="229">
        <f>(J630/J612)*D93</f>
        <v>0</v>
      </c>
      <c r="K669" s="229">
        <f>(K644/K612)*D89</f>
        <v>52026.576645230401</v>
      </c>
      <c r="L669" s="229">
        <f>(L647/L612)*D94</f>
        <v>17342.857658452085</v>
      </c>
      <c r="M669" s="212">
        <f t="shared" si="29"/>
        <v>783243</v>
      </c>
      <c r="N669" s="223" t="s">
        <v>604</v>
      </c>
    </row>
    <row r="670" spans="1:14" s="212" customFormat="1" ht="12.6" customHeight="1" x14ac:dyDescent="0.2">
      <c r="A670" s="224">
        <v>6070</v>
      </c>
      <c r="B670" s="223" t="s">
        <v>605</v>
      </c>
      <c r="C670" s="229">
        <f>E85</f>
        <v>9591894.1799999997</v>
      </c>
      <c r="D670" s="229">
        <f>(D615/D612)*E90</f>
        <v>745360.1188660647</v>
      </c>
      <c r="E670" s="231">
        <f>(E623/E612)*SUM(C670:D670)</f>
        <v>782306.88973448635</v>
      </c>
      <c r="F670" s="231">
        <f>(F624/F612)*E64</f>
        <v>27853.565362744353</v>
      </c>
      <c r="G670" s="229">
        <f>(G625/G612)*E91</f>
        <v>916621.2345781218</v>
      </c>
      <c r="H670" s="231">
        <f>(H628/H612)*E60</f>
        <v>165764.90969300209</v>
      </c>
      <c r="I670" s="229">
        <f>(I629/I612)*E92</f>
        <v>261610.13292615063</v>
      </c>
      <c r="J670" s="229">
        <f>(J630/J612)*E93</f>
        <v>83981.978609263257</v>
      </c>
      <c r="K670" s="229">
        <f>(K644/K612)*E89</f>
        <v>629176.51492666488</v>
      </c>
      <c r="L670" s="229">
        <f>(L647/L612)*E94</f>
        <v>502571.23943100078</v>
      </c>
      <c r="M670" s="212">
        <f t="shared" si="29"/>
        <v>4115247</v>
      </c>
      <c r="N670" s="223" t="s">
        <v>606</v>
      </c>
    </row>
    <row r="671" spans="1:14" s="212" customFormat="1" ht="12.6" customHeight="1" x14ac:dyDescent="0.2">
      <c r="A671" s="224">
        <v>6100</v>
      </c>
      <c r="B671" s="223" t="s">
        <v>607</v>
      </c>
      <c r="C671" s="229">
        <f>F85</f>
        <v>5626391.4199999999</v>
      </c>
      <c r="D671" s="229">
        <f>(D615/D612)*F90</f>
        <v>291272.57969974237</v>
      </c>
      <c r="E671" s="231">
        <f>(E623/E612)*SUM(C671:D671)</f>
        <v>447839.35697573645</v>
      </c>
      <c r="F671" s="231">
        <f>(F624/F612)*F64</f>
        <v>33684.394348318223</v>
      </c>
      <c r="G671" s="229">
        <f>(G625/G612)*F91</f>
        <v>319685.55750323791</v>
      </c>
      <c r="H671" s="231">
        <f>(H628/H612)*F60</f>
        <v>105728.81027569201</v>
      </c>
      <c r="I671" s="229">
        <f>(I629/I612)*F92</f>
        <v>102232.27184319599</v>
      </c>
      <c r="J671" s="229">
        <f>(J630/J612)*F93</f>
        <v>54446.945721193981</v>
      </c>
      <c r="K671" s="229">
        <f>(K644/K612)*F89</f>
        <v>174051.92021630291</v>
      </c>
      <c r="L671" s="229">
        <f>(L647/L612)*F94</f>
        <v>339424.49988684797</v>
      </c>
      <c r="M671" s="212">
        <f t="shared" si="29"/>
        <v>1868366</v>
      </c>
      <c r="N671" s="223" t="s">
        <v>608</v>
      </c>
    </row>
    <row r="672" spans="1:14" s="212" customFormat="1" ht="12.6" customHeight="1" x14ac:dyDescent="0.2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9"/>
        <v>0</v>
      </c>
      <c r="N672" s="223" t="s">
        <v>610</v>
      </c>
    </row>
    <row r="673" spans="1:14" s="212" customFormat="1" ht="12.6" customHeight="1" x14ac:dyDescent="0.2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9"/>
        <v>0</v>
      </c>
      <c r="N673" s="223" t="s">
        <v>612</v>
      </c>
    </row>
    <row r="674" spans="1:14" s="212" customFormat="1" ht="12.6" customHeight="1" x14ac:dyDescent="0.2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9"/>
        <v>0</v>
      </c>
      <c r="N674" s="223" t="s">
        <v>614</v>
      </c>
    </row>
    <row r="675" spans="1:14" s="212" customFormat="1" ht="12.6" customHeight="1" x14ac:dyDescent="0.2">
      <c r="A675" s="224">
        <v>6170</v>
      </c>
      <c r="B675" s="223" t="s">
        <v>125</v>
      </c>
      <c r="C675" s="229">
        <f>J85</f>
        <v>1860475.64</v>
      </c>
      <c r="D675" s="229">
        <f>(D615/D612)*J90</f>
        <v>44741.021381873172</v>
      </c>
      <c r="E675" s="231">
        <f>(E623/E612)*SUM(C675:D675)</f>
        <v>144183.75301064906</v>
      </c>
      <c r="F675" s="231">
        <f>(F624/F612)*J64</f>
        <v>7702.697884163349</v>
      </c>
      <c r="G675" s="229">
        <f>(G625/G612)*J91</f>
        <v>18457.049211881982</v>
      </c>
      <c r="H675" s="231">
        <f>(H628/H612)*J60</f>
        <v>31549.728926025615</v>
      </c>
      <c r="I675" s="229">
        <f>(I629/I612)*J92</f>
        <v>15703.422083771069</v>
      </c>
      <c r="J675" s="229">
        <f>(J630/J612)*J93</f>
        <v>7103.2943128427532</v>
      </c>
      <c r="K675" s="229">
        <f>(K644/K612)*J89</f>
        <v>132483.42241576751</v>
      </c>
      <c r="L675" s="229">
        <f>(L647/L612)*J94</f>
        <v>131805.71820423586</v>
      </c>
      <c r="M675" s="212">
        <f t="shared" si="29"/>
        <v>533730</v>
      </c>
      <c r="N675" s="223" t="s">
        <v>615</v>
      </c>
    </row>
    <row r="676" spans="1:14" s="212" customFormat="1" ht="12.6" customHeight="1" x14ac:dyDescent="0.2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9"/>
        <v>0</v>
      </c>
      <c r="N676" s="223" t="s">
        <v>616</v>
      </c>
    </row>
    <row r="677" spans="1:14" s="212" customFormat="1" ht="12.6" customHeight="1" x14ac:dyDescent="0.2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9"/>
        <v>0</v>
      </c>
      <c r="N677" s="223" t="s">
        <v>617</v>
      </c>
    </row>
    <row r="678" spans="1:14" s="212" customFormat="1" ht="12.6" customHeight="1" x14ac:dyDescent="0.2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9"/>
        <v>0</v>
      </c>
      <c r="N678" s="223" t="s">
        <v>619</v>
      </c>
    </row>
    <row r="679" spans="1:14" s="212" customFormat="1" ht="12.6" customHeight="1" x14ac:dyDescent="0.2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9"/>
        <v>0</v>
      </c>
      <c r="N679" s="223" t="s">
        <v>621</v>
      </c>
    </row>
    <row r="680" spans="1:14" s="212" customFormat="1" ht="12.6" customHeight="1" x14ac:dyDescent="0.2">
      <c r="A680" s="224">
        <v>7010</v>
      </c>
      <c r="B680" s="223" t="s">
        <v>622</v>
      </c>
      <c r="C680" s="229">
        <f>O85</f>
        <v>1254990.43</v>
      </c>
      <c r="D680" s="229">
        <f>(D615/D612)*O90</f>
        <v>0</v>
      </c>
      <c r="E680" s="231">
        <f>(E623/E612)*SUM(C680:D680)</f>
        <v>94975.670671809028</v>
      </c>
      <c r="F680" s="231">
        <f>(F624/F612)*O64</f>
        <v>-17.002047237613656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514195.68921235291</v>
      </c>
      <c r="L680" s="229">
        <f>(L647/L612)*O94</f>
        <v>0</v>
      </c>
      <c r="M680" s="212">
        <f t="shared" si="29"/>
        <v>609154</v>
      </c>
      <c r="N680" s="223" t="s">
        <v>623</v>
      </c>
    </row>
    <row r="681" spans="1:14" s="212" customFormat="1" ht="12.6" customHeight="1" x14ac:dyDescent="0.2">
      <c r="A681" s="224">
        <v>7020</v>
      </c>
      <c r="B681" s="223" t="s">
        <v>624</v>
      </c>
      <c r="C681" s="229">
        <f>P85</f>
        <v>10107047.359999999</v>
      </c>
      <c r="D681" s="229">
        <f>(D615/D612)*P90</f>
        <v>426848.75823297939</v>
      </c>
      <c r="E681" s="231">
        <f>(E623/E612)*SUM(C681:D681)</f>
        <v>797188.42845386709</v>
      </c>
      <c r="F681" s="231">
        <f>(F624/F612)*P64</f>
        <v>334895.61416944006</v>
      </c>
      <c r="G681" s="229">
        <f>(G625/G612)*P91</f>
        <v>0</v>
      </c>
      <c r="H681" s="231">
        <f>(H628/H612)*P60</f>
        <v>59921.581344983315</v>
      </c>
      <c r="I681" s="229">
        <f>(I629/I612)*P92</f>
        <v>149817.46078737805</v>
      </c>
      <c r="J681" s="229">
        <f>(J630/J612)*P93</f>
        <v>23674.512783544953</v>
      </c>
      <c r="K681" s="229">
        <f>(K644/K612)*P89</f>
        <v>1580502.8532190067</v>
      </c>
      <c r="L681" s="229">
        <f>(L647/L612)*P94</f>
        <v>108888.37058413844</v>
      </c>
      <c r="M681" s="212">
        <f t="shared" si="29"/>
        <v>3481738</v>
      </c>
      <c r="N681" s="223" t="s">
        <v>625</v>
      </c>
    </row>
    <row r="682" spans="1:14" s="212" customFormat="1" ht="12.6" customHeight="1" x14ac:dyDescent="0.2">
      <c r="A682" s="224">
        <v>7030</v>
      </c>
      <c r="B682" s="223" t="s">
        <v>626</v>
      </c>
      <c r="C682" s="229">
        <f>Q85</f>
        <v>1007927.0000000001</v>
      </c>
      <c r="D682" s="229">
        <f>(D615/D612)*Q90</f>
        <v>98836.181356406218</v>
      </c>
      <c r="E682" s="231">
        <f>(E623/E612)*SUM(C682:D682)</f>
        <v>83758.069313874919</v>
      </c>
      <c r="F682" s="231">
        <f>(F624/F612)*Q64</f>
        <v>441.16254691179125</v>
      </c>
      <c r="G682" s="229">
        <f>(G625/G612)*Q91</f>
        <v>0</v>
      </c>
      <c r="H682" s="231">
        <f>(H628/H612)*Q60</f>
        <v>15288.162655624028</v>
      </c>
      <c r="I682" s="229">
        <f>(I629/I612)*Q92</f>
        <v>34690.005392157</v>
      </c>
      <c r="J682" s="229">
        <f>(J630/J612)*Q93</f>
        <v>0</v>
      </c>
      <c r="K682" s="229">
        <f>(K644/K612)*Q89</f>
        <v>88840.740095082932</v>
      </c>
      <c r="L682" s="229">
        <f>(L647/L612)*Q94</f>
        <v>66646.124430337295</v>
      </c>
      <c r="M682" s="212">
        <f t="shared" si="29"/>
        <v>388500</v>
      </c>
      <c r="N682" s="223" t="s">
        <v>627</v>
      </c>
    </row>
    <row r="683" spans="1:14" s="212" customFormat="1" ht="12.6" customHeight="1" x14ac:dyDescent="0.2">
      <c r="A683" s="224">
        <v>7040</v>
      </c>
      <c r="B683" s="223" t="s">
        <v>133</v>
      </c>
      <c r="C683" s="229">
        <f>R85</f>
        <v>2000525.8499999999</v>
      </c>
      <c r="D683" s="229">
        <f>(D615/D612)*R90</f>
        <v>4412.3295248395634</v>
      </c>
      <c r="E683" s="231">
        <f>(E623/E612)*SUM(C683:D683)</f>
        <v>151730.51818083384</v>
      </c>
      <c r="F683" s="231">
        <f>(F624/F612)*R64</f>
        <v>10409.871713309607</v>
      </c>
      <c r="G683" s="229">
        <f>(G625/G612)*R91</f>
        <v>0</v>
      </c>
      <c r="H683" s="231">
        <f>(H628/H612)*R60</f>
        <v>8216.6716894458732</v>
      </c>
      <c r="I683" s="229">
        <f>(I629/I612)*R92</f>
        <v>1548.6609550070086</v>
      </c>
      <c r="J683" s="229">
        <f>(J630/J612)*R93</f>
        <v>0</v>
      </c>
      <c r="K683" s="229">
        <f>(K644/K612)*R89</f>
        <v>72543.654593305706</v>
      </c>
      <c r="L683" s="229">
        <f>(L647/L612)*R94</f>
        <v>12263.877915619689</v>
      </c>
      <c r="M683" s="212">
        <f t="shared" si="29"/>
        <v>261126</v>
      </c>
      <c r="N683" s="223" t="s">
        <v>628</v>
      </c>
    </row>
    <row r="684" spans="1:14" s="212" customFormat="1" ht="12.6" customHeight="1" x14ac:dyDescent="0.2">
      <c r="A684" s="224">
        <v>7050</v>
      </c>
      <c r="B684" s="223" t="s">
        <v>629</v>
      </c>
      <c r="C684" s="229">
        <f>S85</f>
        <v>1791014.7199999997</v>
      </c>
      <c r="D684" s="229">
        <f>(D615/D612)*S90</f>
        <v>143106.55425562983</v>
      </c>
      <c r="E684" s="231">
        <f>(E623/E612)*SUM(C684:D684)</f>
        <v>146371.2079326711</v>
      </c>
      <c r="F684" s="231">
        <f>(F624/F612)*S64</f>
        <v>73573.710491540347</v>
      </c>
      <c r="G684" s="229">
        <f>(G625/G612)*S91</f>
        <v>0</v>
      </c>
      <c r="H684" s="231">
        <f>(H628/H612)*S60</f>
        <v>25909.713863932109</v>
      </c>
      <c r="I684" s="229">
        <f>(I629/I612)*S92</f>
        <v>50228.236974060645</v>
      </c>
      <c r="J684" s="229">
        <f>(J630/J612)*S93</f>
        <v>0</v>
      </c>
      <c r="K684" s="229">
        <f>(K644/K612)*S89</f>
        <v>183251.51547002312</v>
      </c>
      <c r="L684" s="229">
        <f>(L647/L612)*S94</f>
        <v>0</v>
      </c>
      <c r="M684" s="212">
        <f t="shared" si="29"/>
        <v>622441</v>
      </c>
      <c r="N684" s="223" t="s">
        <v>630</v>
      </c>
    </row>
    <row r="685" spans="1:14" s="212" customFormat="1" ht="12.6" customHeight="1" x14ac:dyDescent="0.2">
      <c r="A685" s="224">
        <v>7060</v>
      </c>
      <c r="B685" s="223" t="s">
        <v>631</v>
      </c>
      <c r="C685" s="229">
        <f>T85</f>
        <v>146360.69</v>
      </c>
      <c r="D685" s="229">
        <f>(D615/D612)*T90</f>
        <v>0</v>
      </c>
      <c r="E685" s="231">
        <f>(E623/E612)*SUM(C685:D685)</f>
        <v>11076.3431819466</v>
      </c>
      <c r="F685" s="231">
        <f>(F624/F612)*T64</f>
        <v>7517.9195320535609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144658.41510330662</v>
      </c>
      <c r="L685" s="229">
        <f>(L647/L612)*T94</f>
        <v>0</v>
      </c>
      <c r="M685" s="212">
        <f t="shared" si="29"/>
        <v>163253</v>
      </c>
      <c r="N685" s="223" t="s">
        <v>632</v>
      </c>
    </row>
    <row r="686" spans="1:14" s="212" customFormat="1" ht="12.6" customHeight="1" x14ac:dyDescent="0.2">
      <c r="A686" s="224">
        <v>7070</v>
      </c>
      <c r="B686" s="223" t="s">
        <v>136</v>
      </c>
      <c r="C686" s="229">
        <f>U85</f>
        <v>5630734.8500000006</v>
      </c>
      <c r="D686" s="229">
        <f>(D615/D612)*U90</f>
        <v>315893.37844834715</v>
      </c>
      <c r="E686" s="231">
        <f>(E623/E612)*SUM(C686:D686)</f>
        <v>450031.32353192003</v>
      </c>
      <c r="F686" s="231">
        <f>(F624/F612)*U64</f>
        <v>78364.68502223547</v>
      </c>
      <c r="G686" s="229">
        <f>(G625/G612)*U91</f>
        <v>0</v>
      </c>
      <c r="H686" s="231">
        <f>(H628/H612)*U60</f>
        <v>69054.397613043358</v>
      </c>
      <c r="I686" s="229">
        <f>(I629/I612)*U92</f>
        <v>110873.79997213511</v>
      </c>
      <c r="J686" s="229">
        <f>(J630/J612)*U93</f>
        <v>0</v>
      </c>
      <c r="K686" s="229">
        <f>(K644/K612)*U89</f>
        <v>2111809.8201175197</v>
      </c>
      <c r="L686" s="229">
        <f>(L647/L612)*U94</f>
        <v>0</v>
      </c>
      <c r="M686" s="212">
        <f t="shared" si="29"/>
        <v>3136027</v>
      </c>
      <c r="N686" s="223" t="s">
        <v>633</v>
      </c>
    </row>
    <row r="687" spans="1:14" s="212" customFormat="1" ht="12.6" customHeight="1" x14ac:dyDescent="0.2">
      <c r="A687" s="224">
        <v>7110</v>
      </c>
      <c r="B687" s="223" t="s">
        <v>634</v>
      </c>
      <c r="C687" s="229">
        <f>V85</f>
        <v>143378.12</v>
      </c>
      <c r="D687" s="229">
        <f>(D615/D612)*V90</f>
        <v>4412.3295248395634</v>
      </c>
      <c r="E687" s="231">
        <f>(E623/E612)*SUM(C687:D687)</f>
        <v>11184.545098491131</v>
      </c>
      <c r="F687" s="231">
        <f>(F624/F612)*V64</f>
        <v>144.29909728781317</v>
      </c>
      <c r="G687" s="229">
        <f>(G625/G612)*V91</f>
        <v>0</v>
      </c>
      <c r="H687" s="231">
        <f>(H628/H612)*V60</f>
        <v>2805.6927720059075</v>
      </c>
      <c r="I687" s="229">
        <f>(I629/I612)*V92</f>
        <v>1548.6609550070086</v>
      </c>
      <c r="J687" s="229">
        <f>(J630/J612)*V93</f>
        <v>0</v>
      </c>
      <c r="K687" s="229">
        <f>(K644/K612)*V89</f>
        <v>8017.9462437852535</v>
      </c>
      <c r="L687" s="229">
        <f>(L647/L612)*V94</f>
        <v>0</v>
      </c>
      <c r="M687" s="212">
        <f t="shared" si="29"/>
        <v>28113</v>
      </c>
      <c r="N687" s="223" t="s">
        <v>635</v>
      </c>
    </row>
    <row r="688" spans="1:14" s="212" customFormat="1" ht="12.6" customHeight="1" x14ac:dyDescent="0.2">
      <c r="A688" s="224">
        <v>7120</v>
      </c>
      <c r="B688" s="223" t="s">
        <v>636</v>
      </c>
      <c r="C688" s="229">
        <f>W85</f>
        <v>712624.25999999989</v>
      </c>
      <c r="D688" s="229">
        <f>(D615/D612)*W90</f>
        <v>163550.34772071982</v>
      </c>
      <c r="E688" s="231">
        <f>(E623/E612)*SUM(C688:D688)</f>
        <v>66307.494467415614</v>
      </c>
      <c r="F688" s="231">
        <f>(F624/F612)*W64</f>
        <v>506.99591205547677</v>
      </c>
      <c r="G688" s="229">
        <f>(G625/G612)*W91</f>
        <v>0</v>
      </c>
      <c r="H688" s="231">
        <f>(H628/H612)*W60</f>
        <v>8732.0030149163449</v>
      </c>
      <c r="I688" s="229">
        <f>(I629/I612)*W92</f>
        <v>57403.699398926459</v>
      </c>
      <c r="J688" s="229">
        <f>(J630/J612)*W93</f>
        <v>0</v>
      </c>
      <c r="K688" s="229">
        <f>(K644/K612)*W89</f>
        <v>224048.47828890418</v>
      </c>
      <c r="L688" s="229">
        <f>(L647/L612)*W94</f>
        <v>0</v>
      </c>
      <c r="M688" s="212">
        <f t="shared" si="29"/>
        <v>520549</v>
      </c>
      <c r="N688" s="223" t="s">
        <v>637</v>
      </c>
    </row>
    <row r="689" spans="1:14" s="212" customFormat="1" ht="12.6" customHeight="1" x14ac:dyDescent="0.2">
      <c r="A689" s="224">
        <v>7130</v>
      </c>
      <c r="B689" s="223" t="s">
        <v>638</v>
      </c>
      <c r="C689" s="229">
        <f>X85</f>
        <v>1576239.55</v>
      </c>
      <c r="D689" s="229">
        <f>(D615/D612)*X90</f>
        <v>93247.230624942778</v>
      </c>
      <c r="E689" s="231">
        <f>(E623/E612)*SUM(C689:D689)</f>
        <v>126344.09225540729</v>
      </c>
      <c r="F689" s="231">
        <f>(F624/F612)*X64</f>
        <v>7731.630129260202</v>
      </c>
      <c r="G689" s="229">
        <f>(G625/G612)*X91</f>
        <v>0</v>
      </c>
      <c r="H689" s="231">
        <f>(H628/H612)*X60</f>
        <v>18780.963861590564</v>
      </c>
      <c r="I689" s="229">
        <f>(I629/I612)*X92</f>
        <v>32728.368182481452</v>
      </c>
      <c r="J689" s="229">
        <f>(J630/J612)*X93</f>
        <v>4101.826657293158</v>
      </c>
      <c r="K689" s="229">
        <f>(K644/K612)*X89</f>
        <v>1179691.3501641827</v>
      </c>
      <c r="L689" s="229">
        <f>(L647/L612)*X94</f>
        <v>0</v>
      </c>
      <c r="M689" s="212">
        <f t="shared" si="29"/>
        <v>1462625</v>
      </c>
      <c r="N689" s="223" t="s">
        <v>639</v>
      </c>
    </row>
    <row r="690" spans="1:14" s="212" customFormat="1" ht="12.6" customHeight="1" x14ac:dyDescent="0.2">
      <c r="A690" s="224">
        <v>7140</v>
      </c>
      <c r="B690" s="223" t="s">
        <v>640</v>
      </c>
      <c r="C690" s="229">
        <f>Y85</f>
        <v>6152121.2599999998</v>
      </c>
      <c r="D690" s="229">
        <f>(D615/D612)*Y90</f>
        <v>491121.69164480903</v>
      </c>
      <c r="E690" s="231">
        <f>(E623/E612)*SUM(C690:D690)</f>
        <v>502750.01281741564</v>
      </c>
      <c r="F690" s="231">
        <f>(F624/F612)*Y64</f>
        <v>11155.2450598057</v>
      </c>
      <c r="G690" s="229">
        <f>(G625/G612)*Y91</f>
        <v>0</v>
      </c>
      <c r="H690" s="231">
        <f>(H628/H612)*Y60</f>
        <v>77528.734965224459</v>
      </c>
      <c r="I690" s="229">
        <f>(I629/I612)*Y92</f>
        <v>172376.28869864679</v>
      </c>
      <c r="J690" s="229">
        <f>(J630/J612)*Y93</f>
        <v>32429.017368845383</v>
      </c>
      <c r="K690" s="229">
        <f>(K644/K612)*Y89</f>
        <v>1156468.1651882657</v>
      </c>
      <c r="L690" s="229">
        <f>(L647/L612)*Y94</f>
        <v>21802.449627768336</v>
      </c>
      <c r="M690" s="212">
        <f t="shared" si="29"/>
        <v>2465632</v>
      </c>
      <c r="N690" s="223" t="s">
        <v>641</v>
      </c>
    </row>
    <row r="691" spans="1:14" s="212" customFormat="1" ht="12.6" customHeight="1" x14ac:dyDescent="0.2">
      <c r="A691" s="224">
        <v>7150</v>
      </c>
      <c r="B691" s="223" t="s">
        <v>642</v>
      </c>
      <c r="C691" s="229">
        <f>Z85</f>
        <v>6016870.4500000002</v>
      </c>
      <c r="D691" s="229">
        <f>(D615/D612)*Z90</f>
        <v>0</v>
      </c>
      <c r="E691" s="231">
        <f>(E623/E612)*SUM(C691:D691)</f>
        <v>455347.14263449755</v>
      </c>
      <c r="F691" s="231">
        <f>(F624/F612)*Z64</f>
        <v>309049.83135178284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834307.99426231417</v>
      </c>
      <c r="L691" s="229">
        <f>(L647/L612)*Z94</f>
        <v>0</v>
      </c>
      <c r="M691" s="212">
        <f t="shared" si="29"/>
        <v>1598705</v>
      </c>
      <c r="N691" s="223" t="s">
        <v>643</v>
      </c>
    </row>
    <row r="692" spans="1:14" s="212" customFormat="1" ht="12.6" customHeight="1" x14ac:dyDescent="0.2">
      <c r="A692" s="224">
        <v>7160</v>
      </c>
      <c r="B692" s="223" t="s">
        <v>644</v>
      </c>
      <c r="C692" s="229">
        <f>AA85</f>
        <v>393712.46</v>
      </c>
      <c r="D692" s="229">
        <f>(D615/D612)*AA90</f>
        <v>124927.75661329084</v>
      </c>
      <c r="E692" s="231">
        <f>(E623/E612)*SUM(C692:D692)</f>
        <v>39249.862973233678</v>
      </c>
      <c r="F692" s="231">
        <f>(F624/F612)*AA64</f>
        <v>2275.2042018541511</v>
      </c>
      <c r="G692" s="229">
        <f>(G625/G612)*AA91</f>
        <v>0</v>
      </c>
      <c r="H692" s="231">
        <f>(H628/H612)*AA60</f>
        <v>4924.2771100511845</v>
      </c>
      <c r="I692" s="229">
        <f>(I629/I612)*AA92</f>
        <v>43847.753839431767</v>
      </c>
      <c r="J692" s="229">
        <f>(J630/J612)*AA93</f>
        <v>0</v>
      </c>
      <c r="K692" s="229">
        <f>(K644/K612)*AA89</f>
        <v>84601.784302924061</v>
      </c>
      <c r="L692" s="229">
        <f>(L647/L612)*AA94</f>
        <v>12016.12280621323</v>
      </c>
      <c r="M692" s="212">
        <f t="shared" si="29"/>
        <v>311843</v>
      </c>
      <c r="N692" s="223" t="s">
        <v>645</v>
      </c>
    </row>
    <row r="693" spans="1:14" s="212" customFormat="1" ht="12.6" customHeight="1" x14ac:dyDescent="0.2">
      <c r="A693" s="224">
        <v>7170</v>
      </c>
      <c r="B693" s="223" t="s">
        <v>142</v>
      </c>
      <c r="C693" s="229">
        <f>AB85</f>
        <v>5893942.1000000006</v>
      </c>
      <c r="D693" s="229">
        <f>(D615/D612)*AB90</f>
        <v>114838.22976649104</v>
      </c>
      <c r="E693" s="231">
        <f>(E623/E612)*SUM(C693:D693)</f>
        <v>454734.89526063268</v>
      </c>
      <c r="F693" s="231">
        <f>(F624/F612)*AB64</f>
        <v>153276.73349250774</v>
      </c>
      <c r="G693" s="229">
        <f>(G625/G612)*AB91</f>
        <v>0</v>
      </c>
      <c r="H693" s="231">
        <f>(H628/H612)*AB60</f>
        <v>44261.234954297281</v>
      </c>
      <c r="I693" s="229">
        <f>(I629/I612)*AB92</f>
        <v>40306.482455649086</v>
      </c>
      <c r="J693" s="229">
        <f>(J630/J612)*AB93</f>
        <v>0</v>
      </c>
      <c r="K693" s="229">
        <f>(K644/K612)*AB89</f>
        <v>310531.55862243433</v>
      </c>
      <c r="L693" s="229">
        <f>(L647/L612)*AB94</f>
        <v>0</v>
      </c>
      <c r="M693" s="212">
        <f t="shared" si="29"/>
        <v>1117949</v>
      </c>
      <c r="N693" s="223" t="s">
        <v>646</v>
      </c>
    </row>
    <row r="694" spans="1:14" s="212" customFormat="1" ht="12.6" customHeight="1" x14ac:dyDescent="0.2">
      <c r="A694" s="224">
        <v>7180</v>
      </c>
      <c r="B694" s="223" t="s">
        <v>647</v>
      </c>
      <c r="C694" s="229">
        <f>AC85</f>
        <v>1986634.28</v>
      </c>
      <c r="D694" s="229">
        <f>(D615/D612)*AC90</f>
        <v>119338.8058818274</v>
      </c>
      <c r="E694" s="231">
        <f>(E623/E612)*SUM(C694:D694)</f>
        <v>159376.67847268432</v>
      </c>
      <c r="F694" s="231">
        <f>(F624/F612)*AC64</f>
        <v>15952.810837333251</v>
      </c>
      <c r="G694" s="229">
        <f>(G625/G612)*AC91</f>
        <v>0</v>
      </c>
      <c r="H694" s="231">
        <f>(H628/H612)*AC60</f>
        <v>33840.090372561048</v>
      </c>
      <c r="I694" s="229">
        <f>(I629/I612)*AC92</f>
        <v>41886.11662975623</v>
      </c>
      <c r="J694" s="229">
        <f>(J630/J612)*AC93</f>
        <v>0</v>
      </c>
      <c r="K694" s="229">
        <f>(K644/K612)*AC89</f>
        <v>433338.22570954706</v>
      </c>
      <c r="L694" s="229">
        <f>(L647/L612)*AC94</f>
        <v>0</v>
      </c>
      <c r="M694" s="212">
        <f t="shared" si="29"/>
        <v>803733</v>
      </c>
      <c r="N694" s="223" t="s">
        <v>648</v>
      </c>
    </row>
    <row r="695" spans="1:14" s="212" customFormat="1" ht="12.6" customHeight="1" x14ac:dyDescent="0.2">
      <c r="A695" s="224">
        <v>7190</v>
      </c>
      <c r="B695" s="223" t="s">
        <v>144</v>
      </c>
      <c r="C695" s="229">
        <f>AD85</f>
        <v>40907</v>
      </c>
      <c r="D695" s="229">
        <f>(D615/D612)*AD90</f>
        <v>103160.26429074899</v>
      </c>
      <c r="E695" s="231">
        <f>(E623/E612)*SUM(C695:D695)</f>
        <v>10902.780388426267</v>
      </c>
      <c r="F695" s="231">
        <f>(F624/F612)*AD64</f>
        <v>0</v>
      </c>
      <c r="G695" s="229">
        <f>(G625/G612)*AD91</f>
        <v>283639.09814498975</v>
      </c>
      <c r="H695" s="231">
        <f>(H628/H612)*AD60</f>
        <v>0</v>
      </c>
      <c r="I695" s="229">
        <f>(I629/I612)*AD92</f>
        <v>36207.693128063867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9"/>
        <v>433910</v>
      </c>
      <c r="N695" s="223" t="s">
        <v>649</v>
      </c>
    </row>
    <row r="696" spans="1:14" s="212" customFormat="1" ht="12.6" customHeight="1" x14ac:dyDescent="0.2">
      <c r="A696" s="224">
        <v>7200</v>
      </c>
      <c r="B696" s="223" t="s">
        <v>650</v>
      </c>
      <c r="C696" s="229">
        <f>AE85</f>
        <v>3457677.37</v>
      </c>
      <c r="D696" s="229">
        <f>(D615/D612)*AE90</f>
        <v>239824.81744011308</v>
      </c>
      <c r="E696" s="231">
        <f>(E623/E612)*SUM(C696:D696)</f>
        <v>279821.05812759517</v>
      </c>
      <c r="F696" s="231">
        <f>(F624/F612)*AE64</f>
        <v>6152.6900675502893</v>
      </c>
      <c r="G696" s="229">
        <f>(G625/G612)*AE91</f>
        <v>0</v>
      </c>
      <c r="H696" s="231">
        <f>(H628/H612)*AE60</f>
        <v>55083.192789177207</v>
      </c>
      <c r="I696" s="229">
        <f>(I629/I612)*AE92</f>
        <v>84174.885107814276</v>
      </c>
      <c r="J696" s="229">
        <f>(J630/J612)*AE93</f>
        <v>12054.909820688785</v>
      </c>
      <c r="K696" s="229">
        <f>(K644/K612)*AE89</f>
        <v>210116.37123346099</v>
      </c>
      <c r="L696" s="229">
        <f>(L647/L612)*AE94</f>
        <v>5078.9797428323964</v>
      </c>
      <c r="M696" s="212">
        <f t="shared" si="29"/>
        <v>892307</v>
      </c>
      <c r="N696" s="223" t="s">
        <v>651</v>
      </c>
    </row>
    <row r="697" spans="1:14" s="212" customFormat="1" ht="12.6" customHeight="1" x14ac:dyDescent="0.2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9"/>
        <v>0</v>
      </c>
      <c r="N697" s="223" t="s">
        <v>653</v>
      </c>
    </row>
    <row r="698" spans="1:14" s="212" customFormat="1" ht="12.6" customHeight="1" x14ac:dyDescent="0.2">
      <c r="A698" s="224">
        <v>7230</v>
      </c>
      <c r="B698" s="223" t="s">
        <v>654</v>
      </c>
      <c r="C698" s="229">
        <f>AG85</f>
        <v>11307033.740000002</v>
      </c>
      <c r="D698" s="229">
        <f>(D615/D612)*AG90</f>
        <v>368047.1134319508</v>
      </c>
      <c r="E698" s="231">
        <f>(E623/E612)*SUM(C698:D698)</f>
        <v>883551.46596798848</v>
      </c>
      <c r="F698" s="231">
        <f>(F624/F612)*AG64</f>
        <v>38951.80425323049</v>
      </c>
      <c r="G698" s="229">
        <f>(G625/G612)*AG91</f>
        <v>42435.437931591907</v>
      </c>
      <c r="H698" s="231">
        <f>(H628/H612)*AG60</f>
        <v>67594.292190877022</v>
      </c>
      <c r="I698" s="229">
        <f>(I629/I612)*AG92</f>
        <v>129178.97246031795</v>
      </c>
      <c r="J698" s="229">
        <f>(J630/J612)*AG93</f>
        <v>69068.016339599752</v>
      </c>
      <c r="K698" s="229">
        <f>(K644/K612)*AG89</f>
        <v>1407333.3654148432</v>
      </c>
      <c r="L698" s="229">
        <f>(L647/L612)*AG94</f>
        <v>255311.64024335533</v>
      </c>
      <c r="M698" s="212">
        <f t="shared" si="29"/>
        <v>3261472</v>
      </c>
      <c r="N698" s="223" t="s">
        <v>655</v>
      </c>
    </row>
    <row r="699" spans="1:14" s="212" customFormat="1" ht="12.6" customHeight="1" x14ac:dyDescent="0.2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9"/>
        <v>0</v>
      </c>
      <c r="N699" s="223" t="s">
        <v>656</v>
      </c>
    </row>
    <row r="700" spans="1:14" s="212" customFormat="1" ht="12.6" customHeight="1" x14ac:dyDescent="0.2">
      <c r="A700" s="224">
        <v>7250</v>
      </c>
      <c r="B700" s="223" t="s">
        <v>657</v>
      </c>
      <c r="C700" s="229">
        <f>AI85</f>
        <v>3125798.0999999996</v>
      </c>
      <c r="D700" s="229">
        <f>(D615/D612)*AI90</f>
        <v>606342.32330345281</v>
      </c>
      <c r="E700" s="231">
        <f>(E623/E612)*SUM(C700:D700)</f>
        <v>282442.42447698559</v>
      </c>
      <c r="F700" s="231">
        <f>(F624/F612)*AI64</f>
        <v>14776.80594007236</v>
      </c>
      <c r="G700" s="229">
        <f>(G625/G612)*AI91</f>
        <v>67557.532692209046</v>
      </c>
      <c r="H700" s="231">
        <f>(H628/H612)*AI60</f>
        <v>57030.000018732331</v>
      </c>
      <c r="I700" s="229">
        <f>(I629/I612)*AI92</f>
        <v>212816.98843706315</v>
      </c>
      <c r="J700" s="229">
        <f>(J630/J612)*AI93</f>
        <v>31316.566509939803</v>
      </c>
      <c r="K700" s="229">
        <f>(K644/K612)*AI89</f>
        <v>339520.989597885</v>
      </c>
      <c r="L700" s="229">
        <f>(L647/L612)*AI94</f>
        <v>162155.71910652699</v>
      </c>
      <c r="M700" s="212">
        <f t="shared" si="29"/>
        <v>1773959</v>
      </c>
      <c r="N700" s="223" t="s">
        <v>658</v>
      </c>
    </row>
    <row r="701" spans="1:14" s="212" customFormat="1" ht="12.6" customHeight="1" x14ac:dyDescent="0.2">
      <c r="A701" s="224">
        <v>7260</v>
      </c>
      <c r="B701" s="223" t="s">
        <v>148</v>
      </c>
      <c r="C701" s="229">
        <f>AJ85</f>
        <v>1979061.71</v>
      </c>
      <c r="D701" s="229">
        <f>(D615/D612)*AJ90</f>
        <v>35063.311957391728</v>
      </c>
      <c r="E701" s="231">
        <f>(E623/E612)*SUM(C701:D701)</f>
        <v>152425.7637385134</v>
      </c>
      <c r="F701" s="231">
        <f>(F624/F612)*AJ64</f>
        <v>14816.59227157942</v>
      </c>
      <c r="G701" s="229">
        <f>(G625/G612)*AJ91</f>
        <v>0</v>
      </c>
      <c r="H701" s="231">
        <f>(H628/H612)*AJ60</f>
        <v>49185.512064348462</v>
      </c>
      <c r="I701" s="229">
        <f>(I629/I612)*AJ92</f>
        <v>12306.692389122363</v>
      </c>
      <c r="J701" s="229">
        <f>(J630/J612)*AJ93</f>
        <v>0</v>
      </c>
      <c r="K701" s="229">
        <f>(K644/K612)*AJ89</f>
        <v>502469.19714630622</v>
      </c>
      <c r="L701" s="229">
        <f>(L647/L612)*AJ94</f>
        <v>119665.71784331939</v>
      </c>
      <c r="M701" s="212">
        <f t="shared" si="29"/>
        <v>885933</v>
      </c>
      <c r="N701" s="223" t="s">
        <v>659</v>
      </c>
    </row>
    <row r="702" spans="1:14" s="212" customFormat="1" ht="12.6" customHeight="1" x14ac:dyDescent="0.2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9"/>
        <v>0</v>
      </c>
      <c r="N702" s="223" t="s">
        <v>661</v>
      </c>
    </row>
    <row r="703" spans="1:14" s="212" customFormat="1" ht="12.6" customHeight="1" x14ac:dyDescent="0.2">
      <c r="A703" s="224">
        <v>7320</v>
      </c>
      <c r="B703" s="223" t="s">
        <v>662</v>
      </c>
      <c r="C703" s="229">
        <f>AL85</f>
        <v>488974.28</v>
      </c>
      <c r="D703" s="229">
        <f>(D615/D612)*AL90</f>
        <v>5883.1060331194185</v>
      </c>
      <c r="E703" s="231">
        <f>(E623/E612)*SUM(C703:D703)</f>
        <v>37450.016352231323</v>
      </c>
      <c r="F703" s="231">
        <f>(F624/F612)*AL64</f>
        <v>112.69121279335529</v>
      </c>
      <c r="G703" s="229">
        <f>(G625/G612)*AL91</f>
        <v>0</v>
      </c>
      <c r="H703" s="231">
        <f>(H628/H612)*AL60</f>
        <v>10306.626509409458</v>
      </c>
      <c r="I703" s="229">
        <f>(I629/I612)*AL92</f>
        <v>2064.8812733426785</v>
      </c>
      <c r="J703" s="229">
        <f>(J630/J612)*AL93</f>
        <v>0</v>
      </c>
      <c r="K703" s="229">
        <f>(K644/K612)*AL89</f>
        <v>51008.973603812752</v>
      </c>
      <c r="L703" s="229">
        <f>(L647/L612)*AL94</f>
        <v>0</v>
      </c>
      <c r="M703" s="212">
        <f t="shared" si="29"/>
        <v>106826</v>
      </c>
      <c r="N703" s="223" t="s">
        <v>663</v>
      </c>
    </row>
    <row r="704" spans="1:14" s="212" customFormat="1" ht="12.6" customHeight="1" x14ac:dyDescent="0.2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9"/>
        <v>0</v>
      </c>
      <c r="N704" s="223" t="s">
        <v>665</v>
      </c>
    </row>
    <row r="705" spans="1:14" s="212" customFormat="1" ht="12.6" customHeight="1" x14ac:dyDescent="0.2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9"/>
        <v>0</v>
      </c>
      <c r="N705" s="223" t="s">
        <v>667</v>
      </c>
    </row>
    <row r="706" spans="1:14" s="212" customFormat="1" ht="12.6" customHeight="1" x14ac:dyDescent="0.2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9"/>
        <v>0</v>
      </c>
      <c r="N706" s="223" t="s">
        <v>669</v>
      </c>
    </row>
    <row r="707" spans="1:14" s="212" customFormat="1" ht="12.6" customHeight="1" x14ac:dyDescent="0.2">
      <c r="A707" s="224">
        <v>7380</v>
      </c>
      <c r="B707" s="223" t="s">
        <v>670</v>
      </c>
      <c r="C707" s="229">
        <f>AP85</f>
        <v>37579595.429999992</v>
      </c>
      <c r="D707" s="229">
        <f>(D615/D612)*AP90</f>
        <v>2722377.9012958449</v>
      </c>
      <c r="E707" s="231">
        <f>(E623/E612)*SUM(C707:D707)</f>
        <v>3049988.9521366181</v>
      </c>
      <c r="F707" s="231">
        <f>(F624/F612)*AP64</f>
        <v>57328.578473577734</v>
      </c>
      <c r="G707" s="229">
        <f>(G625/G612)*AP91</f>
        <v>0</v>
      </c>
      <c r="H707" s="231">
        <f>(H628/H612)*AP60</f>
        <v>511494.970047526</v>
      </c>
      <c r="I707" s="229">
        <f>(I629/I612)*AP92</f>
        <v>955513.48483295774</v>
      </c>
      <c r="J707" s="229">
        <f>(J630/J612)*AP93</f>
        <v>0</v>
      </c>
      <c r="K707" s="229">
        <f>(K644/K612)*AP89</f>
        <v>1542130.0061502554</v>
      </c>
      <c r="L707" s="229">
        <f>(L647/L612)*AP94</f>
        <v>27996.327362929791</v>
      </c>
      <c r="M707" s="212">
        <f t="shared" si="29"/>
        <v>8866830</v>
      </c>
      <c r="N707" s="223" t="s">
        <v>671</v>
      </c>
    </row>
    <row r="708" spans="1:14" s="212" customFormat="1" ht="12.6" customHeight="1" x14ac:dyDescent="0.2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9"/>
        <v>0</v>
      </c>
      <c r="N708" s="223" t="s">
        <v>673</v>
      </c>
    </row>
    <row r="709" spans="1:14" s="212" customFormat="1" ht="12.6" customHeight="1" x14ac:dyDescent="0.2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9"/>
        <v>0</v>
      </c>
      <c r="N709" s="223" t="s">
        <v>675</v>
      </c>
    </row>
    <row r="710" spans="1:14" s="212" customFormat="1" ht="12.6" customHeight="1" x14ac:dyDescent="0.2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9"/>
        <v>0</v>
      </c>
      <c r="N710" s="223" t="s">
        <v>676</v>
      </c>
    </row>
    <row r="711" spans="1:14" s="212" customFormat="1" ht="12.6" customHeight="1" x14ac:dyDescent="0.2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9"/>
        <v>0</v>
      </c>
      <c r="N711" s="223" t="s">
        <v>678</v>
      </c>
    </row>
    <row r="712" spans="1:14" s="212" customFormat="1" ht="12.6" customHeight="1" x14ac:dyDescent="0.2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9"/>
        <v>0</v>
      </c>
      <c r="N712" s="223" t="s">
        <v>680</v>
      </c>
    </row>
    <row r="713" spans="1:14" s="212" customFormat="1" ht="12.6" customHeight="1" x14ac:dyDescent="0.2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9"/>
        <v>0</v>
      </c>
      <c r="N713" s="225" t="s">
        <v>682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170045867.69999999</v>
      </c>
      <c r="D715" s="212">
        <f>SUM(D616:D647)+SUM(D668:D713)</f>
        <v>11885433.210000001</v>
      </c>
      <c r="E715" s="212">
        <f>SUM(E624:E647)+SUM(E668:E713)</f>
        <v>11963426.579186006</v>
      </c>
      <c r="F715" s="212">
        <f>SUM(F625:F648)+SUM(F668:F713)</f>
        <v>1296717.6009470292</v>
      </c>
      <c r="G715" s="212">
        <f>SUM(G626:G647)+SUM(G668:G713)</f>
        <v>1945128.4704684427</v>
      </c>
      <c r="H715" s="212">
        <f>SUM(H629:H647)+SUM(H668:H713)</f>
        <v>1921699.1421974748</v>
      </c>
      <c r="I715" s="212">
        <f>SUM(I630:I647)+SUM(I668:I713)</f>
        <v>2972623.7299168534</v>
      </c>
      <c r="J715" s="212">
        <f>SUM(J631:J647)+SUM(J668:J713)</f>
        <v>357701.31856679189</v>
      </c>
      <c r="K715" s="212">
        <f>SUM(K668:K713)</f>
        <v>14274825.180629551</v>
      </c>
      <c r="L715" s="212">
        <f>SUM(L668:L713)</f>
        <v>2066649.2451139723</v>
      </c>
      <c r="M715" s="212">
        <f>SUM(M668:M713)</f>
        <v>42368504</v>
      </c>
      <c r="N715" s="223" t="s">
        <v>683</v>
      </c>
    </row>
    <row r="716" spans="1:14" s="212" customFormat="1" ht="12.6" customHeight="1" x14ac:dyDescent="0.2">
      <c r="C716" s="226">
        <f>CE85</f>
        <v>170045867.69999993</v>
      </c>
      <c r="D716" s="212">
        <f>D615</f>
        <v>11885433.210000001</v>
      </c>
      <c r="E716" s="212">
        <f>E623</f>
        <v>11963426.579186</v>
      </c>
      <c r="F716" s="212">
        <f>F624</f>
        <v>1296717.6009470287</v>
      </c>
      <c r="G716" s="212">
        <f>G625</f>
        <v>1945128.4704684427</v>
      </c>
      <c r="H716" s="212">
        <f>H628</f>
        <v>1921699.1421974751</v>
      </c>
      <c r="I716" s="212">
        <f>I629</f>
        <v>2972623.7299168524</v>
      </c>
      <c r="J716" s="212">
        <f>J630</f>
        <v>357701.31856679195</v>
      </c>
      <c r="K716" s="212">
        <f>K644</f>
        <v>14274825.180629551</v>
      </c>
      <c r="L716" s="212">
        <f>L647</f>
        <v>2066649.2451139723</v>
      </c>
      <c r="M716" s="212">
        <f>C648</f>
        <v>42368504.480000004</v>
      </c>
      <c r="N716" s="223" t="s">
        <v>684</v>
      </c>
    </row>
  </sheetData>
  <sheetProtection algorithmName="SHA-512" hashValue="TzmVuPrjvbtKySPJfoxQB7sL5XSanJ+982rq8KQkHWg2dp2JLOe/JUGDah2mzpDGwPfgIomGnRouax3FHvGn2Q==" saltValue="ErL9QKeR6gP6YnGlY6gVRA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G179"/>
  <sheetViews>
    <sheetView zoomScaleNormal="100" workbookViewId="0">
      <selection activeCell="I62" sqref="I62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890</v>
      </c>
      <c r="B1" s="178"/>
      <c r="C1" s="178"/>
    </row>
    <row r="2" spans="1:3" ht="20.100000000000001" customHeight="1" x14ac:dyDescent="0.25">
      <c r="A2" s="177"/>
      <c r="B2" s="178"/>
      <c r="C2" s="103" t="s">
        <v>891</v>
      </c>
    </row>
    <row r="3" spans="1:3" ht="20.100000000000001" customHeight="1" x14ac:dyDescent="0.25">
      <c r="A3" s="129" t="str">
        <f>"Hospital: "&amp;data!C98</f>
        <v>Hospital: RCCH Trios Health LLC</v>
      </c>
      <c r="B3" s="179"/>
      <c r="C3" s="151" t="str">
        <f>"FYE: "&amp;data!C96</f>
        <v>FYE: 12/31/2023</v>
      </c>
    </row>
    <row r="4" spans="1:3" ht="20.100000000000001" customHeight="1" x14ac:dyDescent="0.25">
      <c r="A4" s="180"/>
      <c r="B4" s="181" t="s">
        <v>892</v>
      </c>
      <c r="C4" s="182"/>
    </row>
    <row r="5" spans="1:3" ht="20.100000000000001" customHeight="1" x14ac:dyDescent="0.25">
      <c r="A5" s="183">
        <v>1</v>
      </c>
      <c r="B5" s="184" t="s">
        <v>410</v>
      </c>
      <c r="C5" s="184"/>
    </row>
    <row r="6" spans="1:3" ht="20.100000000000001" customHeight="1" x14ac:dyDescent="0.25">
      <c r="A6" s="183">
        <v>2</v>
      </c>
      <c r="B6" s="185" t="s">
        <v>411</v>
      </c>
      <c r="C6" s="185">
        <f>data!C266</f>
        <v>-1996778</v>
      </c>
    </row>
    <row r="7" spans="1:3" ht="20.100000000000001" customHeight="1" x14ac:dyDescent="0.25">
      <c r="A7" s="183">
        <v>3</v>
      </c>
      <c r="B7" s="185" t="s">
        <v>412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413</v>
      </c>
      <c r="C8" s="185">
        <f>data!C268</f>
        <v>123269504</v>
      </c>
    </row>
    <row r="9" spans="1:3" ht="20.100000000000001" customHeight="1" x14ac:dyDescent="0.25">
      <c r="A9" s="183">
        <v>5</v>
      </c>
      <c r="B9" s="185" t="s">
        <v>893</v>
      </c>
      <c r="C9" s="185">
        <f>data!C269</f>
        <v>99304293</v>
      </c>
    </row>
    <row r="10" spans="1:3" ht="20.100000000000001" customHeight="1" x14ac:dyDescent="0.25">
      <c r="A10" s="183">
        <v>6</v>
      </c>
      <c r="B10" s="185" t="s">
        <v>894</v>
      </c>
      <c r="C10" s="185">
        <f>data!C270</f>
        <v>616553</v>
      </c>
    </row>
    <row r="11" spans="1:3" ht="20.100000000000001" customHeight="1" x14ac:dyDescent="0.25">
      <c r="A11" s="183">
        <v>7</v>
      </c>
      <c r="B11" s="185" t="s">
        <v>895</v>
      </c>
      <c r="C11" s="185">
        <f>data!C271</f>
        <v>2974339</v>
      </c>
    </row>
    <row r="12" spans="1:3" ht="20.100000000000001" customHeight="1" x14ac:dyDescent="0.25">
      <c r="A12" s="183">
        <v>8</v>
      </c>
      <c r="B12" s="185" t="s">
        <v>417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418</v>
      </c>
      <c r="C13" s="185">
        <f>data!C273</f>
        <v>3980616</v>
      </c>
    </row>
    <row r="14" spans="1:3" ht="20.100000000000001" customHeight="1" x14ac:dyDescent="0.25">
      <c r="A14" s="183">
        <v>10</v>
      </c>
      <c r="B14" s="185" t="s">
        <v>419</v>
      </c>
      <c r="C14" s="185">
        <f>data!C274</f>
        <v>5337060</v>
      </c>
    </row>
    <row r="15" spans="1:3" ht="20.100000000000001" customHeight="1" x14ac:dyDescent="0.25">
      <c r="A15" s="183">
        <v>11</v>
      </c>
      <c r="B15" s="185" t="s">
        <v>896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897</v>
      </c>
      <c r="C16" s="185">
        <f>data!D276</f>
        <v>34877001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898</v>
      </c>
      <c r="C18" s="184"/>
    </row>
    <row r="19" spans="1:3" ht="20.100000000000001" customHeight="1" x14ac:dyDescent="0.25">
      <c r="A19" s="183">
        <v>15</v>
      </c>
      <c r="B19" s="185" t="s">
        <v>411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412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423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899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900</v>
      </c>
      <c r="C24" s="184"/>
    </row>
    <row r="25" spans="1:3" ht="20.100000000000001" customHeight="1" x14ac:dyDescent="0.25">
      <c r="A25" s="183">
        <v>21</v>
      </c>
      <c r="B25" s="185" t="s">
        <v>380</v>
      </c>
      <c r="C25" s="185">
        <f>data!C283</f>
        <v>11461163</v>
      </c>
    </row>
    <row r="26" spans="1:3" ht="20.100000000000001" customHeight="1" x14ac:dyDescent="0.25">
      <c r="A26" s="183">
        <v>22</v>
      </c>
      <c r="B26" s="185" t="s">
        <v>381</v>
      </c>
      <c r="C26" s="185">
        <f>data!C284</f>
        <v>416308</v>
      </c>
    </row>
    <row r="27" spans="1:3" ht="20.100000000000001" customHeight="1" x14ac:dyDescent="0.25">
      <c r="A27" s="183">
        <v>23</v>
      </c>
      <c r="B27" s="185" t="s">
        <v>382</v>
      </c>
      <c r="C27" s="185">
        <f>data!C285</f>
        <v>16406399</v>
      </c>
    </row>
    <row r="28" spans="1:3" ht="20.100000000000001" customHeight="1" x14ac:dyDescent="0.25">
      <c r="A28" s="183">
        <v>24</v>
      </c>
      <c r="B28" s="185" t="s">
        <v>901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384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428</v>
      </c>
      <c r="C30" s="185">
        <f>data!C288</f>
        <v>24212757</v>
      </c>
    </row>
    <row r="31" spans="1:3" ht="20.100000000000001" customHeight="1" x14ac:dyDescent="0.25">
      <c r="A31" s="183">
        <v>27</v>
      </c>
      <c r="B31" s="185" t="s">
        <v>387</v>
      </c>
      <c r="C31" s="185">
        <f>data!C289</f>
        <v>29183444</v>
      </c>
    </row>
    <row r="32" spans="1:3" ht="20.100000000000001" customHeight="1" x14ac:dyDescent="0.25">
      <c r="A32" s="183">
        <v>28</v>
      </c>
      <c r="B32" s="185" t="s">
        <v>388</v>
      </c>
      <c r="C32" s="185">
        <f>data!C290</f>
        <v>256403</v>
      </c>
    </row>
    <row r="33" spans="1:3" ht="20.100000000000001" customHeight="1" x14ac:dyDescent="0.25">
      <c r="A33" s="183">
        <v>29</v>
      </c>
      <c r="B33" s="185" t="s">
        <v>601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902</v>
      </c>
      <c r="C34" s="185">
        <f>data!C292</f>
        <v>16897588</v>
      </c>
    </row>
    <row r="35" spans="1:3" ht="20.100000000000001" customHeight="1" x14ac:dyDescent="0.25">
      <c r="A35" s="183">
        <v>31</v>
      </c>
      <c r="B35" s="185" t="s">
        <v>903</v>
      </c>
      <c r="C35" s="185">
        <f>data!D293</f>
        <v>65038886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904</v>
      </c>
      <c r="C37" s="184"/>
    </row>
    <row r="38" spans="1:3" ht="20.100000000000001" customHeight="1" x14ac:dyDescent="0.25">
      <c r="A38" s="183">
        <v>34</v>
      </c>
      <c r="B38" s="185" t="s">
        <v>905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906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435</v>
      </c>
      <c r="C40" s="185">
        <f>data!C297</f>
        <v>270824</v>
      </c>
    </row>
    <row r="41" spans="1:3" ht="20.100000000000001" customHeight="1" x14ac:dyDescent="0.25">
      <c r="A41" s="183">
        <v>37</v>
      </c>
      <c r="B41" s="185" t="s">
        <v>423</v>
      </c>
      <c r="C41" s="185">
        <f>data!C298</f>
        <v>1824919</v>
      </c>
    </row>
    <row r="42" spans="1:3" ht="20.100000000000001" customHeight="1" x14ac:dyDescent="0.25">
      <c r="A42" s="183">
        <v>38</v>
      </c>
      <c r="B42" s="185" t="s">
        <v>907</v>
      </c>
      <c r="C42" s="185">
        <f>data!D299</f>
        <v>2095743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908</v>
      </c>
      <c r="C44" s="184"/>
    </row>
    <row r="45" spans="1:3" ht="20.100000000000001" customHeight="1" x14ac:dyDescent="0.25">
      <c r="A45" s="183">
        <v>41</v>
      </c>
      <c r="B45" s="185" t="s">
        <v>438</v>
      </c>
      <c r="C45" s="185">
        <f>data!C302</f>
        <v>22280144</v>
      </c>
    </row>
    <row r="46" spans="1:3" ht="20.100000000000001" customHeight="1" x14ac:dyDescent="0.25">
      <c r="A46" s="183">
        <v>42</v>
      </c>
      <c r="B46" s="185" t="s">
        <v>439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909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441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910</v>
      </c>
      <c r="C49" s="185">
        <f>data!D306</f>
        <v>22280144</v>
      </c>
    </row>
    <row r="50" spans="1:3" ht="20.100000000000001" customHeight="1" x14ac:dyDescent="0.25">
      <c r="A50" s="188">
        <v>46</v>
      </c>
      <c r="B50" s="189" t="s">
        <v>911</v>
      </c>
      <c r="C50" s="185">
        <f>data!D308</f>
        <v>124291774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912</v>
      </c>
      <c r="B53" s="178"/>
      <c r="C53" s="178"/>
    </row>
    <row r="54" spans="1:3" ht="20.100000000000001" customHeight="1" x14ac:dyDescent="0.25">
      <c r="A54" s="177"/>
      <c r="B54" s="178"/>
      <c r="C54" s="103" t="s">
        <v>913</v>
      </c>
    </row>
    <row r="55" spans="1:3" ht="20.100000000000001" customHeight="1" x14ac:dyDescent="0.25">
      <c r="A55" s="129" t="str">
        <f>"Hospital: "&amp;data!C98</f>
        <v>Hospital: RCCH Trios Health LLC</v>
      </c>
      <c r="B55" s="179"/>
      <c r="C55" s="151" t="str">
        <f>"FYE: "&amp;data!C96</f>
        <v>FYE: 12/31/2023</v>
      </c>
    </row>
    <row r="56" spans="1:3" ht="20.100000000000001" customHeight="1" x14ac:dyDescent="0.25">
      <c r="A56" s="190"/>
      <c r="B56" s="191" t="s">
        <v>914</v>
      </c>
      <c r="C56" s="182"/>
    </row>
    <row r="57" spans="1:3" ht="20.100000000000001" customHeight="1" x14ac:dyDescent="0.25">
      <c r="A57" s="192">
        <v>1</v>
      </c>
      <c r="B57" s="177" t="s">
        <v>445</v>
      </c>
      <c r="C57" s="193"/>
    </row>
    <row r="58" spans="1:3" ht="20.100000000000001" customHeight="1" x14ac:dyDescent="0.25">
      <c r="A58" s="183">
        <v>2</v>
      </c>
      <c r="B58" s="185" t="s">
        <v>446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915</v>
      </c>
      <c r="C59" s="185">
        <f>data!C315</f>
        <v>8680344.8000000007</v>
      </c>
    </row>
    <row r="60" spans="1:3" ht="20.100000000000001" customHeight="1" x14ac:dyDescent="0.25">
      <c r="A60" s="183">
        <v>4</v>
      </c>
      <c r="B60" s="185" t="s">
        <v>916</v>
      </c>
      <c r="C60" s="185">
        <f>data!C316</f>
        <v>7535687</v>
      </c>
    </row>
    <row r="61" spans="1:3" ht="20.100000000000001" customHeight="1" x14ac:dyDescent="0.25">
      <c r="A61" s="183">
        <v>5</v>
      </c>
      <c r="B61" s="185" t="s">
        <v>449</v>
      </c>
      <c r="C61" s="185">
        <f>data!C317</f>
        <v>0</v>
      </c>
    </row>
    <row r="62" spans="1:3" ht="20.100000000000001" customHeight="1" x14ac:dyDescent="0.25">
      <c r="A62" s="183">
        <v>6</v>
      </c>
      <c r="B62" s="185" t="s">
        <v>917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918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452</v>
      </c>
      <c r="C64" s="185">
        <f>data!C320</f>
        <v>0</v>
      </c>
    </row>
    <row r="65" spans="1:7" ht="20.100000000000001" customHeight="1" x14ac:dyDescent="0.25">
      <c r="A65" s="183">
        <v>9</v>
      </c>
      <c r="B65" s="185" t="s">
        <v>453</v>
      </c>
      <c r="C65" s="185">
        <f>data!C321</f>
        <v>0</v>
      </c>
    </row>
    <row r="66" spans="1:7" ht="20.100000000000001" customHeight="1" x14ac:dyDescent="0.25">
      <c r="A66" s="183">
        <v>10</v>
      </c>
      <c r="B66" s="185" t="s">
        <v>454</v>
      </c>
      <c r="C66" s="185">
        <f>data!C322</f>
        <v>86109</v>
      </c>
    </row>
    <row r="67" spans="1:7" ht="20.100000000000001" customHeight="1" x14ac:dyDescent="0.25">
      <c r="A67" s="183">
        <v>11</v>
      </c>
      <c r="B67" s="185" t="s">
        <v>919</v>
      </c>
      <c r="C67" s="185">
        <f>data!C323</f>
        <v>1708502</v>
      </c>
    </row>
    <row r="68" spans="1:7" ht="20.100000000000001" customHeight="1" x14ac:dyDescent="0.25">
      <c r="A68" s="183">
        <v>12</v>
      </c>
      <c r="B68" s="185" t="s">
        <v>920</v>
      </c>
      <c r="C68" s="185">
        <f>data!D324</f>
        <v>18010642.800000001</v>
      </c>
    </row>
    <row r="69" spans="1:7" ht="20.100000000000001" customHeight="1" x14ac:dyDescent="0.25">
      <c r="A69" s="351">
        <v>13</v>
      </c>
      <c r="B69" s="352"/>
      <c r="C69" s="353"/>
      <c r="D69" s="354"/>
      <c r="E69" s="354"/>
      <c r="F69" s="354"/>
      <c r="G69" s="354"/>
    </row>
    <row r="70" spans="1:7" ht="20.100000000000001" customHeight="1" x14ac:dyDescent="0.25">
      <c r="A70" s="183">
        <v>14</v>
      </c>
      <c r="B70" s="186" t="s">
        <v>921</v>
      </c>
      <c r="C70" s="184"/>
    </row>
    <row r="71" spans="1:7" ht="20.100000000000001" customHeight="1" x14ac:dyDescent="0.25">
      <c r="A71" s="183">
        <v>15</v>
      </c>
      <c r="B71" s="185" t="s">
        <v>458</v>
      </c>
      <c r="C71" s="185">
        <f>data!C326</f>
        <v>0</v>
      </c>
    </row>
    <row r="72" spans="1:7" ht="20.100000000000001" customHeight="1" x14ac:dyDescent="0.25">
      <c r="A72" s="183">
        <v>16</v>
      </c>
      <c r="B72" s="185" t="s">
        <v>922</v>
      </c>
      <c r="C72" s="185">
        <f>data!C327</f>
        <v>0</v>
      </c>
    </row>
    <row r="73" spans="1:7" ht="20.100000000000001" customHeight="1" x14ac:dyDescent="0.25">
      <c r="A73" s="183">
        <v>17</v>
      </c>
      <c r="B73" s="185" t="s">
        <v>460</v>
      </c>
      <c r="C73" s="185">
        <f>data!C328</f>
        <v>312970</v>
      </c>
    </row>
    <row r="74" spans="1:7" ht="20.100000000000001" customHeight="1" x14ac:dyDescent="0.25">
      <c r="A74" s="183">
        <v>18</v>
      </c>
      <c r="B74" s="185" t="s">
        <v>923</v>
      </c>
      <c r="C74" s="185">
        <f>data!D329</f>
        <v>312970</v>
      </c>
    </row>
    <row r="75" spans="1:7" ht="20.100000000000001" customHeight="1" x14ac:dyDescent="0.25">
      <c r="A75" s="183">
        <v>19</v>
      </c>
      <c r="B75" s="187"/>
      <c r="C75" s="185"/>
    </row>
    <row r="76" spans="1:7" ht="20.100000000000001" customHeight="1" x14ac:dyDescent="0.25">
      <c r="A76" s="183">
        <v>20</v>
      </c>
      <c r="B76" s="186" t="s">
        <v>462</v>
      </c>
      <c r="C76" s="184"/>
    </row>
    <row r="77" spans="1:7" ht="20.100000000000001" customHeight="1" x14ac:dyDescent="0.25">
      <c r="A77" s="183">
        <v>21</v>
      </c>
      <c r="B77" s="185" t="s">
        <v>463</v>
      </c>
      <c r="C77" s="185">
        <f>data!C331</f>
        <v>0</v>
      </c>
    </row>
    <row r="78" spans="1:7" ht="20.100000000000001" customHeight="1" x14ac:dyDescent="0.25">
      <c r="A78" s="183">
        <v>22</v>
      </c>
      <c r="B78" s="185" t="s">
        <v>924</v>
      </c>
      <c r="C78" s="185">
        <f>data!C332</f>
        <v>0</v>
      </c>
    </row>
    <row r="79" spans="1:7" ht="20.100000000000001" customHeight="1" x14ac:dyDescent="0.25">
      <c r="A79" s="183">
        <v>23</v>
      </c>
      <c r="B79" s="185" t="s">
        <v>465</v>
      </c>
      <c r="C79" s="185">
        <f>data!C333</f>
        <v>0</v>
      </c>
    </row>
    <row r="80" spans="1:7" ht="20.100000000000001" customHeight="1" x14ac:dyDescent="0.25">
      <c r="A80" s="183">
        <v>24</v>
      </c>
      <c r="B80" s="185" t="s">
        <v>925</v>
      </c>
      <c r="C80" s="185">
        <f>data!C334</f>
        <v>35814107</v>
      </c>
    </row>
    <row r="81" spans="1:3" ht="20.100000000000001" customHeight="1" x14ac:dyDescent="0.25">
      <c r="A81" s="183">
        <v>25</v>
      </c>
      <c r="B81" s="185" t="s">
        <v>467</v>
      </c>
      <c r="C81" s="185" t="str">
        <f>data!C335</f>
        <v xml:space="preserve"> </v>
      </c>
    </row>
    <row r="82" spans="1:3" ht="20.100000000000001" customHeight="1" x14ac:dyDescent="0.25">
      <c r="A82" s="183">
        <v>26</v>
      </c>
      <c r="B82" s="185" t="s">
        <v>926</v>
      </c>
      <c r="C82" s="185">
        <f>data!C336</f>
        <v>85466329</v>
      </c>
    </row>
    <row r="83" spans="1:3" ht="20.100000000000001" customHeight="1" x14ac:dyDescent="0.25">
      <c r="A83" s="183">
        <v>27</v>
      </c>
      <c r="B83" s="185" t="s">
        <v>469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470</v>
      </c>
      <c r="C84" s="185">
        <f>data!C338</f>
        <v>1766305</v>
      </c>
    </row>
    <row r="85" spans="1:3" ht="20.100000000000001" customHeight="1" x14ac:dyDescent="0.25">
      <c r="A85" s="183">
        <v>29</v>
      </c>
      <c r="B85" s="185" t="s">
        <v>601</v>
      </c>
      <c r="C85" s="185">
        <f>data!D339</f>
        <v>123046741</v>
      </c>
    </row>
    <row r="86" spans="1:3" ht="20.100000000000001" customHeight="1" x14ac:dyDescent="0.25">
      <c r="A86" s="183">
        <v>30</v>
      </c>
      <c r="B86" s="185" t="s">
        <v>927</v>
      </c>
      <c r="C86" s="185">
        <f>data!D340</f>
        <v>1708502</v>
      </c>
    </row>
    <row r="87" spans="1:3" ht="20.100000000000001" customHeight="1" x14ac:dyDescent="0.25">
      <c r="A87" s="183">
        <v>31</v>
      </c>
      <c r="B87" s="185" t="s">
        <v>928</v>
      </c>
      <c r="C87" s="185">
        <f>data!D341</f>
        <v>121338239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929</v>
      </c>
      <c r="C89" s="185">
        <f>data!C343</f>
        <v>6147091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930</v>
      </c>
      <c r="C91" s="184"/>
    </row>
    <row r="92" spans="1:3" ht="20.100000000000001" customHeight="1" x14ac:dyDescent="0.25">
      <c r="A92" s="183">
        <v>36</v>
      </c>
      <c r="B92" s="185" t="s">
        <v>474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475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931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932</v>
      </c>
      <c r="C98" s="185">
        <f>data!C348</f>
        <v>-21517169</v>
      </c>
    </row>
    <row r="99" spans="1:3" ht="20.100000000000001" customHeight="1" x14ac:dyDescent="0.25">
      <c r="A99" s="183">
        <v>43</v>
      </c>
      <c r="B99" s="185" t="s">
        <v>933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934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935</v>
      </c>
      <c r="C102" s="185">
        <f>data!C343+data!C345+data!C346+data!C347+data!C348-data!C349</f>
        <v>-15370078</v>
      </c>
    </row>
    <row r="103" spans="1:3" ht="20.100000000000001" customHeight="1" x14ac:dyDescent="0.25">
      <c r="A103" s="183">
        <v>47</v>
      </c>
      <c r="B103" s="185" t="s">
        <v>936</v>
      </c>
      <c r="C103" s="185">
        <f>data!D352</f>
        <v>124291774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937</v>
      </c>
      <c r="B106" s="178"/>
      <c r="C106" s="178"/>
    </row>
    <row r="107" spans="1:3" ht="20.100000000000001" customHeight="1" x14ac:dyDescent="0.25">
      <c r="A107" s="179"/>
      <c r="C107" s="103" t="s">
        <v>938</v>
      </c>
    </row>
    <row r="108" spans="1:3" ht="20.100000000000001" customHeight="1" x14ac:dyDescent="0.25">
      <c r="A108" s="129" t="str">
        <f>"Hospital: "&amp;data!C98</f>
        <v>Hospital: RCCH Trios Health LLC</v>
      </c>
      <c r="B108" s="179"/>
      <c r="C108" s="151" t="str">
        <f>"FYE: "&amp;data!C96</f>
        <v>FYE: 12/31/2023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939</v>
      </c>
      <c r="C110" s="184"/>
    </row>
    <row r="111" spans="1:3" ht="20.100000000000001" customHeight="1" x14ac:dyDescent="0.25">
      <c r="A111" s="183">
        <v>2</v>
      </c>
      <c r="B111" s="185" t="s">
        <v>483</v>
      </c>
      <c r="C111" s="185">
        <f>data!C358</f>
        <v>242269045</v>
      </c>
    </row>
    <row r="112" spans="1:3" ht="20.100000000000001" customHeight="1" x14ac:dyDescent="0.25">
      <c r="A112" s="183">
        <v>3</v>
      </c>
      <c r="B112" s="185" t="s">
        <v>484</v>
      </c>
      <c r="C112" s="185">
        <f>data!C359</f>
        <v>397131804</v>
      </c>
    </row>
    <row r="113" spans="1:3" ht="20.100000000000001" customHeight="1" x14ac:dyDescent="0.25">
      <c r="A113" s="183">
        <v>4</v>
      </c>
      <c r="B113" s="185" t="s">
        <v>940</v>
      </c>
      <c r="C113" s="185">
        <f>data!D360</f>
        <v>639400849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941</v>
      </c>
      <c r="C115" s="184"/>
    </row>
    <row r="116" spans="1:3" ht="20.100000000000001" customHeight="1" x14ac:dyDescent="0.25">
      <c r="A116" s="183">
        <v>7</v>
      </c>
      <c r="B116" s="197" t="s">
        <v>942</v>
      </c>
      <c r="C116" s="198">
        <f>data!C362</f>
        <v>1089367</v>
      </c>
    </row>
    <row r="117" spans="1:3" ht="20.100000000000001" customHeight="1" x14ac:dyDescent="0.25">
      <c r="A117" s="183">
        <v>8</v>
      </c>
      <c r="B117" s="185" t="s">
        <v>487</v>
      </c>
      <c r="C117" s="198">
        <f>data!C363</f>
        <v>468975641</v>
      </c>
    </row>
    <row r="118" spans="1:3" ht="20.100000000000001" customHeight="1" x14ac:dyDescent="0.25">
      <c r="A118" s="183">
        <v>9</v>
      </c>
      <c r="B118" s="185" t="s">
        <v>943</v>
      </c>
      <c r="C118" s="198">
        <f>data!C364</f>
        <v>17018968</v>
      </c>
    </row>
    <row r="119" spans="1:3" ht="20.100000000000001" customHeight="1" x14ac:dyDescent="0.25">
      <c r="A119" s="183">
        <v>10</v>
      </c>
      <c r="B119" s="185" t="s">
        <v>944</v>
      </c>
      <c r="C119" s="198">
        <f>data!C365</f>
        <v>2414469</v>
      </c>
    </row>
    <row r="120" spans="1:3" ht="20.100000000000001" customHeight="1" x14ac:dyDescent="0.25">
      <c r="A120" s="183">
        <v>11</v>
      </c>
      <c r="B120" s="185" t="s">
        <v>888</v>
      </c>
      <c r="C120" s="198">
        <f>data!D366</f>
        <v>489498445</v>
      </c>
    </row>
    <row r="121" spans="1:3" ht="20.100000000000001" customHeight="1" x14ac:dyDescent="0.25">
      <c r="A121" s="183">
        <v>12</v>
      </c>
      <c r="B121" s="185" t="s">
        <v>945</v>
      </c>
      <c r="C121" s="198">
        <f>data!D367</f>
        <v>149902404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491</v>
      </c>
      <c r="C123" s="184"/>
    </row>
    <row r="124" spans="1:3" ht="20.100000000000001" customHeight="1" x14ac:dyDescent="0.25">
      <c r="A124" s="183">
        <v>15</v>
      </c>
      <c r="B124" s="199" t="s">
        <v>492</v>
      </c>
      <c r="C124" s="200"/>
    </row>
    <row r="125" spans="1:3" ht="20.100000000000001" customHeight="1" x14ac:dyDescent="0.25">
      <c r="A125" s="204" t="s">
        <v>946</v>
      </c>
      <c r="B125" s="201" t="s">
        <v>493</v>
      </c>
      <c r="C125" s="200">
        <f>data!C370</f>
        <v>444517</v>
      </c>
    </row>
    <row r="126" spans="1:3" ht="20.100000000000001" customHeight="1" x14ac:dyDescent="0.25">
      <c r="A126" s="204" t="s">
        <v>947</v>
      </c>
      <c r="B126" s="201" t="s">
        <v>494</v>
      </c>
      <c r="C126" s="200">
        <f>data!C371</f>
        <v>26015</v>
      </c>
    </row>
    <row r="127" spans="1:3" ht="20.100000000000001" customHeight="1" x14ac:dyDescent="0.25">
      <c r="A127" s="204" t="s">
        <v>948</v>
      </c>
      <c r="B127" s="201" t="s">
        <v>495</v>
      </c>
      <c r="C127" s="200">
        <f>data!C372</f>
        <v>0</v>
      </c>
    </row>
    <row r="128" spans="1:3" ht="20.100000000000001" customHeight="1" x14ac:dyDescent="0.25">
      <c r="A128" s="204" t="s">
        <v>949</v>
      </c>
      <c r="B128" s="201" t="s">
        <v>496</v>
      </c>
      <c r="C128" s="200">
        <f>data!C373</f>
        <v>0</v>
      </c>
    </row>
    <row r="129" spans="1:3" ht="20.100000000000001" customHeight="1" x14ac:dyDescent="0.25">
      <c r="A129" s="204" t="s">
        <v>950</v>
      </c>
      <c r="B129" s="201" t="s">
        <v>497</v>
      </c>
      <c r="C129" s="200">
        <f>data!C374</f>
        <v>0</v>
      </c>
    </row>
    <row r="130" spans="1:3" ht="20.100000000000001" customHeight="1" x14ac:dyDescent="0.25">
      <c r="A130" s="204" t="s">
        <v>951</v>
      </c>
      <c r="B130" s="201" t="s">
        <v>498</v>
      </c>
      <c r="C130" s="200">
        <f>data!C375</f>
        <v>0</v>
      </c>
    </row>
    <row r="131" spans="1:3" ht="20.100000000000001" customHeight="1" x14ac:dyDescent="0.25">
      <c r="A131" s="204" t="s">
        <v>952</v>
      </c>
      <c r="B131" s="201" t="s">
        <v>499</v>
      </c>
      <c r="C131" s="200">
        <f>data!C376</f>
        <v>0</v>
      </c>
    </row>
    <row r="132" spans="1:3" ht="20.100000000000001" customHeight="1" x14ac:dyDescent="0.25">
      <c r="A132" s="204" t="s">
        <v>953</v>
      </c>
      <c r="B132" s="201" t="s">
        <v>500</v>
      </c>
      <c r="C132" s="200">
        <f>data!C377</f>
        <v>0</v>
      </c>
    </row>
    <row r="133" spans="1:3" ht="20.100000000000001" customHeight="1" x14ac:dyDescent="0.25">
      <c r="A133" s="204" t="s">
        <v>954</v>
      </c>
      <c r="B133" s="201" t="s">
        <v>501</v>
      </c>
      <c r="C133" s="200">
        <f>data!C378</f>
        <v>416347</v>
      </c>
    </row>
    <row r="134" spans="1:3" ht="20.100000000000001" customHeight="1" x14ac:dyDescent="0.25">
      <c r="A134" s="204" t="s">
        <v>955</v>
      </c>
      <c r="B134" s="201" t="s">
        <v>502</v>
      </c>
      <c r="C134" s="200">
        <f>data!C379</f>
        <v>382764</v>
      </c>
    </row>
    <row r="135" spans="1:3" ht="20.100000000000001" customHeight="1" x14ac:dyDescent="0.25">
      <c r="A135" s="204" t="s">
        <v>956</v>
      </c>
      <c r="B135" s="201" t="s">
        <v>503</v>
      </c>
      <c r="C135" s="200">
        <f>data!C380</f>
        <v>1237316.75</v>
      </c>
    </row>
    <row r="136" spans="1:3" ht="20.100000000000001" customHeight="1" x14ac:dyDescent="0.25">
      <c r="A136" s="183">
        <v>16</v>
      </c>
      <c r="B136" s="185" t="s">
        <v>505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957</v>
      </c>
      <c r="C137" s="198">
        <f>data!D383</f>
        <v>2506959.75</v>
      </c>
    </row>
    <row r="138" spans="1:3" ht="20.100000000000001" customHeight="1" x14ac:dyDescent="0.25">
      <c r="A138" s="183">
        <v>18</v>
      </c>
      <c r="B138" s="185" t="s">
        <v>958</v>
      </c>
      <c r="C138" s="198">
        <f>data!D384</f>
        <v>152409363.75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959</v>
      </c>
      <c r="C140" s="184"/>
    </row>
    <row r="141" spans="1:3" ht="20.100000000000001" customHeight="1" x14ac:dyDescent="0.25">
      <c r="A141" s="183">
        <v>21</v>
      </c>
      <c r="B141" s="185" t="s">
        <v>509</v>
      </c>
      <c r="C141" s="198">
        <f>data!C389</f>
        <v>76189576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14052068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7299745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25242712</v>
      </c>
    </row>
    <row r="145" spans="1:3" ht="20.100000000000001" customHeight="1" x14ac:dyDescent="0.25">
      <c r="A145" s="183">
        <v>25</v>
      </c>
      <c r="B145" s="185" t="s">
        <v>960</v>
      </c>
      <c r="C145" s="198">
        <f>data!C393</f>
        <v>2255245</v>
      </c>
    </row>
    <row r="146" spans="1:3" ht="20.100000000000001" customHeight="1" x14ac:dyDescent="0.25">
      <c r="A146" s="183">
        <v>26</v>
      </c>
      <c r="B146" s="185" t="s">
        <v>961</v>
      </c>
      <c r="C146" s="198">
        <f>data!C394</f>
        <v>11814934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4918917</v>
      </c>
    </row>
    <row r="148" spans="1:3" ht="20.100000000000001" customHeight="1" x14ac:dyDescent="0.25">
      <c r="A148" s="183">
        <v>28</v>
      </c>
      <c r="B148" s="185" t="s">
        <v>962</v>
      </c>
      <c r="C148" s="198">
        <f>data!C396</f>
        <v>339497</v>
      </c>
    </row>
    <row r="149" spans="1:3" ht="20.100000000000001" customHeight="1" x14ac:dyDescent="0.25">
      <c r="A149" s="183">
        <v>29</v>
      </c>
      <c r="B149" s="185" t="s">
        <v>514</v>
      </c>
      <c r="C149" s="198">
        <f>data!C397</f>
        <v>1377091</v>
      </c>
    </row>
    <row r="150" spans="1:3" ht="20.100000000000001" customHeight="1" x14ac:dyDescent="0.25">
      <c r="A150" s="183">
        <v>30</v>
      </c>
      <c r="B150" s="185" t="s">
        <v>963</v>
      </c>
      <c r="C150" s="198">
        <f>data!C398</f>
        <v>6047151</v>
      </c>
    </row>
    <row r="151" spans="1:3" ht="20.100000000000001" customHeight="1" x14ac:dyDescent="0.25">
      <c r="A151" s="183">
        <v>31</v>
      </c>
      <c r="B151" s="185" t="s">
        <v>516</v>
      </c>
      <c r="C151" s="198">
        <f>data!C399</f>
        <v>3299828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964</v>
      </c>
      <c r="B153" s="202" t="s">
        <v>270</v>
      </c>
      <c r="C153" s="198">
        <f>data!C401</f>
        <v>1108114</v>
      </c>
    </row>
    <row r="154" spans="1:3" ht="20.100000000000001" customHeight="1" x14ac:dyDescent="0.25">
      <c r="A154" s="204" t="s">
        <v>965</v>
      </c>
      <c r="B154" s="202" t="s">
        <v>271</v>
      </c>
      <c r="C154" s="198">
        <f>data!C402</f>
        <v>8667674</v>
      </c>
    </row>
    <row r="155" spans="1:3" ht="20.100000000000001" customHeight="1" x14ac:dyDescent="0.25">
      <c r="A155" s="204" t="s">
        <v>966</v>
      </c>
      <c r="B155" s="202" t="s">
        <v>967</v>
      </c>
      <c r="C155" s="198">
        <f>data!C403</f>
        <v>985524</v>
      </c>
    </row>
    <row r="156" spans="1:3" ht="20.100000000000001" customHeight="1" x14ac:dyDescent="0.25">
      <c r="A156" s="204" t="s">
        <v>968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969</v>
      </c>
      <c r="B157" s="202" t="s">
        <v>274</v>
      </c>
      <c r="C157" s="198">
        <f>data!C405</f>
        <v>251428</v>
      </c>
    </row>
    <row r="158" spans="1:3" ht="20.100000000000001" customHeight="1" x14ac:dyDescent="0.25">
      <c r="A158" s="204" t="s">
        <v>970</v>
      </c>
      <c r="B158" s="202" t="s">
        <v>275</v>
      </c>
      <c r="C158" s="198">
        <f>data!C406</f>
        <v>575747.93000000005</v>
      </c>
    </row>
    <row r="159" spans="1:3" ht="20.100000000000001" customHeight="1" x14ac:dyDescent="0.25">
      <c r="A159" s="204" t="s">
        <v>971</v>
      </c>
      <c r="B159" s="202" t="s">
        <v>276</v>
      </c>
      <c r="C159" s="198">
        <f>data!C407</f>
        <v>735973</v>
      </c>
    </row>
    <row r="160" spans="1:3" ht="20.100000000000001" customHeight="1" x14ac:dyDescent="0.25">
      <c r="A160" s="204" t="s">
        <v>972</v>
      </c>
      <c r="B160" s="202" t="s">
        <v>277</v>
      </c>
      <c r="C160" s="198">
        <f>data!C408</f>
        <v>5274570</v>
      </c>
    </row>
    <row r="161" spans="1:3" ht="20.100000000000001" customHeight="1" x14ac:dyDescent="0.25">
      <c r="A161" s="204" t="s">
        <v>973</v>
      </c>
      <c r="B161" s="202" t="s">
        <v>278</v>
      </c>
      <c r="C161" s="198">
        <f>data!C409</f>
        <v>358153.58999999997</v>
      </c>
    </row>
    <row r="162" spans="1:3" ht="20.100000000000001" customHeight="1" x14ac:dyDescent="0.25">
      <c r="A162" s="204" t="s">
        <v>974</v>
      </c>
      <c r="B162" s="202" t="s">
        <v>279</v>
      </c>
      <c r="C162" s="198">
        <f>data!C410</f>
        <v>499559.55000000005</v>
      </c>
    </row>
    <row r="163" spans="1:3" ht="20.100000000000001" customHeight="1" x14ac:dyDescent="0.25">
      <c r="A163" s="204" t="s">
        <v>975</v>
      </c>
      <c r="B163" s="202" t="s">
        <v>280</v>
      </c>
      <c r="C163" s="198">
        <f>data!C411</f>
        <v>284723.40000000002</v>
      </c>
    </row>
    <row r="164" spans="1:3" ht="20.100000000000001" customHeight="1" x14ac:dyDescent="0.25">
      <c r="A164" s="204" t="s">
        <v>976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977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978</v>
      </c>
      <c r="B166" s="202" t="s">
        <v>979</v>
      </c>
      <c r="C166" s="198">
        <f>data!C414</f>
        <v>974607</v>
      </c>
    </row>
    <row r="167" spans="1:3" ht="20.100000000000001" customHeight="1" x14ac:dyDescent="0.25">
      <c r="A167" s="183">
        <v>34</v>
      </c>
      <c r="B167" s="185" t="s">
        <v>980</v>
      </c>
      <c r="C167" s="198">
        <f>data!D416</f>
        <v>172552838.47</v>
      </c>
    </row>
    <row r="168" spans="1:3" ht="20.100000000000001" customHeight="1" x14ac:dyDescent="0.25">
      <c r="A168" s="183">
        <v>35</v>
      </c>
      <c r="B168" s="185" t="s">
        <v>981</v>
      </c>
      <c r="C168" s="198">
        <f>data!D417</f>
        <v>-20143474.719999999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982</v>
      </c>
      <c r="C170" s="198">
        <f>data!D420</f>
        <v>-2582099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983</v>
      </c>
      <c r="C172" s="185">
        <f>data!D421</f>
        <v>-22725573.719999999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984</v>
      </c>
      <c r="C174" s="198">
        <f>data!C422</f>
        <v>1208405</v>
      </c>
    </row>
    <row r="175" spans="1:3" ht="20.100000000000001" customHeight="1" x14ac:dyDescent="0.25">
      <c r="A175" s="183">
        <v>42</v>
      </c>
      <c r="B175" s="185" t="s">
        <v>985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986</v>
      </c>
      <c r="C177" s="198">
        <f>data!D424</f>
        <v>-21517168.719999999</v>
      </c>
    </row>
    <row r="178" spans="1:3" ht="20.100000000000001" customHeight="1" x14ac:dyDescent="0.25">
      <c r="A178" s="188">
        <v>45</v>
      </c>
      <c r="B178" s="187" t="s">
        <v>987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118" zoomScale="65" workbookViewId="0">
      <selection activeCell="I62" sqref="I62"/>
    </sheetView>
  </sheetViews>
  <sheetFormatPr defaultColWidth="8.88671875" defaultRowHeight="20.100000000000001" customHeight="1" x14ac:dyDescent="0.2"/>
  <cols>
    <col min="1" max="1" width="5.77734375" style="248" customWidth="1"/>
    <col min="2" max="2" width="22.44140625" style="248" customWidth="1"/>
    <col min="3" max="8" width="13.77734375" style="248" customWidth="1"/>
    <col min="9" max="9" width="15.77734375" style="248" customWidth="1"/>
    <col min="10" max="12" width="8.88671875" style="248" customWidth="1"/>
    <col min="13" max="16384" width="8.88671875" style="248"/>
  </cols>
  <sheetData>
    <row r="1" spans="1:9" ht="20.100000000000001" customHeight="1" x14ac:dyDescent="0.2">
      <c r="A1" s="246" t="s">
        <v>988</v>
      </c>
      <c r="B1" s="247"/>
      <c r="C1" s="247"/>
      <c r="D1" s="247"/>
      <c r="E1" s="247"/>
      <c r="F1" s="247"/>
      <c r="G1" s="247"/>
      <c r="H1" s="247"/>
    </row>
    <row r="2" spans="1:9" ht="20.100000000000001" customHeight="1" x14ac:dyDescent="0.2">
      <c r="A2" s="249"/>
      <c r="I2" s="250" t="s">
        <v>989</v>
      </c>
    </row>
    <row r="3" spans="1:9" ht="20.100000000000001" customHeight="1" x14ac:dyDescent="0.2">
      <c r="A3" s="249"/>
      <c r="I3" s="249"/>
    </row>
    <row r="4" spans="1:9" ht="20.100000000000001" customHeight="1" x14ac:dyDescent="0.2">
      <c r="A4" s="251" t="str">
        <f>"Hospital: "&amp;data!C98</f>
        <v>Hospital: RCCH Trios Health LLC</v>
      </c>
      <c r="G4" s="252"/>
      <c r="H4" s="251" t="str">
        <f>"FYE: "&amp;data!C96</f>
        <v>FYE: 12/31/2023</v>
      </c>
    </row>
    <row r="5" spans="1:9" ht="20.100000000000001" customHeight="1" x14ac:dyDescent="0.2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00000000000001" customHeight="1" x14ac:dyDescent="0.2">
      <c r="A6" s="256">
        <v>2</v>
      </c>
      <c r="B6" s="257" t="s">
        <v>990</v>
      </c>
      <c r="C6" s="258" t="s">
        <v>118</v>
      </c>
      <c r="D6" s="259" t="s">
        <v>991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00000000000001" customHeight="1" x14ac:dyDescent="0.2">
      <c r="A7" s="256"/>
      <c r="B7" s="257"/>
      <c r="C7" s="259" t="s">
        <v>190</v>
      </c>
      <c r="D7" s="259" t="s">
        <v>992</v>
      </c>
      <c r="E7" s="259" t="s">
        <v>190</v>
      </c>
      <c r="F7" s="259" t="s">
        <v>993</v>
      </c>
      <c r="G7" s="259" t="s">
        <v>192</v>
      </c>
      <c r="H7" s="259" t="s">
        <v>190</v>
      </c>
      <c r="I7" s="259" t="s">
        <v>193</v>
      </c>
    </row>
    <row r="8" spans="1:9" ht="20.100000000000001" customHeight="1" x14ac:dyDescent="0.2">
      <c r="A8" s="245">
        <v>3</v>
      </c>
      <c r="B8" s="253" t="s">
        <v>994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00000000000001" customHeight="1" x14ac:dyDescent="0.2">
      <c r="A9" s="245">
        <v>4</v>
      </c>
      <c r="B9" s="253" t="s">
        <v>261</v>
      </c>
      <c r="C9" s="253">
        <f>data!C59</f>
        <v>3157</v>
      </c>
      <c r="D9" s="253">
        <f>data!D59</f>
        <v>0</v>
      </c>
      <c r="E9" s="253">
        <f>data!E59</f>
        <v>11833</v>
      </c>
      <c r="F9" s="253">
        <f>data!F59</f>
        <v>2987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00000000000001" customHeight="1" x14ac:dyDescent="0.2">
      <c r="A10" s="245">
        <v>5</v>
      </c>
      <c r="B10" s="253" t="s">
        <v>262</v>
      </c>
      <c r="C10" s="260">
        <f>data!C60</f>
        <v>31.39</v>
      </c>
      <c r="D10" s="260">
        <f>data!D60</f>
        <v>5.36</v>
      </c>
      <c r="E10" s="260">
        <f>data!E60</f>
        <v>57.9</v>
      </c>
      <c r="F10" s="260">
        <f>data!F60</f>
        <v>36.93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00000000000001" customHeight="1" x14ac:dyDescent="0.2">
      <c r="A11" s="245">
        <v>6</v>
      </c>
      <c r="B11" s="253" t="s">
        <v>263</v>
      </c>
      <c r="C11" s="253">
        <f>data!C61</f>
        <v>3348808.71</v>
      </c>
      <c r="D11" s="253">
        <f>data!D61</f>
        <v>561310.88</v>
      </c>
      <c r="E11" s="253">
        <f>data!E61</f>
        <v>5955589.4100000001</v>
      </c>
      <c r="F11" s="253">
        <f>data!F61</f>
        <v>4068472.06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00000000000001" customHeight="1" x14ac:dyDescent="0.2">
      <c r="A12" s="245">
        <v>7</v>
      </c>
      <c r="B12" s="253" t="s">
        <v>11</v>
      </c>
      <c r="C12" s="253">
        <f>data!C62</f>
        <v>617639</v>
      </c>
      <c r="D12" s="253">
        <f>data!D62</f>
        <v>103526</v>
      </c>
      <c r="E12" s="253">
        <f>data!E62</f>
        <v>1098423</v>
      </c>
      <c r="F12" s="253">
        <f>data!F62</f>
        <v>750371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00000000000001" customHeight="1" x14ac:dyDescent="0.2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00000000000001" customHeight="1" x14ac:dyDescent="0.2">
      <c r="A14" s="245">
        <v>9</v>
      </c>
      <c r="B14" s="253" t="s">
        <v>265</v>
      </c>
      <c r="C14" s="253">
        <f>data!C64</f>
        <v>612826.17000000004</v>
      </c>
      <c r="D14" s="253">
        <f>data!D64</f>
        <v>90952</v>
      </c>
      <c r="E14" s="253">
        <f>data!E64</f>
        <v>542260</v>
      </c>
      <c r="F14" s="253">
        <f>data!F64</f>
        <v>655776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00000000000001" customHeight="1" x14ac:dyDescent="0.2">
      <c r="A15" s="245">
        <v>10</v>
      </c>
      <c r="B15" s="253" t="s">
        <v>511</v>
      </c>
      <c r="C15" s="253">
        <f>data!C65</f>
        <v>4810.4399999999996</v>
      </c>
      <c r="D15" s="253">
        <f>data!D65</f>
        <v>0</v>
      </c>
      <c r="E15" s="253">
        <f>data!E65</f>
        <v>360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00000000000001" customHeight="1" x14ac:dyDescent="0.2">
      <c r="A16" s="245">
        <v>11</v>
      </c>
      <c r="B16" s="253" t="s">
        <v>512</v>
      </c>
      <c r="C16" s="253">
        <f>data!C66</f>
        <v>117618</v>
      </c>
      <c r="D16" s="253">
        <f>data!D66</f>
        <v>363</v>
      </c>
      <c r="E16" s="253">
        <f>data!E66</f>
        <v>423307.07</v>
      </c>
      <c r="F16" s="253">
        <f>data!F66</f>
        <v>547.29999999999995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00000000000001" customHeight="1" x14ac:dyDescent="0.2">
      <c r="A17" s="245">
        <v>12</v>
      </c>
      <c r="B17" s="253" t="s">
        <v>16</v>
      </c>
      <c r="C17" s="253">
        <f>data!C67</f>
        <v>96021</v>
      </c>
      <c r="D17" s="253">
        <f>data!D67</f>
        <v>162322</v>
      </c>
      <c r="E17" s="253">
        <f>data!E67</f>
        <v>295564</v>
      </c>
      <c r="F17" s="253">
        <f>data!F67</f>
        <v>115501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00000000000001" customHeight="1" x14ac:dyDescent="0.2">
      <c r="A18" s="245">
        <v>13</v>
      </c>
      <c r="B18" s="253" t="s">
        <v>995</v>
      </c>
      <c r="C18" s="253">
        <f>data!C68</f>
        <v>12066</v>
      </c>
      <c r="D18" s="253">
        <f>data!D68</f>
        <v>0</v>
      </c>
      <c r="E18" s="253">
        <f>data!E68</f>
        <v>0</v>
      </c>
      <c r="F18" s="253">
        <f>data!F68</f>
        <v>107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00000000000001" customHeight="1" x14ac:dyDescent="0.2">
      <c r="A19" s="245">
        <v>14</v>
      </c>
      <c r="B19" s="253" t="s">
        <v>996</v>
      </c>
      <c r="C19" s="253">
        <f>data!C69</f>
        <v>1544013.77</v>
      </c>
      <c r="D19" s="253">
        <f>data!D69</f>
        <v>533154</v>
      </c>
      <c r="E19" s="253">
        <f>data!E69</f>
        <v>1276390.7</v>
      </c>
      <c r="F19" s="253">
        <f>data!F69</f>
        <v>35617.06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00000000000001" customHeight="1" x14ac:dyDescent="0.2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00000000000001" customHeight="1" x14ac:dyDescent="0.2">
      <c r="A21" s="245">
        <v>16</v>
      </c>
      <c r="B21" s="261" t="s">
        <v>997</v>
      </c>
      <c r="C21" s="253">
        <f>data!C85</f>
        <v>6353803.0899999999</v>
      </c>
      <c r="D21" s="253">
        <f>data!D85</f>
        <v>1451627.88</v>
      </c>
      <c r="E21" s="253">
        <f>data!E85</f>
        <v>9591894.1799999997</v>
      </c>
      <c r="F21" s="253">
        <f>data!F85</f>
        <v>5626391.4199999999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00000000000001" customHeight="1" x14ac:dyDescent="0.2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00000000000001" customHeight="1" x14ac:dyDescent="0.2">
      <c r="A23" s="245">
        <v>18</v>
      </c>
      <c r="B23" s="253" t="s">
        <v>998</v>
      </c>
      <c r="C23" s="261">
        <f>+data!M668</f>
        <v>1875293</v>
      </c>
      <c r="D23" s="261">
        <f>+data!M669</f>
        <v>783243</v>
      </c>
      <c r="E23" s="261">
        <f>+data!M670</f>
        <v>4115247</v>
      </c>
      <c r="F23" s="261">
        <f>+data!M671</f>
        <v>1868366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00000000000001" customHeight="1" x14ac:dyDescent="0.2">
      <c r="A24" s="245">
        <v>19</v>
      </c>
      <c r="B24" s="261" t="s">
        <v>999</v>
      </c>
      <c r="C24" s="253">
        <f>data!C87</f>
        <v>13437076.1</v>
      </c>
      <c r="D24" s="253">
        <f>data!D87</f>
        <v>2278640</v>
      </c>
      <c r="E24" s="253">
        <f>data!E87</f>
        <v>22411382.34</v>
      </c>
      <c r="F24" s="253">
        <f>data!F87</f>
        <v>7796168.2699999996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00000000000001" customHeight="1" x14ac:dyDescent="0.2">
      <c r="A25" s="245">
        <v>20</v>
      </c>
      <c r="B25" s="261" t="s">
        <v>1000</v>
      </c>
      <c r="C25" s="253">
        <f>data!C88</f>
        <v>345468.6</v>
      </c>
      <c r="D25" s="253">
        <f>data!D88</f>
        <v>51744.88</v>
      </c>
      <c r="E25" s="253">
        <f>data!E88</f>
        <v>5770818.5999999996</v>
      </c>
      <c r="F25" s="253">
        <f>data!F88</f>
        <v>0.33000000000174623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2">
      <c r="A26" s="245">
        <v>21</v>
      </c>
      <c r="B26" s="261" t="s">
        <v>1001</v>
      </c>
      <c r="C26" s="253">
        <f>data!C89</f>
        <v>13782544.699999999</v>
      </c>
      <c r="D26" s="253">
        <f>data!D89</f>
        <v>2330384.88</v>
      </c>
      <c r="E26" s="253">
        <f>data!E89</f>
        <v>28182200.939999998</v>
      </c>
      <c r="F26" s="253">
        <f>data!F89</f>
        <v>7796168.5999999996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00000000000001" customHeight="1" x14ac:dyDescent="0.2">
      <c r="A27" s="245" t="s">
        <v>1002</v>
      </c>
      <c r="B27" s="253"/>
      <c r="C27" s="263"/>
      <c r="D27" s="263"/>
      <c r="E27" s="263"/>
      <c r="F27" s="263"/>
      <c r="G27" s="263"/>
      <c r="H27" s="263"/>
      <c r="I27" s="263"/>
    </row>
    <row r="28" spans="1:9" ht="20.100000000000001" customHeight="1" x14ac:dyDescent="0.2">
      <c r="A28" s="245">
        <v>22</v>
      </c>
      <c r="B28" s="253" t="s">
        <v>1003</v>
      </c>
      <c r="C28" s="253">
        <f>data!C90</f>
        <v>8232</v>
      </c>
      <c r="D28" s="253">
        <f>data!D90</f>
        <v>13916</v>
      </c>
      <c r="E28" s="253">
        <f>data!E90</f>
        <v>25339</v>
      </c>
      <c r="F28" s="253">
        <f>data!F90</f>
        <v>9902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00000000000001" customHeight="1" x14ac:dyDescent="0.2">
      <c r="A29" s="245">
        <v>23</v>
      </c>
      <c r="B29" s="253" t="s">
        <v>1004</v>
      </c>
      <c r="C29" s="253">
        <f>data!C91</f>
        <v>7524</v>
      </c>
      <c r="D29" s="253">
        <f>data!D91</f>
        <v>0</v>
      </c>
      <c r="E29" s="253">
        <f>data!E91</f>
        <v>23242</v>
      </c>
      <c r="F29" s="253">
        <f>data!F91</f>
        <v>8106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00000000000001" customHeight="1" x14ac:dyDescent="0.2">
      <c r="A30" s="245">
        <v>24</v>
      </c>
      <c r="B30" s="253" t="s">
        <v>1005</v>
      </c>
      <c r="C30" s="253">
        <f>data!C92</f>
        <v>1480.3794889306243</v>
      </c>
      <c r="D30" s="253">
        <f>data!D92</f>
        <v>2502.5462789065318</v>
      </c>
      <c r="E30" s="253">
        <f>data!E92</f>
        <v>4556.7706353271487</v>
      </c>
      <c r="F30" s="253">
        <f>data!F92</f>
        <v>1780.6994289833626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00000000000001" customHeight="1" x14ac:dyDescent="0.2">
      <c r="A31" s="245">
        <v>25</v>
      </c>
      <c r="B31" s="253" t="s">
        <v>1006</v>
      </c>
      <c r="C31" s="253">
        <f>data!C93</f>
        <v>58836</v>
      </c>
      <c r="D31" s="253">
        <f>data!D93</f>
        <v>0</v>
      </c>
      <c r="E31" s="253">
        <f>data!E93</f>
        <v>125016</v>
      </c>
      <c r="F31" s="253">
        <f>data!F93</f>
        <v>81050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00000000000001" customHeight="1" x14ac:dyDescent="0.2">
      <c r="A32" s="245">
        <v>26</v>
      </c>
      <c r="B32" s="253" t="s">
        <v>294</v>
      </c>
      <c r="C32" s="260">
        <f>data!C94</f>
        <v>22.9</v>
      </c>
      <c r="D32" s="260">
        <f>data!D94</f>
        <v>1.4</v>
      </c>
      <c r="E32" s="260">
        <f>data!E94</f>
        <v>40.57</v>
      </c>
      <c r="F32" s="260">
        <f>data!F94</f>
        <v>27.400000000000002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00000000000001" customHeight="1" x14ac:dyDescent="0.2">
      <c r="A33" s="246" t="s">
        <v>988</v>
      </c>
      <c r="B33" s="247"/>
      <c r="C33" s="247"/>
      <c r="D33" s="247"/>
      <c r="E33" s="247"/>
      <c r="F33" s="247"/>
      <c r="G33" s="247"/>
      <c r="H33" s="247"/>
      <c r="I33" s="246"/>
    </row>
    <row r="34" spans="1:9" ht="20.100000000000001" customHeight="1" x14ac:dyDescent="0.2">
      <c r="A34" s="249"/>
      <c r="I34" s="250" t="s">
        <v>1007</v>
      </c>
    </row>
    <row r="35" spans="1:9" ht="20.100000000000001" customHeight="1" x14ac:dyDescent="0.2">
      <c r="A35" s="249"/>
      <c r="I35" s="249"/>
    </row>
    <row r="36" spans="1:9" ht="20.100000000000001" customHeight="1" x14ac:dyDescent="0.2">
      <c r="A36" s="251" t="str">
        <f>"Hospital: "&amp;data!C98</f>
        <v>Hospital: RCCH Trios Health LLC</v>
      </c>
      <c r="G36" s="252"/>
      <c r="H36" s="251" t="str">
        <f>"FYE: "&amp;data!C96</f>
        <v>FYE: 12/31/2023</v>
      </c>
    </row>
    <row r="37" spans="1:9" ht="20.100000000000001" customHeight="1" x14ac:dyDescent="0.2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00000000000001" customHeight="1" x14ac:dyDescent="0.2">
      <c r="A38" s="256">
        <v>2</v>
      </c>
      <c r="B38" s="257" t="s">
        <v>990</v>
      </c>
      <c r="C38" s="259"/>
      <c r="D38" s="259" t="s">
        <v>126</v>
      </c>
      <c r="E38" s="259" t="s">
        <v>127</v>
      </c>
      <c r="F38" s="259" t="s">
        <v>1008</v>
      </c>
      <c r="G38" s="259" t="s">
        <v>129</v>
      </c>
      <c r="H38" s="259" t="s">
        <v>1009</v>
      </c>
      <c r="I38" s="259" t="s">
        <v>131</v>
      </c>
    </row>
    <row r="39" spans="1:9" ht="20.100000000000001" customHeight="1" x14ac:dyDescent="0.2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00000000000001" customHeight="1" x14ac:dyDescent="0.2">
      <c r="A40" s="245">
        <v>3</v>
      </c>
      <c r="B40" s="253" t="s">
        <v>994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00000000000001" customHeight="1" x14ac:dyDescent="0.2">
      <c r="A41" s="245">
        <v>4</v>
      </c>
      <c r="B41" s="253" t="s">
        <v>261</v>
      </c>
      <c r="C41" s="253">
        <f>data!J59</f>
        <v>1575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1421</v>
      </c>
      <c r="I41" s="253">
        <f>data!P59</f>
        <v>274970</v>
      </c>
    </row>
    <row r="42" spans="1:9" ht="20.100000000000001" customHeight="1" x14ac:dyDescent="0.2">
      <c r="A42" s="245">
        <v>5</v>
      </c>
      <c r="B42" s="253" t="s">
        <v>262</v>
      </c>
      <c r="C42" s="260">
        <f>data!J60</f>
        <v>11.02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20.93</v>
      </c>
    </row>
    <row r="43" spans="1:9" ht="20.100000000000001" customHeight="1" x14ac:dyDescent="0.2">
      <c r="A43" s="245">
        <v>6</v>
      </c>
      <c r="B43" s="253" t="s">
        <v>263</v>
      </c>
      <c r="C43" s="253">
        <f>data!J61</f>
        <v>1288378.6399999999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734273.71</v>
      </c>
      <c r="I43" s="253">
        <f>data!P61</f>
        <v>2065030.36</v>
      </c>
    </row>
    <row r="44" spans="1:9" ht="20.100000000000001" customHeight="1" x14ac:dyDescent="0.2">
      <c r="A44" s="245">
        <v>7</v>
      </c>
      <c r="B44" s="253" t="s">
        <v>11</v>
      </c>
      <c r="C44" s="253">
        <f>data!J62</f>
        <v>237623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135426</v>
      </c>
      <c r="I44" s="253">
        <f>data!P62</f>
        <v>380865</v>
      </c>
    </row>
    <row r="45" spans="1:9" ht="20.100000000000001" customHeight="1" x14ac:dyDescent="0.2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86167</v>
      </c>
    </row>
    <row r="46" spans="1:9" ht="20.100000000000001" customHeight="1" x14ac:dyDescent="0.2">
      <c r="A46" s="245">
        <v>9</v>
      </c>
      <c r="B46" s="253" t="s">
        <v>265</v>
      </c>
      <c r="C46" s="253">
        <f>data!J64</f>
        <v>149958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-331</v>
      </c>
      <c r="I46" s="253">
        <f>data!P64</f>
        <v>6519829.4500000002</v>
      </c>
    </row>
    <row r="47" spans="1:9" ht="20.100000000000001" customHeight="1" x14ac:dyDescent="0.2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1921.44</v>
      </c>
      <c r="I47" s="253">
        <f>data!P65</f>
        <v>566.1</v>
      </c>
    </row>
    <row r="48" spans="1:9" ht="20.100000000000001" customHeight="1" x14ac:dyDescent="0.2">
      <c r="A48" s="245">
        <v>11</v>
      </c>
      <c r="B48" s="253" t="s">
        <v>512</v>
      </c>
      <c r="C48" s="253">
        <f>data!J66</f>
        <v>1793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473</v>
      </c>
      <c r="I48" s="253">
        <f>data!P66</f>
        <v>33200.75</v>
      </c>
    </row>
    <row r="49" spans="1:11" ht="20.100000000000001" customHeight="1" x14ac:dyDescent="0.2">
      <c r="A49" s="245">
        <v>12</v>
      </c>
      <c r="B49" s="253" t="s">
        <v>16</v>
      </c>
      <c r="C49" s="253">
        <f>data!J67</f>
        <v>17742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169262</v>
      </c>
    </row>
    <row r="50" spans="1:11" ht="20.100000000000001" customHeight="1" x14ac:dyDescent="0.2">
      <c r="A50" s="245">
        <v>13</v>
      </c>
      <c r="B50" s="253" t="s">
        <v>995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2908</v>
      </c>
    </row>
    <row r="51" spans="1:11" ht="20.100000000000001" customHeight="1" x14ac:dyDescent="0.2">
      <c r="A51" s="245">
        <v>14</v>
      </c>
      <c r="B51" s="253" t="s">
        <v>996</v>
      </c>
      <c r="C51" s="253">
        <f>data!J69</f>
        <v>164981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383227.28</v>
      </c>
      <c r="I51" s="253">
        <f>data!P69</f>
        <v>849218.7</v>
      </c>
    </row>
    <row r="52" spans="1:11" ht="20.100000000000001" customHeight="1" x14ac:dyDescent="0.2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00000000000001" customHeight="1" x14ac:dyDescent="0.2">
      <c r="A53" s="245">
        <v>16</v>
      </c>
      <c r="B53" s="261" t="s">
        <v>997</v>
      </c>
      <c r="C53" s="253">
        <f>data!J85</f>
        <v>1860475.64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1254990.43</v>
      </c>
      <c r="I53" s="253">
        <f>data!P85</f>
        <v>10107047.359999999</v>
      </c>
    </row>
    <row r="54" spans="1:11" ht="20.100000000000001" customHeight="1" x14ac:dyDescent="0.2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00000000000001" customHeight="1" x14ac:dyDescent="0.2">
      <c r="A55" s="245">
        <v>18</v>
      </c>
      <c r="B55" s="253" t="s">
        <v>998</v>
      </c>
      <c r="C55" s="261">
        <f>+data!M675</f>
        <v>533730</v>
      </c>
      <c r="D55" s="261">
        <f>+data!M676</f>
        <v>0</v>
      </c>
      <c r="E55" s="261">
        <f>+data!M691</f>
        <v>1598705</v>
      </c>
      <c r="F55" s="261">
        <f>+data!M692</f>
        <v>311843</v>
      </c>
      <c r="G55" s="261">
        <f>+data!M693</f>
        <v>1117949</v>
      </c>
      <c r="H55" s="261">
        <f>+data!M680</f>
        <v>609154</v>
      </c>
      <c r="I55" s="261">
        <f>+data!M681</f>
        <v>3481738</v>
      </c>
    </row>
    <row r="56" spans="1:11" ht="20.100000000000001" customHeight="1" x14ac:dyDescent="0.2">
      <c r="A56" s="245">
        <v>19</v>
      </c>
      <c r="B56" s="261" t="s">
        <v>999</v>
      </c>
      <c r="C56" s="253">
        <f>data!J87</f>
        <v>5934224.0899999999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20645793.09</v>
      </c>
      <c r="I56" s="253">
        <f>data!P87</f>
        <v>31218559.359999999</v>
      </c>
    </row>
    <row r="57" spans="1:11" ht="20.100000000000001" customHeight="1" x14ac:dyDescent="0.2">
      <c r="A57" s="245">
        <v>20</v>
      </c>
      <c r="B57" s="261" t="s">
        <v>1000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2386163.59</v>
      </c>
      <c r="I57" s="253">
        <f>data!P88</f>
        <v>39575642.170000002</v>
      </c>
    </row>
    <row r="58" spans="1:11" ht="20.100000000000001" customHeight="1" x14ac:dyDescent="0.2">
      <c r="A58" s="245">
        <v>21</v>
      </c>
      <c r="B58" s="261" t="s">
        <v>1001</v>
      </c>
      <c r="C58" s="253">
        <f>data!J89</f>
        <v>5934224.0899999999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23031956.68</v>
      </c>
      <c r="I58" s="253">
        <f>data!P89</f>
        <v>70794201.530000001</v>
      </c>
    </row>
    <row r="59" spans="1:11" ht="20.100000000000001" customHeight="1" x14ac:dyDescent="0.2">
      <c r="A59" s="245" t="s">
        <v>1002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00000000000001" customHeight="1" x14ac:dyDescent="0.25">
      <c r="A60" s="245">
        <v>22</v>
      </c>
      <c r="B60" s="253" t="s">
        <v>1003</v>
      </c>
      <c r="C60" s="253">
        <f>data!J90</f>
        <v>1521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14511</v>
      </c>
      <c r="K60" s="264"/>
    </row>
    <row r="61" spans="1:11" ht="20.100000000000001" customHeight="1" x14ac:dyDescent="0.2">
      <c r="A61" s="245">
        <v>23</v>
      </c>
      <c r="B61" s="253" t="s">
        <v>1004</v>
      </c>
      <c r="C61" s="253">
        <f>data!J91</f>
        <v>468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00000000000001" customHeight="1" x14ac:dyDescent="0.2">
      <c r="A62" s="245">
        <v>24</v>
      </c>
      <c r="B62" s="253" t="s">
        <v>1005</v>
      </c>
      <c r="C62" s="253">
        <f>data!J92</f>
        <v>273.52492743725458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2609.5464970690346</v>
      </c>
    </row>
    <row r="63" spans="1:11" ht="20.100000000000001" customHeight="1" x14ac:dyDescent="0.2">
      <c r="A63" s="245">
        <v>25</v>
      </c>
      <c r="B63" s="253" t="s">
        <v>1006</v>
      </c>
      <c r="C63" s="253">
        <f>data!J93</f>
        <v>10574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35242</v>
      </c>
    </row>
    <row r="64" spans="1:11" ht="20.100000000000001" customHeight="1" x14ac:dyDescent="0.2">
      <c r="A64" s="245">
        <v>26</v>
      </c>
      <c r="B64" s="253" t="s">
        <v>294</v>
      </c>
      <c r="C64" s="260">
        <f>data!J94</f>
        <v>10.64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8.7899999999999991</v>
      </c>
    </row>
    <row r="65" spans="1:9" ht="20.100000000000001" customHeight="1" x14ac:dyDescent="0.2">
      <c r="A65" s="246" t="s">
        <v>988</v>
      </c>
      <c r="B65" s="247"/>
      <c r="C65" s="247"/>
      <c r="D65" s="247"/>
      <c r="E65" s="247"/>
      <c r="F65" s="247"/>
      <c r="G65" s="247"/>
      <c r="H65" s="247"/>
      <c r="I65" s="246"/>
    </row>
    <row r="66" spans="1:9" ht="20.100000000000001" customHeight="1" x14ac:dyDescent="0.2">
      <c r="D66" s="249"/>
      <c r="I66" s="250" t="s">
        <v>1010</v>
      </c>
    </row>
    <row r="67" spans="1:9" ht="20.100000000000001" customHeight="1" x14ac:dyDescent="0.2">
      <c r="A67" s="249"/>
    </row>
    <row r="68" spans="1:9" ht="20.100000000000001" customHeight="1" x14ac:dyDescent="0.2">
      <c r="A68" s="251" t="str">
        <f>"Hospital: "&amp;data!C98</f>
        <v>Hospital: RCCH Trios Health LLC</v>
      </c>
      <c r="G68" s="252"/>
      <c r="H68" s="251" t="str">
        <f>"FYE: "&amp;data!C96</f>
        <v>FYE: 12/31/2023</v>
      </c>
    </row>
    <row r="69" spans="1:9" ht="20.100000000000001" customHeight="1" x14ac:dyDescent="0.2">
      <c r="A69" s="348">
        <v>1</v>
      </c>
      <c r="B69" s="349" t="s">
        <v>236</v>
      </c>
      <c r="C69" s="350" t="s">
        <v>50</v>
      </c>
      <c r="D69" s="350" t="s">
        <v>51</v>
      </c>
      <c r="E69" s="350" t="s">
        <v>52</v>
      </c>
      <c r="F69" s="350" t="s">
        <v>53</v>
      </c>
      <c r="G69" s="350" t="s">
        <v>54</v>
      </c>
      <c r="H69" s="255" t="s">
        <v>55</v>
      </c>
      <c r="I69" s="255" t="s">
        <v>56</v>
      </c>
    </row>
    <row r="70" spans="1:9" ht="20.100000000000001" customHeight="1" x14ac:dyDescent="0.2">
      <c r="A70" s="256">
        <v>2</v>
      </c>
      <c r="B70" s="257" t="s">
        <v>990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00000000000001" customHeight="1" x14ac:dyDescent="0.2">
      <c r="A71" s="256"/>
      <c r="B71" s="257"/>
      <c r="C71" s="259" t="s">
        <v>198</v>
      </c>
      <c r="D71" s="259" t="s">
        <v>1011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00000000000001" customHeight="1" x14ac:dyDescent="0.2">
      <c r="A72" s="245">
        <v>3</v>
      </c>
      <c r="B72" s="253" t="s">
        <v>994</v>
      </c>
      <c r="C72" s="255" t="s">
        <v>1012</v>
      </c>
      <c r="D72" s="254" t="s">
        <v>1013</v>
      </c>
      <c r="E72" s="265"/>
      <c r="F72" s="265"/>
      <c r="G72" s="254" t="s">
        <v>1014</v>
      </c>
      <c r="H72" s="254" t="s">
        <v>1014</v>
      </c>
      <c r="I72" s="255" t="s">
        <v>250</v>
      </c>
    </row>
    <row r="73" spans="1:9" ht="20.100000000000001" customHeight="1" x14ac:dyDescent="0.2">
      <c r="A73" s="245">
        <v>4</v>
      </c>
      <c r="B73" s="253" t="s">
        <v>261</v>
      </c>
      <c r="C73" s="253">
        <f>data!Q59</f>
        <v>110193</v>
      </c>
      <c r="D73" s="261">
        <f>data!R59</f>
        <v>274970</v>
      </c>
      <c r="E73" s="265"/>
      <c r="F73" s="265"/>
      <c r="G73" s="253">
        <f>data!U59</f>
        <v>365817</v>
      </c>
      <c r="H73" s="253">
        <f>data!V59</f>
        <v>245</v>
      </c>
      <c r="I73" s="253">
        <f>data!W59</f>
        <v>2169</v>
      </c>
    </row>
    <row r="74" spans="1:9" ht="20.100000000000001" customHeight="1" x14ac:dyDescent="0.2">
      <c r="A74" s="245">
        <v>5</v>
      </c>
      <c r="B74" s="253" t="s">
        <v>262</v>
      </c>
      <c r="C74" s="260">
        <f>data!Q60</f>
        <v>5.34</v>
      </c>
      <c r="D74" s="260">
        <f>data!R60</f>
        <v>2.87</v>
      </c>
      <c r="E74" s="260">
        <f>data!S60</f>
        <v>9.0500000000000007</v>
      </c>
      <c r="F74" s="260">
        <f>data!T60</f>
        <v>0</v>
      </c>
      <c r="G74" s="260">
        <f>data!U60</f>
        <v>24.12</v>
      </c>
      <c r="H74" s="260">
        <f>data!V60</f>
        <v>0.98</v>
      </c>
      <c r="I74" s="260">
        <f>data!W60</f>
        <v>3.05</v>
      </c>
    </row>
    <row r="75" spans="1:9" ht="20.100000000000001" customHeight="1" x14ac:dyDescent="0.2">
      <c r="A75" s="245">
        <v>6</v>
      </c>
      <c r="B75" s="253" t="s">
        <v>263</v>
      </c>
      <c r="C75" s="253">
        <f>data!Q61</f>
        <v>809784.66</v>
      </c>
      <c r="D75" s="253">
        <f>data!R61</f>
        <v>273947.5</v>
      </c>
      <c r="E75" s="253">
        <f>data!S61</f>
        <v>528668.9</v>
      </c>
      <c r="F75" s="253">
        <f>data!T61</f>
        <v>0</v>
      </c>
      <c r="G75" s="253">
        <f>data!U61</f>
        <v>1508302.75</v>
      </c>
      <c r="H75" s="253">
        <f>data!V61</f>
        <v>65955.41</v>
      </c>
      <c r="I75" s="253">
        <f>data!W61</f>
        <v>385154.37</v>
      </c>
    </row>
    <row r="76" spans="1:9" ht="20.100000000000001" customHeight="1" x14ac:dyDescent="0.2">
      <c r="A76" s="245">
        <v>7</v>
      </c>
      <c r="B76" s="253" t="s">
        <v>11</v>
      </c>
      <c r="C76" s="253">
        <f>data!Q62</f>
        <v>149353</v>
      </c>
      <c r="D76" s="253">
        <f>data!R62</f>
        <v>50526</v>
      </c>
      <c r="E76" s="253">
        <f>data!S62</f>
        <v>97505</v>
      </c>
      <c r="F76" s="253">
        <f>data!T62</f>
        <v>0</v>
      </c>
      <c r="G76" s="253">
        <f>data!U62</f>
        <v>278185</v>
      </c>
      <c r="H76" s="253">
        <f>data!V62</f>
        <v>12165</v>
      </c>
      <c r="I76" s="253">
        <f>data!W62</f>
        <v>71036</v>
      </c>
    </row>
    <row r="77" spans="1:9" ht="20.100000000000001" customHeight="1" x14ac:dyDescent="0.2">
      <c r="A77" s="245">
        <v>8</v>
      </c>
      <c r="B77" s="253" t="s">
        <v>264</v>
      </c>
      <c r="C77" s="253">
        <f>data!Q63</f>
        <v>0</v>
      </c>
      <c r="D77" s="253">
        <f>data!R63</f>
        <v>1471988</v>
      </c>
      <c r="E77" s="253">
        <f>data!S63</f>
        <v>0</v>
      </c>
      <c r="F77" s="253">
        <f>data!T63</f>
        <v>0</v>
      </c>
      <c r="G77" s="253">
        <f>data!U63</f>
        <v>194873</v>
      </c>
      <c r="H77" s="253">
        <f>data!V63</f>
        <v>60185</v>
      </c>
      <c r="I77" s="253">
        <f>data!W63</f>
        <v>0</v>
      </c>
    </row>
    <row r="78" spans="1:9" ht="20.100000000000001" customHeight="1" x14ac:dyDescent="0.2">
      <c r="A78" s="245">
        <v>9</v>
      </c>
      <c r="B78" s="253" t="s">
        <v>265</v>
      </c>
      <c r="C78" s="253">
        <f>data!Q64</f>
        <v>8588.66</v>
      </c>
      <c r="D78" s="253">
        <f>data!R64</f>
        <v>202661.92</v>
      </c>
      <c r="E78" s="253">
        <f>data!S64</f>
        <v>1432350.9300000002</v>
      </c>
      <c r="F78" s="253">
        <f>data!T64</f>
        <v>146360.69</v>
      </c>
      <c r="G78" s="253">
        <f>data!U64</f>
        <v>1525622.79</v>
      </c>
      <c r="H78" s="253">
        <f>data!V64</f>
        <v>2809.25</v>
      </c>
      <c r="I78" s="253">
        <f>data!W64</f>
        <v>9870.32</v>
      </c>
    </row>
    <row r="79" spans="1:9" ht="20.100000000000001" customHeight="1" x14ac:dyDescent="0.2">
      <c r="A79" s="245">
        <v>10</v>
      </c>
      <c r="B79" s="253" t="s">
        <v>511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00000000000001" customHeight="1" x14ac:dyDescent="0.2">
      <c r="A80" s="245">
        <v>11</v>
      </c>
      <c r="B80" s="253" t="s">
        <v>512</v>
      </c>
      <c r="C80" s="253">
        <f>data!Q66</f>
        <v>572</v>
      </c>
      <c r="D80" s="253">
        <f>data!R66</f>
        <v>0</v>
      </c>
      <c r="E80" s="253">
        <f>data!S66</f>
        <v>34564.51</v>
      </c>
      <c r="F80" s="253">
        <f>data!T66</f>
        <v>0</v>
      </c>
      <c r="G80" s="253">
        <f>data!U66</f>
        <v>338796.85</v>
      </c>
      <c r="H80" s="253">
        <f>data!V66</f>
        <v>0</v>
      </c>
      <c r="I80" s="253">
        <f>data!W66</f>
        <v>0</v>
      </c>
    </row>
    <row r="81" spans="1:9" ht="20.100000000000001" customHeight="1" x14ac:dyDescent="0.2">
      <c r="A81" s="245">
        <v>12</v>
      </c>
      <c r="B81" s="253" t="s">
        <v>16</v>
      </c>
      <c r="C81" s="253">
        <f>data!Q67</f>
        <v>39192</v>
      </c>
      <c r="D81" s="253">
        <f>data!R67</f>
        <v>1750</v>
      </c>
      <c r="E81" s="253">
        <f>data!S67</f>
        <v>56747</v>
      </c>
      <c r="F81" s="253">
        <f>data!T67</f>
        <v>0</v>
      </c>
      <c r="G81" s="253">
        <f>data!U67</f>
        <v>125264</v>
      </c>
      <c r="H81" s="253">
        <f>data!V67</f>
        <v>1750</v>
      </c>
      <c r="I81" s="253">
        <f>data!W67</f>
        <v>64854</v>
      </c>
    </row>
    <row r="82" spans="1:9" ht="20.100000000000001" customHeight="1" x14ac:dyDescent="0.2">
      <c r="A82" s="245">
        <v>13</v>
      </c>
      <c r="B82" s="253" t="s">
        <v>995</v>
      </c>
      <c r="C82" s="253">
        <f>data!Q68</f>
        <v>0</v>
      </c>
      <c r="D82" s="253">
        <f>data!R68</f>
        <v>0</v>
      </c>
      <c r="E82" s="253">
        <f>data!S68</f>
        <v>1866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00000000000001" customHeight="1" x14ac:dyDescent="0.2">
      <c r="A83" s="245">
        <v>14</v>
      </c>
      <c r="B83" s="253" t="s">
        <v>996</v>
      </c>
      <c r="C83" s="253">
        <f>data!Q69</f>
        <v>436.68</v>
      </c>
      <c r="D83" s="253">
        <f>data!R69</f>
        <v>-347.57</v>
      </c>
      <c r="E83" s="253">
        <f>data!S69</f>
        <v>175485.02000000002</v>
      </c>
      <c r="F83" s="253">
        <f>data!T69</f>
        <v>0</v>
      </c>
      <c r="G83" s="253">
        <f>data!U69</f>
        <v>1659690.4600000002</v>
      </c>
      <c r="H83" s="253">
        <f>data!V69</f>
        <v>513.46</v>
      </c>
      <c r="I83" s="253">
        <f>data!W69</f>
        <v>234751.22</v>
      </c>
    </row>
    <row r="84" spans="1:9" ht="20.100000000000001" customHeight="1" x14ac:dyDescent="0.2">
      <c r="A84" s="245">
        <v>15</v>
      </c>
      <c r="B84" s="253" t="s">
        <v>284</v>
      </c>
      <c r="C84" s="253">
        <f>-data!Q84</f>
        <v>0</v>
      </c>
      <c r="D84" s="253">
        <f>-data!R84</f>
        <v>0</v>
      </c>
      <c r="E84" s="253">
        <f>-data!S84</f>
        <v>-536172.64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-53041.65</v>
      </c>
    </row>
    <row r="85" spans="1:9" ht="20.100000000000001" customHeight="1" x14ac:dyDescent="0.2">
      <c r="A85" s="245">
        <v>16</v>
      </c>
      <c r="B85" s="261" t="s">
        <v>997</v>
      </c>
      <c r="C85" s="253">
        <f>data!Q85</f>
        <v>1007927.0000000001</v>
      </c>
      <c r="D85" s="253">
        <f>data!R85</f>
        <v>2000525.8499999999</v>
      </c>
      <c r="E85" s="253">
        <f>data!S85</f>
        <v>1791014.7199999997</v>
      </c>
      <c r="F85" s="253">
        <f>data!T85</f>
        <v>146360.69</v>
      </c>
      <c r="G85" s="253">
        <f>data!U85</f>
        <v>5630734.8500000006</v>
      </c>
      <c r="H85" s="253">
        <f>data!V85</f>
        <v>143378.12</v>
      </c>
      <c r="I85" s="253">
        <f>data!W85</f>
        <v>712624.25999999989</v>
      </c>
    </row>
    <row r="86" spans="1:9" ht="20.100000000000001" customHeight="1" x14ac:dyDescent="0.2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00000000000001" customHeight="1" x14ac:dyDescent="0.2">
      <c r="A87" s="245">
        <v>18</v>
      </c>
      <c r="B87" s="253" t="s">
        <v>998</v>
      </c>
      <c r="C87" s="261">
        <f>+data!M682</f>
        <v>388500</v>
      </c>
      <c r="D87" s="261">
        <f>+data!M683</f>
        <v>261126</v>
      </c>
      <c r="E87" s="261">
        <f>+data!M684</f>
        <v>622441</v>
      </c>
      <c r="F87" s="261">
        <f>+data!M685</f>
        <v>163253</v>
      </c>
      <c r="G87" s="261">
        <f>+data!M686</f>
        <v>3136027</v>
      </c>
      <c r="H87" s="261">
        <f>+data!M687</f>
        <v>28113</v>
      </c>
      <c r="I87" s="261">
        <f>+data!M688</f>
        <v>520549</v>
      </c>
    </row>
    <row r="88" spans="1:9" ht="20.100000000000001" customHeight="1" x14ac:dyDescent="0.2">
      <c r="A88" s="245">
        <v>19</v>
      </c>
      <c r="B88" s="261" t="s">
        <v>999</v>
      </c>
      <c r="C88" s="253">
        <f>data!Q87</f>
        <v>1360122.42</v>
      </c>
      <c r="D88" s="253">
        <f>data!R87</f>
        <v>3249389.96</v>
      </c>
      <c r="E88" s="253">
        <f>data!S87</f>
        <v>3883409.14</v>
      </c>
      <c r="F88" s="253">
        <f>data!T87</f>
        <v>2621019.23</v>
      </c>
      <c r="G88" s="253">
        <f>data!U87</f>
        <v>54216920.520000003</v>
      </c>
      <c r="H88" s="253">
        <f>data!V87</f>
        <v>160238.12</v>
      </c>
      <c r="I88" s="253">
        <f>data!W87</f>
        <v>1812952.44</v>
      </c>
    </row>
    <row r="89" spans="1:9" ht="20.100000000000001" customHeight="1" x14ac:dyDescent="0.2">
      <c r="A89" s="245">
        <v>20</v>
      </c>
      <c r="B89" s="261" t="s">
        <v>1000</v>
      </c>
      <c r="C89" s="253">
        <f>data!Q88</f>
        <v>2619249.87</v>
      </c>
      <c r="D89" s="253">
        <f>data!R88</f>
        <v>0</v>
      </c>
      <c r="E89" s="253">
        <f>data!S88</f>
        <v>4324829.58</v>
      </c>
      <c r="F89" s="253">
        <f>data!T88</f>
        <v>3858549.58</v>
      </c>
      <c r="G89" s="253">
        <f>data!U88</f>
        <v>40375689.479999997</v>
      </c>
      <c r="H89" s="253">
        <f>data!V88</f>
        <v>198903.34</v>
      </c>
      <c r="I89" s="253">
        <f>data!W88</f>
        <v>8222672.04</v>
      </c>
    </row>
    <row r="90" spans="1:9" ht="20.100000000000001" customHeight="1" x14ac:dyDescent="0.2">
      <c r="A90" s="245">
        <v>21</v>
      </c>
      <c r="B90" s="261" t="s">
        <v>1001</v>
      </c>
      <c r="C90" s="253">
        <f>data!Q89</f>
        <v>3979372.29</v>
      </c>
      <c r="D90" s="253">
        <f>data!R89</f>
        <v>3249389.96</v>
      </c>
      <c r="E90" s="253">
        <f>data!S89</f>
        <v>8208238.7200000007</v>
      </c>
      <c r="F90" s="253">
        <f>data!T89</f>
        <v>6479568.8100000005</v>
      </c>
      <c r="G90" s="253">
        <f>data!U89</f>
        <v>94592610</v>
      </c>
      <c r="H90" s="253">
        <f>data!V89</f>
        <v>359141.45999999996</v>
      </c>
      <c r="I90" s="253">
        <f>data!W89</f>
        <v>10035624.48</v>
      </c>
    </row>
    <row r="91" spans="1:9" ht="20.100000000000001" customHeight="1" x14ac:dyDescent="0.2">
      <c r="A91" s="245" t="s">
        <v>1002</v>
      </c>
      <c r="B91" s="253"/>
      <c r="C91" s="263"/>
      <c r="D91" s="263"/>
      <c r="E91" s="263"/>
      <c r="F91" s="263"/>
      <c r="G91" s="263"/>
      <c r="H91" s="263"/>
      <c r="I91" s="263"/>
    </row>
    <row r="92" spans="1:9" ht="20.100000000000001" customHeight="1" x14ac:dyDescent="0.2">
      <c r="A92" s="245">
        <v>22</v>
      </c>
      <c r="B92" s="253" t="s">
        <v>1003</v>
      </c>
      <c r="C92" s="253">
        <f>data!Q90</f>
        <v>3360</v>
      </c>
      <c r="D92" s="253">
        <f>data!R90</f>
        <v>150</v>
      </c>
      <c r="E92" s="253">
        <f>data!S90</f>
        <v>4865</v>
      </c>
      <c r="F92" s="253">
        <f>data!T90</f>
        <v>0</v>
      </c>
      <c r="G92" s="253">
        <f>data!U90</f>
        <v>10739</v>
      </c>
      <c r="H92" s="253">
        <f>data!V90</f>
        <v>150</v>
      </c>
      <c r="I92" s="253">
        <f>data!W90</f>
        <v>5560</v>
      </c>
    </row>
    <row r="93" spans="1:9" ht="20.100000000000001" customHeight="1" x14ac:dyDescent="0.2">
      <c r="A93" s="245">
        <v>23</v>
      </c>
      <c r="B93" s="253" t="s">
        <v>1004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00000000000001" customHeight="1" x14ac:dyDescent="0.2">
      <c r="A94" s="245">
        <v>24</v>
      </c>
      <c r="B94" s="253" t="s">
        <v>1005</v>
      </c>
      <c r="C94" s="253">
        <f>data!Q92</f>
        <v>604.23652609413239</v>
      </c>
      <c r="D94" s="253">
        <f>data!R92</f>
        <v>26.974844914916623</v>
      </c>
      <c r="E94" s="253">
        <f>data!S92</f>
        <v>874.8841367404624</v>
      </c>
      <c r="F94" s="253">
        <f>data!T92</f>
        <v>0</v>
      </c>
      <c r="G94" s="253">
        <f>data!U92</f>
        <v>1931.2190636085975</v>
      </c>
      <c r="H94" s="253">
        <f>data!V92</f>
        <v>26.974844914916623</v>
      </c>
      <c r="I94" s="253">
        <f>data!W92</f>
        <v>999.86758484624283</v>
      </c>
    </row>
    <row r="95" spans="1:9" ht="20.100000000000001" customHeight="1" x14ac:dyDescent="0.2">
      <c r="A95" s="245">
        <v>25</v>
      </c>
      <c r="B95" s="253" t="s">
        <v>1006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00000000000001" customHeight="1" x14ac:dyDescent="0.2">
      <c r="A96" s="245">
        <v>26</v>
      </c>
      <c r="B96" s="253" t="s">
        <v>294</v>
      </c>
      <c r="C96" s="260">
        <f>data!Q94</f>
        <v>5.38</v>
      </c>
      <c r="D96" s="260">
        <f>data!R94</f>
        <v>0.99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00000000000001" customHeight="1" x14ac:dyDescent="0.2">
      <c r="A97" s="246" t="s">
        <v>988</v>
      </c>
      <c r="B97" s="247"/>
      <c r="C97" s="247"/>
      <c r="D97" s="247"/>
      <c r="E97" s="247"/>
      <c r="F97" s="247"/>
      <c r="G97" s="247"/>
      <c r="H97" s="247"/>
      <c r="I97" s="246"/>
    </row>
    <row r="98" spans="1:9" ht="20.100000000000001" customHeight="1" x14ac:dyDescent="0.2">
      <c r="D98" s="249"/>
      <c r="I98" s="250" t="s">
        <v>1015</v>
      </c>
    </row>
    <row r="99" spans="1:9" ht="20.100000000000001" customHeight="1" x14ac:dyDescent="0.2">
      <c r="A99" s="249"/>
    </row>
    <row r="100" spans="1:9" ht="20.100000000000001" customHeight="1" x14ac:dyDescent="0.2">
      <c r="A100" s="251" t="str">
        <f>"Hospital: "&amp;data!C98</f>
        <v>Hospital: RCCH Trios Health LLC</v>
      </c>
      <c r="G100" s="252"/>
      <c r="H100" s="251" t="str">
        <f>"FYE: "&amp;data!C96</f>
        <v>FYE: 12/31/2023</v>
      </c>
    </row>
    <row r="101" spans="1:9" ht="20.100000000000001" customHeight="1" x14ac:dyDescent="0.2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00000000000001" customHeight="1" x14ac:dyDescent="0.2">
      <c r="A102" s="256">
        <v>2</v>
      </c>
      <c r="B102" s="257" t="s">
        <v>990</v>
      </c>
      <c r="C102" s="259" t="s">
        <v>1016</v>
      </c>
      <c r="D102" s="259" t="s">
        <v>1017</v>
      </c>
      <c r="E102" s="259" t="s">
        <v>1017</v>
      </c>
      <c r="F102" s="259" t="s">
        <v>141</v>
      </c>
      <c r="G102" s="259"/>
      <c r="H102" s="259" t="s">
        <v>143</v>
      </c>
      <c r="I102" s="259"/>
    </row>
    <row r="103" spans="1:9" ht="20.100000000000001" customHeight="1" x14ac:dyDescent="0.2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00000000000001" customHeight="1" x14ac:dyDescent="0.2">
      <c r="A104" s="245">
        <v>3</v>
      </c>
      <c r="B104" s="253" t="s">
        <v>994</v>
      </c>
      <c r="C104" s="254" t="s">
        <v>251</v>
      </c>
      <c r="D104" s="255" t="s">
        <v>1018</v>
      </c>
      <c r="E104" s="255" t="s">
        <v>1018</v>
      </c>
      <c r="F104" s="255" t="s">
        <v>1018</v>
      </c>
      <c r="G104" s="265"/>
      <c r="H104" s="255" t="s">
        <v>253</v>
      </c>
      <c r="I104" s="255" t="s">
        <v>254</v>
      </c>
    </row>
    <row r="105" spans="1:9" ht="20.100000000000001" customHeight="1" x14ac:dyDescent="0.2">
      <c r="A105" s="245">
        <v>4</v>
      </c>
      <c r="B105" s="253" t="s">
        <v>261</v>
      </c>
      <c r="C105" s="253">
        <f>data!X59</f>
        <v>11835</v>
      </c>
      <c r="D105" s="253">
        <f>data!Y59</f>
        <v>46677</v>
      </c>
      <c r="E105" s="253">
        <f>data!Z59</f>
        <v>448956</v>
      </c>
      <c r="F105" s="253">
        <f>data!AA59</f>
        <v>860</v>
      </c>
      <c r="G105" s="265"/>
      <c r="H105" s="253">
        <f>data!AC59</f>
        <v>38295</v>
      </c>
      <c r="I105" s="253">
        <f>data!AD59</f>
        <v>0</v>
      </c>
    </row>
    <row r="106" spans="1:9" ht="20.100000000000001" customHeight="1" x14ac:dyDescent="0.2">
      <c r="A106" s="245">
        <v>5</v>
      </c>
      <c r="B106" s="253" t="s">
        <v>262</v>
      </c>
      <c r="C106" s="260">
        <f>data!X60</f>
        <v>6.56</v>
      </c>
      <c r="D106" s="260">
        <f>data!Y60</f>
        <v>27.08</v>
      </c>
      <c r="E106" s="260">
        <f>data!Z60</f>
        <v>0</v>
      </c>
      <c r="F106" s="260">
        <f>data!AA60</f>
        <v>1.72</v>
      </c>
      <c r="G106" s="260">
        <f>data!AB60</f>
        <v>15.46</v>
      </c>
      <c r="H106" s="260">
        <f>data!AC60</f>
        <v>11.82</v>
      </c>
      <c r="I106" s="260">
        <f>data!AD60</f>
        <v>0</v>
      </c>
    </row>
    <row r="107" spans="1:9" ht="20.100000000000001" customHeight="1" x14ac:dyDescent="0.2">
      <c r="A107" s="245">
        <v>6</v>
      </c>
      <c r="B107" s="253" t="s">
        <v>263</v>
      </c>
      <c r="C107" s="253">
        <f>data!X61</f>
        <v>668544.9</v>
      </c>
      <c r="D107" s="253">
        <f>data!Y61</f>
        <v>2462500.15</v>
      </c>
      <c r="E107" s="253">
        <f>data!Z61</f>
        <v>0</v>
      </c>
      <c r="F107" s="253">
        <f>data!AA61</f>
        <v>213209.47</v>
      </c>
      <c r="G107" s="253">
        <f>data!AB61</f>
        <v>1769187.08</v>
      </c>
      <c r="H107" s="253">
        <f>data!AC61</f>
        <v>1264580.55</v>
      </c>
      <c r="I107" s="253">
        <f>data!AD61</f>
        <v>0</v>
      </c>
    </row>
    <row r="108" spans="1:9" ht="20.100000000000001" customHeight="1" x14ac:dyDescent="0.2">
      <c r="A108" s="245">
        <v>7</v>
      </c>
      <c r="B108" s="253" t="s">
        <v>11</v>
      </c>
      <c r="C108" s="253">
        <f>data!X62</f>
        <v>123303</v>
      </c>
      <c r="D108" s="253">
        <f>data!Y62</f>
        <v>454173</v>
      </c>
      <c r="E108" s="253">
        <f>data!Z62</f>
        <v>0</v>
      </c>
      <c r="F108" s="253">
        <f>data!AA62</f>
        <v>39323</v>
      </c>
      <c r="G108" s="253">
        <f>data!AB62</f>
        <v>326301</v>
      </c>
      <c r="H108" s="253">
        <f>data!AC62</f>
        <v>233234</v>
      </c>
      <c r="I108" s="253">
        <f>data!AD62</f>
        <v>0</v>
      </c>
    </row>
    <row r="109" spans="1:9" ht="20.100000000000001" customHeight="1" x14ac:dyDescent="0.2">
      <c r="A109" s="245">
        <v>8</v>
      </c>
      <c r="B109" s="253" t="s">
        <v>264</v>
      </c>
      <c r="C109" s="253">
        <f>data!X63</f>
        <v>0</v>
      </c>
      <c r="D109" s="253">
        <f>data!Y63</f>
        <v>958612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32095</v>
      </c>
      <c r="I109" s="253">
        <f>data!AD63</f>
        <v>0</v>
      </c>
    </row>
    <row r="110" spans="1:9" ht="20.100000000000001" customHeight="1" x14ac:dyDescent="0.2">
      <c r="A110" s="245">
        <v>9</v>
      </c>
      <c r="B110" s="253" t="s">
        <v>265</v>
      </c>
      <c r="C110" s="253">
        <f>data!X64</f>
        <v>150521.26</v>
      </c>
      <c r="D110" s="253">
        <f>data!Y64</f>
        <v>217173.02999999997</v>
      </c>
      <c r="E110" s="253">
        <f>data!Z64</f>
        <v>6016657.4500000002</v>
      </c>
      <c r="F110" s="253">
        <f>data!AA64</f>
        <v>44294.23</v>
      </c>
      <c r="G110" s="253">
        <f>data!AB64</f>
        <v>2984028.81</v>
      </c>
      <c r="H110" s="253">
        <f>data!AC64</f>
        <v>310573.21000000002</v>
      </c>
      <c r="I110" s="253">
        <f>data!AD64</f>
        <v>0</v>
      </c>
    </row>
    <row r="111" spans="1:9" ht="20.100000000000001" customHeight="1" x14ac:dyDescent="0.2">
      <c r="A111" s="245">
        <v>10</v>
      </c>
      <c r="B111" s="253" t="s">
        <v>511</v>
      </c>
      <c r="C111" s="253">
        <f>data!X65</f>
        <v>0</v>
      </c>
      <c r="D111" s="253">
        <f>data!Y65</f>
        <v>1400.88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757.44</v>
      </c>
      <c r="I111" s="253">
        <f>data!AD65</f>
        <v>0</v>
      </c>
    </row>
    <row r="112" spans="1:9" ht="20.100000000000001" customHeight="1" x14ac:dyDescent="0.2">
      <c r="A112" s="245">
        <v>11</v>
      </c>
      <c r="B112" s="253" t="s">
        <v>512</v>
      </c>
      <c r="C112" s="253">
        <f>data!X66</f>
        <v>257585.39</v>
      </c>
      <c r="D112" s="253">
        <f>data!Y66</f>
        <v>81932.62</v>
      </c>
      <c r="E112" s="253">
        <f>data!Z66</f>
        <v>213</v>
      </c>
      <c r="F112" s="253">
        <f>data!AA66</f>
        <v>0</v>
      </c>
      <c r="G112" s="253">
        <f>data!AB66</f>
        <v>140535.89000000001</v>
      </c>
      <c r="H112" s="253">
        <f>data!AC66</f>
        <v>8562.08</v>
      </c>
      <c r="I112" s="253">
        <f>data!AD66</f>
        <v>0</v>
      </c>
    </row>
    <row r="113" spans="1:9" ht="20.100000000000001" customHeight="1" x14ac:dyDescent="0.2">
      <c r="A113" s="245">
        <v>12</v>
      </c>
      <c r="B113" s="253" t="s">
        <v>16</v>
      </c>
      <c r="C113" s="253">
        <f>data!X67</f>
        <v>36976</v>
      </c>
      <c r="D113" s="253">
        <f>data!Y67</f>
        <v>194749</v>
      </c>
      <c r="E113" s="253">
        <f>data!Z67</f>
        <v>0</v>
      </c>
      <c r="F113" s="253">
        <f>data!AA67</f>
        <v>49539</v>
      </c>
      <c r="G113" s="253">
        <f>data!AB67</f>
        <v>45538</v>
      </c>
      <c r="H113" s="253">
        <f>data!AC67</f>
        <v>47322</v>
      </c>
      <c r="I113" s="253">
        <f>data!AD67</f>
        <v>40907</v>
      </c>
    </row>
    <row r="114" spans="1:9" ht="20.100000000000001" customHeight="1" x14ac:dyDescent="0.2">
      <c r="A114" s="245">
        <v>13</v>
      </c>
      <c r="B114" s="253" t="s">
        <v>995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0</v>
      </c>
      <c r="H114" s="253">
        <f>data!AC68</f>
        <v>0</v>
      </c>
      <c r="I114" s="253">
        <f>data!AD68</f>
        <v>0</v>
      </c>
    </row>
    <row r="115" spans="1:9" ht="20.100000000000001" customHeight="1" x14ac:dyDescent="0.2">
      <c r="A115" s="245">
        <v>14</v>
      </c>
      <c r="B115" s="253" t="s">
        <v>996</v>
      </c>
      <c r="C115" s="253">
        <f>data!X69</f>
        <v>339309</v>
      </c>
      <c r="D115" s="253">
        <f>data!Y69</f>
        <v>2275193.42</v>
      </c>
      <c r="E115" s="253">
        <f>data!Z69</f>
        <v>0</v>
      </c>
      <c r="F115" s="253">
        <f>data!AA69</f>
        <v>47346.76</v>
      </c>
      <c r="G115" s="253">
        <f>data!AB69</f>
        <v>628351.31999999995</v>
      </c>
      <c r="H115" s="253">
        <f>data!AC69</f>
        <v>89510</v>
      </c>
      <c r="I115" s="253">
        <f>data!AD69</f>
        <v>0</v>
      </c>
    </row>
    <row r="116" spans="1:9" ht="20.100000000000001" customHeight="1" x14ac:dyDescent="0.2">
      <c r="A116" s="245">
        <v>15</v>
      </c>
      <c r="B116" s="253" t="s">
        <v>284</v>
      </c>
      <c r="C116" s="253">
        <f>-data!X84</f>
        <v>0</v>
      </c>
      <c r="D116" s="253">
        <f>-data!Y84</f>
        <v>-493612.84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00000000000001" customHeight="1" x14ac:dyDescent="0.2">
      <c r="A117" s="245">
        <v>16</v>
      </c>
      <c r="B117" s="261" t="s">
        <v>997</v>
      </c>
      <c r="C117" s="253">
        <f>data!X85</f>
        <v>1576239.55</v>
      </c>
      <c r="D117" s="253">
        <f>data!Y85</f>
        <v>6152121.2599999998</v>
      </c>
      <c r="E117" s="253">
        <f>data!Z85</f>
        <v>6016870.4500000002</v>
      </c>
      <c r="F117" s="253">
        <f>data!AA85</f>
        <v>393712.46</v>
      </c>
      <c r="G117" s="253">
        <f>data!AB85</f>
        <v>5893942.1000000006</v>
      </c>
      <c r="H117" s="253">
        <f>data!AC85</f>
        <v>1986634.28</v>
      </c>
      <c r="I117" s="253">
        <f>data!AD85</f>
        <v>40907</v>
      </c>
    </row>
    <row r="118" spans="1:9" ht="20.100000000000001" customHeight="1" x14ac:dyDescent="0.2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00000000000001" customHeight="1" x14ac:dyDescent="0.2">
      <c r="A119" s="245">
        <v>18</v>
      </c>
      <c r="B119" s="253" t="s">
        <v>998</v>
      </c>
      <c r="C119" s="261">
        <f>+data!M689</f>
        <v>1462625</v>
      </c>
      <c r="D119" s="261">
        <f>+data!M690</f>
        <v>2465632</v>
      </c>
      <c r="E119" s="261">
        <f>+data!M691</f>
        <v>1598705</v>
      </c>
      <c r="F119" s="261">
        <f>+data!M692</f>
        <v>311843</v>
      </c>
      <c r="G119" s="261">
        <f>+data!M693</f>
        <v>1117949</v>
      </c>
      <c r="H119" s="261">
        <f>+data!M694</f>
        <v>803733</v>
      </c>
      <c r="I119" s="261">
        <f>+data!M695</f>
        <v>433910</v>
      </c>
    </row>
    <row r="120" spans="1:9" ht="20.100000000000001" customHeight="1" x14ac:dyDescent="0.2">
      <c r="A120" s="245">
        <v>19</v>
      </c>
      <c r="B120" s="261" t="s">
        <v>999</v>
      </c>
      <c r="C120" s="253">
        <f>data!X87</f>
        <v>13246391.34</v>
      </c>
      <c r="D120" s="253">
        <f>data!Y87</f>
        <v>18068867.640000001</v>
      </c>
      <c r="E120" s="253">
        <f>data!Z87</f>
        <v>794966.3</v>
      </c>
      <c r="F120" s="253">
        <f>data!AA87</f>
        <v>1172793.8799999999</v>
      </c>
      <c r="G120" s="253">
        <f>data!AB87</f>
        <v>0</v>
      </c>
      <c r="H120" s="253">
        <f>data!AC87</f>
        <v>14756651.460000001</v>
      </c>
      <c r="I120" s="253">
        <f>data!AD87</f>
        <v>0</v>
      </c>
    </row>
    <row r="121" spans="1:9" ht="20.100000000000001" customHeight="1" x14ac:dyDescent="0.2">
      <c r="A121" s="245">
        <v>20</v>
      </c>
      <c r="B121" s="261" t="s">
        <v>1000</v>
      </c>
      <c r="C121" s="253">
        <f>data!X88</f>
        <v>39594580.770000003</v>
      </c>
      <c r="D121" s="253">
        <f>data!Y88</f>
        <v>33731886.899999999</v>
      </c>
      <c r="E121" s="253">
        <f>data!Z88</f>
        <v>36575525.100000001</v>
      </c>
      <c r="F121" s="253">
        <f>data!AA88</f>
        <v>2616706.25</v>
      </c>
      <c r="G121" s="253">
        <f>data!AB88</f>
        <v>13909392</v>
      </c>
      <c r="H121" s="253">
        <f>data!AC88</f>
        <v>4653521.46</v>
      </c>
      <c r="I121" s="253">
        <f>data!AD88</f>
        <v>0</v>
      </c>
    </row>
    <row r="122" spans="1:9" ht="20.100000000000001" customHeight="1" x14ac:dyDescent="0.2">
      <c r="A122" s="245">
        <v>21</v>
      </c>
      <c r="B122" s="261" t="s">
        <v>1001</v>
      </c>
      <c r="C122" s="253">
        <f>data!X89</f>
        <v>52840972.109999999</v>
      </c>
      <c r="D122" s="253">
        <f>data!Y89</f>
        <v>51800754.539999999</v>
      </c>
      <c r="E122" s="253">
        <f>data!Z89</f>
        <v>37370491.399999999</v>
      </c>
      <c r="F122" s="253">
        <f>data!AA89</f>
        <v>3789500.13</v>
      </c>
      <c r="G122" s="253">
        <f>data!AB89</f>
        <v>13909392</v>
      </c>
      <c r="H122" s="253">
        <f>data!AC89</f>
        <v>19410172.920000002</v>
      </c>
      <c r="I122" s="253">
        <f>data!AD89</f>
        <v>0</v>
      </c>
    </row>
    <row r="123" spans="1:9" ht="20.100000000000001" customHeight="1" x14ac:dyDescent="0.2">
      <c r="A123" s="245" t="s">
        <v>1002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00000000000001" customHeight="1" x14ac:dyDescent="0.2">
      <c r="A124" s="245">
        <v>22</v>
      </c>
      <c r="B124" s="253" t="s">
        <v>1003</v>
      </c>
      <c r="C124" s="253">
        <f>data!X90</f>
        <v>3170</v>
      </c>
      <c r="D124" s="253">
        <f>data!Y90</f>
        <v>16696</v>
      </c>
      <c r="E124" s="253">
        <f>data!Z90</f>
        <v>0</v>
      </c>
      <c r="F124" s="253">
        <f>data!AA90</f>
        <v>4247</v>
      </c>
      <c r="G124" s="253">
        <f>data!AB90</f>
        <v>3904</v>
      </c>
      <c r="H124" s="253">
        <f>data!AC90</f>
        <v>4057</v>
      </c>
      <c r="I124" s="253">
        <f>data!AD90</f>
        <v>3507</v>
      </c>
    </row>
    <row r="125" spans="1:9" ht="20.100000000000001" customHeight="1" x14ac:dyDescent="0.2">
      <c r="A125" s="245">
        <v>23</v>
      </c>
      <c r="B125" s="253" t="s">
        <v>1004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7192</v>
      </c>
    </row>
    <row r="126" spans="1:9" ht="20.100000000000001" customHeight="1" x14ac:dyDescent="0.2">
      <c r="A126" s="245">
        <v>24</v>
      </c>
      <c r="B126" s="253" t="s">
        <v>1005</v>
      </c>
      <c r="C126" s="253">
        <f>data!X92</f>
        <v>570.06838920190467</v>
      </c>
      <c r="D126" s="253">
        <f>data!Y92</f>
        <v>3002.4800713296531</v>
      </c>
      <c r="E126" s="253">
        <f>data!Z92</f>
        <v>0</v>
      </c>
      <c r="F126" s="253">
        <f>data!AA92</f>
        <v>763.74777569100593</v>
      </c>
      <c r="G126" s="253">
        <f>data!AB92</f>
        <v>702.06529698556335</v>
      </c>
      <c r="H126" s="253">
        <f>data!AC92</f>
        <v>729.57963879877832</v>
      </c>
      <c r="I126" s="253">
        <f>data!AD92</f>
        <v>630.67187411075076</v>
      </c>
    </row>
    <row r="127" spans="1:9" ht="20.100000000000001" customHeight="1" x14ac:dyDescent="0.2">
      <c r="A127" s="245">
        <v>25</v>
      </c>
      <c r="B127" s="253" t="s">
        <v>1006</v>
      </c>
      <c r="C127" s="253">
        <f>data!X93</f>
        <v>6106</v>
      </c>
      <c r="D127" s="253">
        <f>data!Y93</f>
        <v>48274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00000000000001" customHeight="1" x14ac:dyDescent="0.2">
      <c r="A128" s="245">
        <v>26</v>
      </c>
      <c r="B128" s="253" t="s">
        <v>294</v>
      </c>
      <c r="C128" s="260">
        <f>data!X94</f>
        <v>0</v>
      </c>
      <c r="D128" s="260">
        <f>data!Y94</f>
        <v>1.76</v>
      </c>
      <c r="E128" s="260">
        <f>data!Z94</f>
        <v>0</v>
      </c>
      <c r="F128" s="260">
        <f>data!AA94</f>
        <v>0.97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00000000000001" customHeight="1" x14ac:dyDescent="0.2">
      <c r="A129" s="246" t="s">
        <v>988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00000000000001" customHeight="1" x14ac:dyDescent="0.2">
      <c r="D130" s="249"/>
      <c r="I130" s="250" t="s">
        <v>1019</v>
      </c>
    </row>
    <row r="131" spans="1:14" ht="20.100000000000001" customHeight="1" x14ac:dyDescent="0.2">
      <c r="A131" s="249"/>
    </row>
    <row r="132" spans="1:14" ht="20.100000000000001" customHeight="1" x14ac:dyDescent="0.2">
      <c r="A132" s="251" t="str">
        <f>"Hospital: "&amp;data!C98</f>
        <v>Hospital: RCCH Trios Health LLC</v>
      </c>
      <c r="G132" s="252"/>
      <c r="H132" s="251" t="str">
        <f>"FYE: "&amp;data!C96</f>
        <v>FYE: 12/31/2023</v>
      </c>
    </row>
    <row r="133" spans="1:14" ht="20.100000000000001" customHeight="1" x14ac:dyDescent="0.2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00000000000001" customHeight="1" x14ac:dyDescent="0.2">
      <c r="A134" s="256">
        <v>2</v>
      </c>
      <c r="B134" s="257" t="s">
        <v>990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1020</v>
      </c>
      <c r="H134" s="259"/>
      <c r="I134" s="259" t="s">
        <v>149</v>
      </c>
    </row>
    <row r="135" spans="1:14" ht="20.100000000000001" customHeight="1" x14ac:dyDescent="0.2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00000000000001" customHeight="1" x14ac:dyDescent="0.2">
      <c r="A136" s="245">
        <v>3</v>
      </c>
      <c r="B136" s="253" t="s">
        <v>994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1021</v>
      </c>
      <c r="H136" s="255" t="s">
        <v>255</v>
      </c>
      <c r="I136" s="255" t="s">
        <v>253</v>
      </c>
    </row>
    <row r="137" spans="1:14" ht="20.100000000000001" customHeight="1" x14ac:dyDescent="0.25">
      <c r="A137" s="245">
        <v>4</v>
      </c>
      <c r="B137" s="253" t="s">
        <v>261</v>
      </c>
      <c r="C137" s="253">
        <f>data!AE59</f>
        <v>67385</v>
      </c>
      <c r="D137" s="253">
        <f>data!AF59</f>
        <v>0</v>
      </c>
      <c r="E137" s="253">
        <f>data!AG59</f>
        <v>25046</v>
      </c>
      <c r="F137" s="253">
        <f>data!AH59</f>
        <v>0</v>
      </c>
      <c r="G137" s="253">
        <f>data!AI59</f>
        <v>182242</v>
      </c>
      <c r="H137" s="253">
        <f>data!AJ59</f>
        <v>6884</v>
      </c>
      <c r="I137" s="253">
        <f>data!AK59</f>
        <v>0</v>
      </c>
      <c r="K137" s="264"/>
      <c r="L137" s="266"/>
      <c r="M137" s="266"/>
      <c r="N137" s="266"/>
    </row>
    <row r="138" spans="1:14" ht="20.100000000000001" customHeight="1" x14ac:dyDescent="0.2">
      <c r="A138" s="245">
        <v>5</v>
      </c>
      <c r="B138" s="253" t="s">
        <v>262</v>
      </c>
      <c r="C138" s="260">
        <f>data!AE60</f>
        <v>19.239999999999998</v>
      </c>
      <c r="D138" s="260">
        <f>data!AF60</f>
        <v>0</v>
      </c>
      <c r="E138" s="260">
        <f>data!AG60</f>
        <v>23.61</v>
      </c>
      <c r="F138" s="260">
        <f>data!AH60</f>
        <v>0</v>
      </c>
      <c r="G138" s="260">
        <f>data!AI60</f>
        <v>19.920000000000002</v>
      </c>
      <c r="H138" s="260">
        <f>data!AJ60</f>
        <v>17.18</v>
      </c>
      <c r="I138" s="260">
        <f>data!AK60</f>
        <v>0</v>
      </c>
    </row>
    <row r="139" spans="1:14" ht="20.100000000000001" customHeight="1" x14ac:dyDescent="0.2">
      <c r="A139" s="245">
        <v>6</v>
      </c>
      <c r="B139" s="253" t="s">
        <v>263</v>
      </c>
      <c r="C139" s="253">
        <f>data!AE61</f>
        <v>2423341.85</v>
      </c>
      <c r="D139" s="253">
        <f>data!AF61</f>
        <v>0</v>
      </c>
      <c r="E139" s="253">
        <f>data!AG61</f>
        <v>2741723.23</v>
      </c>
      <c r="F139" s="253">
        <f>data!AH61</f>
        <v>0</v>
      </c>
      <c r="G139" s="253">
        <f>data!AI61</f>
        <v>2168280.84</v>
      </c>
      <c r="H139" s="253">
        <f>data!AJ61</f>
        <v>1342922.48</v>
      </c>
      <c r="I139" s="253">
        <f>data!AK61</f>
        <v>0</v>
      </c>
    </row>
    <row r="140" spans="1:14" ht="20.100000000000001" customHeight="1" x14ac:dyDescent="0.2">
      <c r="A140" s="245">
        <v>7</v>
      </c>
      <c r="B140" s="253" t="s">
        <v>11</v>
      </c>
      <c r="C140" s="253">
        <f>data!AE62</f>
        <v>446950</v>
      </c>
      <c r="D140" s="253">
        <f>data!AF62</f>
        <v>0</v>
      </c>
      <c r="E140" s="253">
        <f>data!AG62</f>
        <v>505671</v>
      </c>
      <c r="F140" s="253">
        <f>data!AH62</f>
        <v>0</v>
      </c>
      <c r="G140" s="253">
        <f>data!AI62</f>
        <v>399908</v>
      </c>
      <c r="H140" s="253">
        <f>data!AJ62</f>
        <v>247683</v>
      </c>
      <c r="I140" s="253">
        <f>data!AK62</f>
        <v>0</v>
      </c>
    </row>
    <row r="141" spans="1:14" ht="20.100000000000001" customHeight="1" x14ac:dyDescent="0.2">
      <c r="A141" s="245">
        <v>8</v>
      </c>
      <c r="B141" s="253" t="s">
        <v>264</v>
      </c>
      <c r="C141" s="253">
        <f>data!AE63</f>
        <v>1800</v>
      </c>
      <c r="D141" s="253">
        <f>data!AF63</f>
        <v>0</v>
      </c>
      <c r="E141" s="253">
        <f>data!AG63</f>
        <v>4475211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00000000000001" customHeight="1" x14ac:dyDescent="0.2">
      <c r="A142" s="245">
        <v>9</v>
      </c>
      <c r="B142" s="253" t="s">
        <v>265</v>
      </c>
      <c r="C142" s="253">
        <f>data!AE64</f>
        <v>119782.07</v>
      </c>
      <c r="D142" s="253">
        <f>data!AF64</f>
        <v>0</v>
      </c>
      <c r="E142" s="253">
        <f>data!AG64</f>
        <v>758323.22</v>
      </c>
      <c r="F142" s="253">
        <f>data!AH64</f>
        <v>0</v>
      </c>
      <c r="G142" s="253">
        <f>data!AI64</f>
        <v>287678.46000000002</v>
      </c>
      <c r="H142" s="253">
        <f>data!AJ64</f>
        <v>288453.02999999997</v>
      </c>
      <c r="I142" s="253">
        <f>data!AK64</f>
        <v>0</v>
      </c>
    </row>
    <row r="143" spans="1:14" ht="20.100000000000001" customHeight="1" x14ac:dyDescent="0.2">
      <c r="A143" s="245">
        <v>10</v>
      </c>
      <c r="B143" s="253" t="s">
        <v>511</v>
      </c>
      <c r="C143" s="253">
        <f>data!AE65</f>
        <v>757.44</v>
      </c>
      <c r="D143" s="253">
        <f>data!AF65</f>
        <v>0</v>
      </c>
      <c r="E143" s="253">
        <f>data!AG65</f>
        <v>2828.76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00000000000001" customHeight="1" x14ac:dyDescent="0.2">
      <c r="A144" s="245">
        <v>11</v>
      </c>
      <c r="B144" s="253" t="s">
        <v>512</v>
      </c>
      <c r="C144" s="253">
        <f>data!AE66</f>
        <v>302671.89</v>
      </c>
      <c r="D144" s="253">
        <f>data!AF66</f>
        <v>0</v>
      </c>
      <c r="E144" s="253">
        <f>data!AG66</f>
        <v>507971.17</v>
      </c>
      <c r="F144" s="253">
        <f>data!AH66</f>
        <v>0</v>
      </c>
      <c r="G144" s="253">
        <f>data!AI66</f>
        <v>29438.799999999999</v>
      </c>
      <c r="H144" s="253">
        <f>data!AJ66</f>
        <v>1628</v>
      </c>
      <c r="I144" s="253">
        <f>data!AK66</f>
        <v>0</v>
      </c>
    </row>
    <row r="145" spans="1:9" ht="20.100000000000001" customHeight="1" x14ac:dyDescent="0.2">
      <c r="A145" s="245">
        <v>12</v>
      </c>
      <c r="B145" s="253" t="s">
        <v>16</v>
      </c>
      <c r="C145" s="253">
        <f>data!AE67</f>
        <v>95100</v>
      </c>
      <c r="D145" s="253">
        <f>data!AF67</f>
        <v>0</v>
      </c>
      <c r="E145" s="253">
        <f>data!AG67</f>
        <v>145945</v>
      </c>
      <c r="F145" s="253">
        <f>data!AH67</f>
        <v>0</v>
      </c>
      <c r="G145" s="253">
        <f>data!AI67</f>
        <v>240438</v>
      </c>
      <c r="H145" s="253">
        <f>data!AJ67</f>
        <v>13904</v>
      </c>
      <c r="I145" s="253">
        <f>data!AK67</f>
        <v>0</v>
      </c>
    </row>
    <row r="146" spans="1:9" ht="20.100000000000001" customHeight="1" x14ac:dyDescent="0.2">
      <c r="A146" s="245">
        <v>13</v>
      </c>
      <c r="B146" s="253" t="s">
        <v>995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00000000000001" customHeight="1" x14ac:dyDescent="0.2">
      <c r="A147" s="245">
        <v>14</v>
      </c>
      <c r="B147" s="253" t="s">
        <v>996</v>
      </c>
      <c r="C147" s="253">
        <f>data!AE69</f>
        <v>67274.12000000001</v>
      </c>
      <c r="D147" s="253">
        <f>data!AF69</f>
        <v>0</v>
      </c>
      <c r="E147" s="253">
        <f>data!AG69</f>
        <v>2591845.3600000003</v>
      </c>
      <c r="F147" s="253">
        <f>data!AH69</f>
        <v>0</v>
      </c>
      <c r="G147" s="253">
        <f>data!AI69</f>
        <v>54</v>
      </c>
      <c r="H147" s="253">
        <f>data!AJ69</f>
        <v>84471.2</v>
      </c>
      <c r="I147" s="253">
        <f>data!AK69</f>
        <v>0</v>
      </c>
    </row>
    <row r="148" spans="1:9" ht="20.100000000000001" customHeight="1" x14ac:dyDescent="0.2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-422485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00000000000001" customHeight="1" x14ac:dyDescent="0.2">
      <c r="A149" s="245">
        <v>16</v>
      </c>
      <c r="B149" s="261" t="s">
        <v>997</v>
      </c>
      <c r="C149" s="253">
        <f>data!AE85</f>
        <v>3457677.37</v>
      </c>
      <c r="D149" s="253">
        <f>data!AF85</f>
        <v>0</v>
      </c>
      <c r="E149" s="253">
        <f>data!AG85</f>
        <v>11307033.740000002</v>
      </c>
      <c r="F149" s="253">
        <f>data!AH85</f>
        <v>0</v>
      </c>
      <c r="G149" s="253">
        <f>data!AI85</f>
        <v>3125798.0999999996</v>
      </c>
      <c r="H149" s="253">
        <f>data!AJ85</f>
        <v>1979061.71</v>
      </c>
      <c r="I149" s="253">
        <f>data!AK85</f>
        <v>0</v>
      </c>
    </row>
    <row r="150" spans="1:9" ht="20.100000000000001" customHeight="1" x14ac:dyDescent="0.2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00000000000001" customHeight="1" x14ac:dyDescent="0.2">
      <c r="A151" s="245">
        <v>18</v>
      </c>
      <c r="B151" s="253" t="s">
        <v>998</v>
      </c>
      <c r="C151" s="261">
        <f>+data!M696</f>
        <v>892307</v>
      </c>
      <c r="D151" s="261">
        <f>+data!M697</f>
        <v>0</v>
      </c>
      <c r="E151" s="261">
        <f>+data!M698</f>
        <v>3261472</v>
      </c>
      <c r="F151" s="261">
        <f>+data!M699</f>
        <v>0</v>
      </c>
      <c r="G151" s="261">
        <f>+data!M700</f>
        <v>1773959</v>
      </c>
      <c r="H151" s="261">
        <f>+data!M701</f>
        <v>885933</v>
      </c>
      <c r="I151" s="261">
        <f>+data!M702</f>
        <v>0</v>
      </c>
    </row>
    <row r="152" spans="1:9" ht="20.100000000000001" customHeight="1" x14ac:dyDescent="0.2">
      <c r="A152" s="245">
        <v>19</v>
      </c>
      <c r="B152" s="261" t="s">
        <v>999</v>
      </c>
      <c r="C152" s="253">
        <f>data!AE87</f>
        <v>3176899.98</v>
      </c>
      <c r="D152" s="253">
        <f>data!AF87</f>
        <v>0</v>
      </c>
      <c r="E152" s="253">
        <f>data!AG87</f>
        <v>17895641.920000002</v>
      </c>
      <c r="F152" s="253">
        <f>data!AH87</f>
        <v>0</v>
      </c>
      <c r="G152" s="253">
        <f>data!AI87</f>
        <v>20970.03</v>
      </c>
      <c r="H152" s="253">
        <f>data!AJ87</f>
        <v>1038305.67</v>
      </c>
      <c r="I152" s="253">
        <f>data!AK87</f>
        <v>0</v>
      </c>
    </row>
    <row r="153" spans="1:9" ht="20.100000000000001" customHeight="1" x14ac:dyDescent="0.2">
      <c r="A153" s="245">
        <v>20</v>
      </c>
      <c r="B153" s="261" t="s">
        <v>1000</v>
      </c>
      <c r="C153" s="253">
        <f>data!AE88</f>
        <v>6234674.7599999998</v>
      </c>
      <c r="D153" s="253">
        <f>data!AF88</f>
        <v>0</v>
      </c>
      <c r="E153" s="253">
        <f>data!AG88</f>
        <v>45141917.100000001</v>
      </c>
      <c r="F153" s="253">
        <f>data!AH88</f>
        <v>0</v>
      </c>
      <c r="G153" s="253">
        <f>data!AI88</f>
        <v>15186922.390000001</v>
      </c>
      <c r="H153" s="253">
        <f>data!AJ88</f>
        <v>21468395.620000001</v>
      </c>
      <c r="I153" s="253">
        <f>data!AK88</f>
        <v>0</v>
      </c>
    </row>
    <row r="154" spans="1:9" ht="20.100000000000001" customHeight="1" x14ac:dyDescent="0.2">
      <c r="A154" s="245">
        <v>21</v>
      </c>
      <c r="B154" s="261" t="s">
        <v>1001</v>
      </c>
      <c r="C154" s="253">
        <f>data!AE89</f>
        <v>9411574.7400000002</v>
      </c>
      <c r="D154" s="253">
        <f>data!AF89</f>
        <v>0</v>
      </c>
      <c r="E154" s="253">
        <f>data!AG89</f>
        <v>63037559.020000003</v>
      </c>
      <c r="F154" s="253">
        <f>data!AH89</f>
        <v>0</v>
      </c>
      <c r="G154" s="253">
        <f>data!AI89</f>
        <v>15207892.42</v>
      </c>
      <c r="H154" s="253">
        <f>data!AJ89</f>
        <v>22506701.290000003</v>
      </c>
      <c r="I154" s="253">
        <f>data!AK89</f>
        <v>0</v>
      </c>
    </row>
    <row r="155" spans="1:9" ht="20.100000000000001" customHeight="1" x14ac:dyDescent="0.2">
      <c r="A155" s="245" t="s">
        <v>1002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00000000000001" customHeight="1" x14ac:dyDescent="0.2">
      <c r="A156" s="245">
        <v>22</v>
      </c>
      <c r="B156" s="253" t="s">
        <v>1003</v>
      </c>
      <c r="C156" s="253">
        <f>data!AE90</f>
        <v>8153</v>
      </c>
      <c r="D156" s="253">
        <f>data!AF90</f>
        <v>0</v>
      </c>
      <c r="E156" s="253">
        <f>data!AG90</f>
        <v>12512</v>
      </c>
      <c r="F156" s="253">
        <f>data!AH90</f>
        <v>0</v>
      </c>
      <c r="G156" s="253">
        <f>data!AI90</f>
        <v>20613</v>
      </c>
      <c r="H156" s="253">
        <f>data!AJ90</f>
        <v>1192</v>
      </c>
      <c r="I156" s="253">
        <f>data!AK90</f>
        <v>0</v>
      </c>
    </row>
    <row r="157" spans="1:9" ht="20.100000000000001" customHeight="1" x14ac:dyDescent="0.2">
      <c r="A157" s="245">
        <v>23</v>
      </c>
      <c r="B157" s="253" t="s">
        <v>1004</v>
      </c>
      <c r="C157" s="253">
        <f>data!AE91</f>
        <v>0</v>
      </c>
      <c r="D157" s="253">
        <f>data!AF91</f>
        <v>0</v>
      </c>
      <c r="E157" s="253">
        <f>data!AG91</f>
        <v>1076</v>
      </c>
      <c r="F157" s="253">
        <f>data!AH91</f>
        <v>0</v>
      </c>
      <c r="G157" s="253">
        <f>data!AI91</f>
        <v>1713</v>
      </c>
      <c r="H157" s="253">
        <f>data!AJ91</f>
        <v>0</v>
      </c>
      <c r="I157" s="253">
        <f>data!AK91</f>
        <v>0</v>
      </c>
    </row>
    <row r="158" spans="1:9" ht="20.100000000000001" customHeight="1" x14ac:dyDescent="0.2">
      <c r="A158" s="245">
        <v>24</v>
      </c>
      <c r="B158" s="253" t="s">
        <v>1005</v>
      </c>
      <c r="C158" s="253">
        <f>data!AE92</f>
        <v>1466.1727372754349</v>
      </c>
      <c r="D158" s="253">
        <f>data!AF92</f>
        <v>0</v>
      </c>
      <c r="E158" s="253">
        <f>data!AG92</f>
        <v>2250.0617305029118</v>
      </c>
      <c r="F158" s="253">
        <f>data!AH92</f>
        <v>0</v>
      </c>
      <c r="G158" s="253">
        <f>data!AI92</f>
        <v>3706.8831882078425</v>
      </c>
      <c r="H158" s="253">
        <f>data!AJ92</f>
        <v>214.36010092387079</v>
      </c>
      <c r="I158" s="253">
        <f>data!AK92</f>
        <v>0</v>
      </c>
    </row>
    <row r="159" spans="1:9" ht="20.100000000000001" customHeight="1" x14ac:dyDescent="0.2">
      <c r="A159" s="245">
        <v>25</v>
      </c>
      <c r="B159" s="253" t="s">
        <v>1006</v>
      </c>
      <c r="C159" s="253">
        <f>data!AE93</f>
        <v>17945</v>
      </c>
      <c r="D159" s="253">
        <f>data!AF93</f>
        <v>0</v>
      </c>
      <c r="E159" s="253">
        <f>data!AG93</f>
        <v>102815</v>
      </c>
      <c r="F159" s="253">
        <f>data!AH93</f>
        <v>0</v>
      </c>
      <c r="G159" s="253">
        <f>data!AI93</f>
        <v>46618</v>
      </c>
      <c r="H159" s="253">
        <f>data!AJ93</f>
        <v>0</v>
      </c>
      <c r="I159" s="253">
        <f>data!AK93</f>
        <v>0</v>
      </c>
    </row>
    <row r="160" spans="1:9" ht="20.100000000000001" customHeight="1" x14ac:dyDescent="0.2">
      <c r="A160" s="245">
        <v>26</v>
      </c>
      <c r="B160" s="253" t="s">
        <v>294</v>
      </c>
      <c r="C160" s="260">
        <f>data!AE94</f>
        <v>0.41</v>
      </c>
      <c r="D160" s="260">
        <f>data!AF94</f>
        <v>0</v>
      </c>
      <c r="E160" s="260">
        <f>data!AG94</f>
        <v>20.61</v>
      </c>
      <c r="F160" s="260">
        <f>data!AH94</f>
        <v>0</v>
      </c>
      <c r="G160" s="260">
        <f>data!AI94</f>
        <v>13.09</v>
      </c>
      <c r="H160" s="260">
        <f>data!AJ94</f>
        <v>9.66</v>
      </c>
      <c r="I160" s="260">
        <f>data!AK94</f>
        <v>0</v>
      </c>
    </row>
    <row r="161" spans="1:9" ht="20.100000000000001" customHeight="1" x14ac:dyDescent="0.2">
      <c r="A161" s="246" t="s">
        <v>988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00000000000001" customHeight="1" x14ac:dyDescent="0.2">
      <c r="D162" s="249"/>
      <c r="I162" s="250" t="s">
        <v>1022</v>
      </c>
    </row>
    <row r="163" spans="1:9" ht="20.100000000000001" customHeight="1" x14ac:dyDescent="0.2">
      <c r="A163" s="249"/>
    </row>
    <row r="164" spans="1:9" ht="20.100000000000001" customHeight="1" x14ac:dyDescent="0.2">
      <c r="A164" s="251" t="str">
        <f>"Hospital: "&amp;data!C98</f>
        <v>Hospital: RCCH Trios Health LLC</v>
      </c>
      <c r="G164" s="252"/>
      <c r="H164" s="251" t="str">
        <f>"FYE: "&amp;data!C96</f>
        <v>FYE: 12/31/2023</v>
      </c>
    </row>
    <row r="165" spans="1:9" ht="20.100000000000001" customHeight="1" x14ac:dyDescent="0.2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00000000000001" customHeight="1" x14ac:dyDescent="0.2">
      <c r="A166" s="256">
        <v>2</v>
      </c>
      <c r="B166" s="257" t="s">
        <v>990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1023</v>
      </c>
      <c r="H166" s="259" t="s">
        <v>154</v>
      </c>
      <c r="I166" s="259" t="s">
        <v>155</v>
      </c>
    </row>
    <row r="167" spans="1:9" ht="20.100000000000001" customHeight="1" x14ac:dyDescent="0.2">
      <c r="A167" s="256"/>
      <c r="B167" s="257"/>
      <c r="C167" s="259" t="s">
        <v>199</v>
      </c>
      <c r="D167" s="259" t="s">
        <v>199</v>
      </c>
      <c r="E167" s="259" t="s">
        <v>1024</v>
      </c>
      <c r="F167" s="259" t="s">
        <v>209</v>
      </c>
      <c r="G167" s="259" t="s">
        <v>148</v>
      </c>
      <c r="H167" s="258" t="s">
        <v>1025</v>
      </c>
      <c r="I167" s="259" t="s">
        <v>196</v>
      </c>
    </row>
    <row r="168" spans="1:9" ht="20.100000000000001" customHeight="1" x14ac:dyDescent="0.2">
      <c r="A168" s="245">
        <v>3</v>
      </c>
      <c r="B168" s="253" t="s">
        <v>994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00000000000001" customHeight="1" x14ac:dyDescent="0.2">
      <c r="A169" s="245">
        <v>4</v>
      </c>
      <c r="B169" s="253" t="s">
        <v>261</v>
      </c>
      <c r="C169" s="253">
        <f>data!AL59</f>
        <v>6218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9607</v>
      </c>
      <c r="H169" s="253">
        <f>data!AQ59</f>
        <v>0</v>
      </c>
      <c r="I169" s="253">
        <f>data!AR59</f>
        <v>0</v>
      </c>
    </row>
    <row r="170" spans="1:9" ht="20.100000000000001" customHeight="1" x14ac:dyDescent="0.2">
      <c r="A170" s="245">
        <v>5</v>
      </c>
      <c r="B170" s="253" t="s">
        <v>262</v>
      </c>
      <c r="C170" s="260">
        <f>data!AL60</f>
        <v>3.6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178.66</v>
      </c>
      <c r="H170" s="260">
        <f>data!AQ60</f>
        <v>0</v>
      </c>
      <c r="I170" s="260">
        <f>data!AR60</f>
        <v>0</v>
      </c>
    </row>
    <row r="171" spans="1:9" ht="20.100000000000001" customHeight="1" x14ac:dyDescent="0.2">
      <c r="A171" s="245">
        <v>6</v>
      </c>
      <c r="B171" s="253" t="s">
        <v>263</v>
      </c>
      <c r="C171" s="253">
        <f>data!AL61</f>
        <v>408577.92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25437724.02</v>
      </c>
      <c r="H171" s="253">
        <f>data!AQ61</f>
        <v>0</v>
      </c>
      <c r="I171" s="253">
        <f>data!AR61</f>
        <v>0</v>
      </c>
    </row>
    <row r="172" spans="1:9" ht="20.100000000000001" customHeight="1" x14ac:dyDescent="0.2">
      <c r="A172" s="245">
        <v>7</v>
      </c>
      <c r="B172" s="253" t="s">
        <v>11</v>
      </c>
      <c r="C172" s="253">
        <f>data!AL62</f>
        <v>75356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4691621</v>
      </c>
      <c r="H172" s="253">
        <f>data!AQ62</f>
        <v>0</v>
      </c>
      <c r="I172" s="253">
        <f>data!AR62</f>
        <v>0</v>
      </c>
    </row>
    <row r="173" spans="1:9" ht="20.100000000000001" customHeight="1" x14ac:dyDescent="0.2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-148605</v>
      </c>
      <c r="H173" s="253">
        <f>data!AQ63</f>
        <v>0</v>
      </c>
      <c r="I173" s="253">
        <f>data!AR63</f>
        <v>0</v>
      </c>
    </row>
    <row r="174" spans="1:9" ht="20.100000000000001" customHeight="1" x14ac:dyDescent="0.2">
      <c r="A174" s="245">
        <v>9</v>
      </c>
      <c r="B174" s="253" t="s">
        <v>265</v>
      </c>
      <c r="C174" s="253">
        <f>data!AL64</f>
        <v>2193.9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1116086.74</v>
      </c>
      <c r="H174" s="253">
        <f>data!AQ64</f>
        <v>0</v>
      </c>
      <c r="I174" s="253">
        <f>data!AR64</f>
        <v>0</v>
      </c>
    </row>
    <row r="175" spans="1:9" ht="20.100000000000001" customHeight="1" x14ac:dyDescent="0.2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613127.36</v>
      </c>
      <c r="H175" s="253">
        <f>data!AQ65</f>
        <v>0</v>
      </c>
      <c r="I175" s="253">
        <f>data!AR65</f>
        <v>0</v>
      </c>
    </row>
    <row r="176" spans="1:9" ht="20.100000000000001" customHeight="1" x14ac:dyDescent="0.2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2538191.48</v>
      </c>
      <c r="H176" s="253">
        <f>data!AQ66</f>
        <v>0</v>
      </c>
      <c r="I176" s="253">
        <f>data!AR66</f>
        <v>0</v>
      </c>
    </row>
    <row r="177" spans="1:9" ht="20.100000000000001" customHeight="1" x14ac:dyDescent="0.2">
      <c r="A177" s="245">
        <v>12</v>
      </c>
      <c r="B177" s="253" t="s">
        <v>16</v>
      </c>
      <c r="C177" s="253">
        <f>data!AL67</f>
        <v>2333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1079527</v>
      </c>
      <c r="H177" s="253">
        <f>data!AQ67</f>
        <v>0</v>
      </c>
      <c r="I177" s="253">
        <f>data!AR67</f>
        <v>0</v>
      </c>
    </row>
    <row r="178" spans="1:9" ht="20.100000000000001" customHeight="1" x14ac:dyDescent="0.2">
      <c r="A178" s="245">
        <v>13</v>
      </c>
      <c r="B178" s="253" t="s">
        <v>995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305911</v>
      </c>
      <c r="H178" s="253">
        <f>data!AQ68</f>
        <v>0</v>
      </c>
      <c r="I178" s="253">
        <f>data!AR68</f>
        <v>0</v>
      </c>
    </row>
    <row r="179" spans="1:9" ht="20.100000000000001" customHeight="1" x14ac:dyDescent="0.2">
      <c r="A179" s="245">
        <v>14</v>
      </c>
      <c r="B179" s="253" t="s">
        <v>996</v>
      </c>
      <c r="C179" s="253">
        <f>data!AL69</f>
        <v>513.46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2038598.79</v>
      </c>
      <c r="H179" s="253">
        <f>data!AQ69</f>
        <v>0</v>
      </c>
      <c r="I179" s="253">
        <f>data!AR69</f>
        <v>0</v>
      </c>
    </row>
    <row r="180" spans="1:9" ht="20.100000000000001" customHeight="1" x14ac:dyDescent="0.2">
      <c r="A180" s="245">
        <v>15</v>
      </c>
      <c r="B180" s="253" t="s">
        <v>284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-92586.96</v>
      </c>
      <c r="H180" s="253">
        <f>-data!AQ84</f>
        <v>0</v>
      </c>
      <c r="I180" s="253">
        <f>-data!AR84</f>
        <v>0</v>
      </c>
    </row>
    <row r="181" spans="1:9" ht="20.100000000000001" customHeight="1" x14ac:dyDescent="0.2">
      <c r="A181" s="245">
        <v>16</v>
      </c>
      <c r="B181" s="261" t="s">
        <v>997</v>
      </c>
      <c r="C181" s="253">
        <f>data!AL85</f>
        <v>488974.28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37579595.429999992</v>
      </c>
      <c r="H181" s="253">
        <f>data!AQ85</f>
        <v>0</v>
      </c>
      <c r="I181" s="253">
        <f>data!AR85</f>
        <v>0</v>
      </c>
    </row>
    <row r="182" spans="1:9" ht="20.100000000000001" customHeight="1" x14ac:dyDescent="0.2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00000000000001" customHeight="1" x14ac:dyDescent="0.2">
      <c r="A183" s="245">
        <v>18</v>
      </c>
      <c r="B183" s="253" t="s">
        <v>998</v>
      </c>
      <c r="C183" s="261">
        <f>+data!M703</f>
        <v>106826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8866830</v>
      </c>
      <c r="H183" s="261">
        <f>+data!M708</f>
        <v>0</v>
      </c>
      <c r="I183" s="261">
        <f>+data!M709</f>
        <v>0</v>
      </c>
    </row>
    <row r="184" spans="1:9" ht="20.100000000000001" customHeight="1" x14ac:dyDescent="0.2">
      <c r="A184" s="245">
        <v>19</v>
      </c>
      <c r="B184" s="261" t="s">
        <v>999</v>
      </c>
      <c r="C184" s="253">
        <f>data!AL87</f>
        <v>1071651.58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00000000000001" customHeight="1" x14ac:dyDescent="0.2">
      <c r="A185" s="245">
        <v>20</v>
      </c>
      <c r="B185" s="261" t="s">
        <v>1000</v>
      </c>
      <c r="C185" s="253">
        <f>data!AL88</f>
        <v>1213152.6200000001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69075397.25</v>
      </c>
      <c r="H185" s="253">
        <f>data!AQ88</f>
        <v>0</v>
      </c>
      <c r="I185" s="253">
        <f>data!AR88</f>
        <v>0</v>
      </c>
    </row>
    <row r="186" spans="1:9" ht="20.100000000000001" customHeight="1" x14ac:dyDescent="0.2">
      <c r="A186" s="245">
        <v>21</v>
      </c>
      <c r="B186" s="261" t="s">
        <v>1001</v>
      </c>
      <c r="C186" s="253">
        <f>data!AL89</f>
        <v>2284804.2000000002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69075397.25</v>
      </c>
      <c r="H186" s="253">
        <f>data!AQ89</f>
        <v>0</v>
      </c>
      <c r="I186" s="253">
        <f>data!AR89</f>
        <v>0</v>
      </c>
    </row>
    <row r="187" spans="1:9" ht="20.100000000000001" customHeight="1" x14ac:dyDescent="0.2">
      <c r="A187" s="245" t="s">
        <v>1002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00000000000001" customHeight="1" x14ac:dyDescent="0.2">
      <c r="A188" s="245">
        <v>22</v>
      </c>
      <c r="B188" s="253" t="s">
        <v>1003</v>
      </c>
      <c r="C188" s="253">
        <f>data!AL90</f>
        <v>200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92549</v>
      </c>
      <c r="H188" s="253">
        <f>data!AQ90</f>
        <v>0</v>
      </c>
      <c r="I188" s="253">
        <f>data!AR90</f>
        <v>0</v>
      </c>
    </row>
    <row r="189" spans="1:9" ht="20.100000000000001" customHeight="1" x14ac:dyDescent="0.2">
      <c r="A189" s="245">
        <v>23</v>
      </c>
      <c r="B189" s="253" t="s">
        <v>1004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00000000000001" customHeight="1" x14ac:dyDescent="0.2">
      <c r="A190" s="245">
        <v>24</v>
      </c>
      <c r="B190" s="253" t="s">
        <v>1005</v>
      </c>
      <c r="C190" s="253">
        <f>data!AL92</f>
        <v>35.966459886555498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16643.299480204125</v>
      </c>
      <c r="H190" s="253">
        <f>data!AQ92</f>
        <v>0</v>
      </c>
      <c r="I190" s="253">
        <f>data!AR92</f>
        <v>0</v>
      </c>
    </row>
    <row r="191" spans="1:9" ht="20.100000000000001" customHeight="1" x14ac:dyDescent="0.2">
      <c r="A191" s="245">
        <v>25</v>
      </c>
      <c r="B191" s="253" t="s">
        <v>1006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00000000000001" customHeight="1" x14ac:dyDescent="0.2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2.2599999999999998</v>
      </c>
      <c r="H192" s="260">
        <f>data!AQ94</f>
        <v>0</v>
      </c>
      <c r="I192" s="260">
        <f>data!AR94</f>
        <v>0</v>
      </c>
    </row>
    <row r="193" spans="1:9" ht="20.100000000000001" customHeight="1" x14ac:dyDescent="0.2">
      <c r="A193" s="246" t="s">
        <v>988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00000000000001" customHeight="1" x14ac:dyDescent="0.2">
      <c r="D194" s="249"/>
      <c r="I194" s="250" t="s">
        <v>1026</v>
      </c>
    </row>
    <row r="195" spans="1:9" ht="20.100000000000001" customHeight="1" x14ac:dyDescent="0.2">
      <c r="A195" s="249"/>
    </row>
    <row r="196" spans="1:9" ht="20.100000000000001" customHeight="1" x14ac:dyDescent="0.2">
      <c r="A196" s="251" t="str">
        <f>"Hospital: "&amp;data!C98</f>
        <v>Hospital: RCCH Trios Health LLC</v>
      </c>
      <c r="G196" s="252"/>
      <c r="H196" s="251" t="str">
        <f>"FYE: "&amp;data!C96</f>
        <v>FYE: 12/31/2023</v>
      </c>
    </row>
    <row r="197" spans="1:9" ht="20.100000000000001" customHeight="1" x14ac:dyDescent="0.2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00000000000001" customHeight="1" x14ac:dyDescent="0.2">
      <c r="A198" s="256">
        <v>2</v>
      </c>
      <c r="B198" s="257" t="s">
        <v>990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1027</v>
      </c>
      <c r="H198" s="259" t="s">
        <v>161</v>
      </c>
      <c r="I198" s="259"/>
    </row>
    <row r="199" spans="1:9" ht="20.100000000000001" customHeight="1" x14ac:dyDescent="0.2">
      <c r="A199" s="256"/>
      <c r="B199" s="257"/>
      <c r="C199" s="259" t="s">
        <v>156</v>
      </c>
      <c r="D199" s="259" t="s">
        <v>258</v>
      </c>
      <c r="E199" s="259" t="s">
        <v>1028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00000000000001" customHeight="1" x14ac:dyDescent="0.2">
      <c r="A200" s="245">
        <v>3</v>
      </c>
      <c r="B200" s="253" t="s">
        <v>994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00000000000001" customHeight="1" x14ac:dyDescent="0.2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320863</v>
      </c>
    </row>
    <row r="202" spans="1:9" ht="20.100000000000001" customHeight="1" x14ac:dyDescent="0.2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32.590000000000003</v>
      </c>
      <c r="H202" s="260">
        <f>data!AX60</f>
        <v>0</v>
      </c>
      <c r="I202" s="260">
        <f>data!AY60</f>
        <v>22.75</v>
      </c>
    </row>
    <row r="203" spans="1:9" ht="20.100000000000001" customHeight="1" x14ac:dyDescent="0.2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2860173.02</v>
      </c>
      <c r="H203" s="253">
        <f>data!AX61</f>
        <v>0</v>
      </c>
      <c r="I203" s="253">
        <f>data!AY61</f>
        <v>1079908.1200000001</v>
      </c>
    </row>
    <row r="204" spans="1:9" ht="20.100000000000001" customHeight="1" x14ac:dyDescent="0.2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527518</v>
      </c>
      <c r="H204" s="253">
        <f>data!AX62</f>
        <v>0</v>
      </c>
      <c r="I204" s="253">
        <f>data!AY62</f>
        <v>199173</v>
      </c>
    </row>
    <row r="205" spans="1:9" ht="20.100000000000001" customHeight="1" x14ac:dyDescent="0.2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75673</v>
      </c>
      <c r="H205" s="253">
        <f>data!AX63</f>
        <v>0</v>
      </c>
      <c r="I205" s="253">
        <f>data!AY63</f>
        <v>0</v>
      </c>
    </row>
    <row r="206" spans="1:9" ht="20.100000000000001" customHeight="1" x14ac:dyDescent="0.2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23423.15</v>
      </c>
      <c r="H206" s="253">
        <f>data!AX64</f>
        <v>0</v>
      </c>
      <c r="I206" s="253">
        <f>data!AY64</f>
        <v>568508.1</v>
      </c>
    </row>
    <row r="207" spans="1:9" ht="20.100000000000001" customHeight="1" x14ac:dyDescent="0.2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2071.3200000000002</v>
      </c>
      <c r="H207" s="253">
        <f>data!AX65</f>
        <v>0</v>
      </c>
      <c r="I207" s="253">
        <f>data!AY65</f>
        <v>0</v>
      </c>
    </row>
    <row r="208" spans="1:9" ht="20.100000000000001" customHeight="1" x14ac:dyDescent="0.2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1017.08</v>
      </c>
      <c r="H208" s="253">
        <f>data!AX66</f>
        <v>0</v>
      </c>
      <c r="I208" s="253">
        <f>data!AY66</f>
        <v>37228.85</v>
      </c>
    </row>
    <row r="209" spans="1:9" ht="20.100000000000001" customHeight="1" x14ac:dyDescent="0.2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16272</v>
      </c>
      <c r="H209" s="253">
        <f>data!AX67</f>
        <v>0</v>
      </c>
      <c r="I209" s="253">
        <f>data!AY67</f>
        <v>70150</v>
      </c>
    </row>
    <row r="210" spans="1:9" ht="20.100000000000001" customHeight="1" x14ac:dyDescent="0.2">
      <c r="A210" s="245">
        <v>13</v>
      </c>
      <c r="B210" s="253" t="s">
        <v>995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00000000000001" customHeight="1" x14ac:dyDescent="0.2">
      <c r="A211" s="245">
        <v>14</v>
      </c>
      <c r="B211" s="253" t="s">
        <v>996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38916.770000000004</v>
      </c>
      <c r="H211" s="253">
        <f>data!AX69</f>
        <v>0</v>
      </c>
      <c r="I211" s="253">
        <f>data!AY69</f>
        <v>32024.260000000002</v>
      </c>
    </row>
    <row r="212" spans="1:9" ht="20.100000000000001" customHeight="1" x14ac:dyDescent="0.2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-22032</v>
      </c>
      <c r="H212" s="253">
        <f>-data!AX84</f>
        <v>0</v>
      </c>
      <c r="I212" s="253">
        <f>-data!AY84</f>
        <v>-382764</v>
      </c>
    </row>
    <row r="213" spans="1:9" ht="20.100000000000001" customHeight="1" x14ac:dyDescent="0.2">
      <c r="A213" s="245">
        <v>16</v>
      </c>
      <c r="B213" s="261" t="s">
        <v>997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0</v>
      </c>
      <c r="G213" s="253">
        <f>data!AW85</f>
        <v>3523032.34</v>
      </c>
      <c r="H213" s="253">
        <f>data!AX85</f>
        <v>0</v>
      </c>
      <c r="I213" s="253">
        <f>data!AY85</f>
        <v>1604228.3300000003</v>
      </c>
    </row>
    <row r="214" spans="1:9" ht="20.100000000000001" customHeight="1" x14ac:dyDescent="0.2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00000000000001" customHeight="1" x14ac:dyDescent="0.2">
      <c r="A215" s="245">
        <v>18</v>
      </c>
      <c r="B215" s="253" t="s">
        <v>998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0</v>
      </c>
      <c r="G215" s="267"/>
      <c r="H215" s="253"/>
      <c r="I215" s="253"/>
    </row>
    <row r="216" spans="1:9" ht="20.100000000000001" customHeight="1" x14ac:dyDescent="0.2">
      <c r="A216" s="245">
        <v>19</v>
      </c>
      <c r="B216" s="261" t="s">
        <v>999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00000000000001" customHeight="1" x14ac:dyDescent="0.2">
      <c r="A217" s="245">
        <v>20</v>
      </c>
      <c r="B217" s="261" t="s">
        <v>1000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00000000000001" customHeight="1" x14ac:dyDescent="0.2">
      <c r="A218" s="245">
        <v>21</v>
      </c>
      <c r="B218" s="261" t="s">
        <v>1001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00000000000001" customHeight="1" x14ac:dyDescent="0.2">
      <c r="A219" s="245" t="s">
        <v>1002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00000000000001" customHeight="1" x14ac:dyDescent="0.2">
      <c r="A220" s="245">
        <v>22</v>
      </c>
      <c r="B220" s="253" t="s">
        <v>1003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1395</v>
      </c>
      <c r="H220" s="253">
        <f>data!AX90</f>
        <v>0</v>
      </c>
      <c r="I220" s="253">
        <f>data!AY90</f>
        <v>6014</v>
      </c>
    </row>
    <row r="221" spans="1:9" ht="20.100000000000001" customHeight="1" x14ac:dyDescent="0.2">
      <c r="A221" s="245">
        <v>23</v>
      </c>
      <c r="B221" s="253" t="s">
        <v>1004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00000000000001" customHeight="1" x14ac:dyDescent="0.2">
      <c r="A222" s="245">
        <v>24</v>
      </c>
      <c r="B222" s="253" t="s">
        <v>1005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250.86605770872461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00000000000001" customHeight="1" x14ac:dyDescent="0.2">
      <c r="A223" s="245">
        <v>25</v>
      </c>
      <c r="B223" s="253" t="s">
        <v>1006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00000000000001" customHeight="1" x14ac:dyDescent="0.2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00000000000001" customHeight="1" x14ac:dyDescent="0.2">
      <c r="A225" s="246" t="s">
        <v>988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00000000000001" customHeight="1" x14ac:dyDescent="0.2">
      <c r="D226" s="249"/>
      <c r="I226" s="250" t="s">
        <v>1029</v>
      </c>
    </row>
    <row r="227" spans="1:9" ht="20.100000000000001" customHeight="1" x14ac:dyDescent="0.2">
      <c r="A227" s="249"/>
    </row>
    <row r="228" spans="1:9" ht="20.100000000000001" customHeight="1" x14ac:dyDescent="0.2">
      <c r="A228" s="251" t="str">
        <f>"Hospital: "&amp;data!C98</f>
        <v>Hospital: RCCH Trios Health LLC</v>
      </c>
      <c r="G228" s="252"/>
      <c r="H228" s="251" t="str">
        <f>"FYE: "&amp;data!C96</f>
        <v>FYE: 12/31/2023</v>
      </c>
    </row>
    <row r="229" spans="1:9" ht="20.100000000000001" customHeight="1" x14ac:dyDescent="0.2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00000000000001" customHeight="1" x14ac:dyDescent="0.2">
      <c r="A230" s="256">
        <v>2</v>
      </c>
      <c r="B230" s="257" t="s">
        <v>990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00000000000001" customHeight="1" x14ac:dyDescent="0.2">
      <c r="A231" s="256"/>
      <c r="B231" s="257"/>
      <c r="C231" s="259" t="s">
        <v>163</v>
      </c>
      <c r="D231" s="259" t="s">
        <v>216</v>
      </c>
      <c r="E231" s="259" t="s">
        <v>1030</v>
      </c>
      <c r="F231" s="259" t="s">
        <v>1031</v>
      </c>
      <c r="G231" s="259" t="s">
        <v>166</v>
      </c>
      <c r="H231" s="259" t="s">
        <v>167</v>
      </c>
      <c r="I231" s="259" t="s">
        <v>168</v>
      </c>
    </row>
    <row r="232" spans="1:9" ht="20.100000000000001" customHeight="1" x14ac:dyDescent="0.2">
      <c r="A232" s="245">
        <v>3</v>
      </c>
      <c r="B232" s="253" t="s">
        <v>994</v>
      </c>
      <c r="C232" s="255" t="s">
        <v>1032</v>
      </c>
      <c r="D232" s="255" t="s">
        <v>1033</v>
      </c>
      <c r="E232" s="265"/>
      <c r="F232" s="265"/>
      <c r="G232" s="265"/>
      <c r="H232" s="255" t="s">
        <v>260</v>
      </c>
      <c r="I232" s="265"/>
    </row>
    <row r="233" spans="1:9" ht="20.100000000000001" customHeight="1" x14ac:dyDescent="0.2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421704</v>
      </c>
      <c r="I233" s="265"/>
    </row>
    <row r="234" spans="1:9" ht="20.100000000000001" customHeight="1" x14ac:dyDescent="0.2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7.69</v>
      </c>
      <c r="H234" s="260">
        <f>data!BE60</f>
        <v>8.48</v>
      </c>
      <c r="I234" s="260">
        <f>data!BF60</f>
        <v>36.299999999999997</v>
      </c>
    </row>
    <row r="235" spans="1:9" ht="20.100000000000001" customHeight="1" x14ac:dyDescent="0.2">
      <c r="A235" s="245">
        <v>6</v>
      </c>
      <c r="B235" s="253" t="s">
        <v>263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478840.21</v>
      </c>
      <c r="H235" s="253">
        <f>data!BE61</f>
        <v>505368.43</v>
      </c>
      <c r="I235" s="253">
        <f>data!BF61</f>
        <v>1870528.5</v>
      </c>
    </row>
    <row r="236" spans="1:9" ht="20.100000000000001" customHeight="1" x14ac:dyDescent="0.2">
      <c r="A236" s="245">
        <v>7</v>
      </c>
      <c r="B236" s="253" t="s">
        <v>11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88315</v>
      </c>
      <c r="H236" s="253">
        <f>data!BE62</f>
        <v>93208</v>
      </c>
      <c r="I236" s="253">
        <f>data!BF62</f>
        <v>344992</v>
      </c>
    </row>
    <row r="237" spans="1:9" ht="20.100000000000001" customHeight="1" x14ac:dyDescent="0.2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00000000000001" customHeight="1" x14ac:dyDescent="0.2">
      <c r="A238" s="245">
        <v>9</v>
      </c>
      <c r="B238" s="253" t="s">
        <v>265</v>
      </c>
      <c r="C238" s="253">
        <f>data!AZ64</f>
        <v>0</v>
      </c>
      <c r="D238" s="253">
        <f>data!BA64</f>
        <v>41135.1</v>
      </c>
      <c r="E238" s="253">
        <f>data!BB64</f>
        <v>0</v>
      </c>
      <c r="F238" s="253">
        <f>data!BC64</f>
        <v>0</v>
      </c>
      <c r="G238" s="253">
        <f>data!BD64</f>
        <v>-117711.19</v>
      </c>
      <c r="H238" s="253">
        <f>data!BE64</f>
        <v>41152.61</v>
      </c>
      <c r="I238" s="253">
        <f>data!BF64</f>
        <v>149729.26</v>
      </c>
    </row>
    <row r="239" spans="1:9" ht="20.100000000000001" customHeight="1" x14ac:dyDescent="0.2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30695.829999999998</v>
      </c>
      <c r="H239" s="253">
        <f>data!BE65</f>
        <v>1055175.3600000001</v>
      </c>
      <c r="I239" s="253">
        <f>data!BF65</f>
        <v>150939.92000000001</v>
      </c>
    </row>
    <row r="240" spans="1:9" ht="20.100000000000001" customHeight="1" x14ac:dyDescent="0.2">
      <c r="A240" s="245">
        <v>11</v>
      </c>
      <c r="B240" s="253" t="s">
        <v>512</v>
      </c>
      <c r="C240" s="253">
        <f>data!AZ66</f>
        <v>0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136890.69</v>
      </c>
      <c r="H240" s="253">
        <f>data!BE66</f>
        <v>673719.87</v>
      </c>
      <c r="I240" s="253">
        <f>data!BF66</f>
        <v>61884.1</v>
      </c>
    </row>
    <row r="241" spans="1:9" ht="20.100000000000001" customHeight="1" x14ac:dyDescent="0.2">
      <c r="A241" s="245">
        <v>12</v>
      </c>
      <c r="B241" s="253" t="s">
        <v>16</v>
      </c>
      <c r="C241" s="253">
        <f>data!AZ67</f>
        <v>0</v>
      </c>
      <c r="D241" s="253">
        <f>data!BA67</f>
        <v>8748</v>
      </c>
      <c r="E241" s="253">
        <f>data!BB67</f>
        <v>0</v>
      </c>
      <c r="F241" s="253">
        <f>data!BC67</f>
        <v>0</v>
      </c>
      <c r="G241" s="253">
        <f>data!BD67</f>
        <v>115757</v>
      </c>
      <c r="H241" s="253">
        <f>data!BE67</f>
        <v>205888</v>
      </c>
      <c r="I241" s="253">
        <f>data!BF67</f>
        <v>16283</v>
      </c>
    </row>
    <row r="242" spans="1:9" ht="20.100000000000001" customHeight="1" x14ac:dyDescent="0.2">
      <c r="A242" s="245">
        <v>13</v>
      </c>
      <c r="B242" s="253" t="s">
        <v>995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00000000000001" customHeight="1" x14ac:dyDescent="0.2">
      <c r="A243" s="245">
        <v>14</v>
      </c>
      <c r="B243" s="253" t="s">
        <v>996</v>
      </c>
      <c r="C243" s="253">
        <f>data!AZ69</f>
        <v>0</v>
      </c>
      <c r="D243" s="253">
        <f>data!BA69</f>
        <v>251428</v>
      </c>
      <c r="E243" s="253">
        <f>data!BB69</f>
        <v>0</v>
      </c>
      <c r="F243" s="253">
        <f>data!BC69</f>
        <v>0</v>
      </c>
      <c r="G243" s="253">
        <f>data!BD69</f>
        <v>192563.7</v>
      </c>
      <c r="H243" s="253">
        <f>data!BE69</f>
        <v>779016.29999999993</v>
      </c>
      <c r="I243" s="253">
        <f>data!BF69</f>
        <v>24303.11</v>
      </c>
    </row>
    <row r="244" spans="1:9" ht="20.100000000000001" customHeight="1" x14ac:dyDescent="0.2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-11782.78</v>
      </c>
      <c r="H244" s="253">
        <f>-data!BE84</f>
        <v>0</v>
      </c>
      <c r="I244" s="253">
        <f>-data!BF84</f>
        <v>0</v>
      </c>
    </row>
    <row r="245" spans="1:9" ht="20.100000000000001" customHeight="1" x14ac:dyDescent="0.2">
      <c r="A245" s="245">
        <v>16</v>
      </c>
      <c r="B245" s="261" t="s">
        <v>997</v>
      </c>
      <c r="C245" s="253">
        <f>data!AZ85</f>
        <v>0</v>
      </c>
      <c r="D245" s="253">
        <f>data!BA85</f>
        <v>301311.09999999998</v>
      </c>
      <c r="E245" s="253">
        <f>data!BB85</f>
        <v>0</v>
      </c>
      <c r="F245" s="253">
        <f>data!BC85</f>
        <v>0</v>
      </c>
      <c r="G245" s="253">
        <f>data!BD85</f>
        <v>913568.46</v>
      </c>
      <c r="H245" s="253">
        <f>data!BE85</f>
        <v>3353528.57</v>
      </c>
      <c r="I245" s="253">
        <f>data!BF85</f>
        <v>2618659.8899999997</v>
      </c>
    </row>
    <row r="246" spans="1:9" ht="20.100000000000001" customHeight="1" x14ac:dyDescent="0.2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00000000000001" customHeight="1" x14ac:dyDescent="0.2">
      <c r="A247" s="245">
        <v>18</v>
      </c>
      <c r="B247" s="253" t="s">
        <v>998</v>
      </c>
      <c r="C247" s="253"/>
      <c r="D247" s="253"/>
      <c r="E247" s="253"/>
      <c r="F247" s="253"/>
      <c r="G247" s="253"/>
      <c r="H247" s="253"/>
      <c r="I247" s="253"/>
    </row>
    <row r="248" spans="1:9" ht="20.100000000000001" customHeight="1" x14ac:dyDescent="0.2">
      <c r="A248" s="245">
        <v>19</v>
      </c>
      <c r="B248" s="261" t="s">
        <v>999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00000000000001" customHeight="1" x14ac:dyDescent="0.2">
      <c r="A249" s="245">
        <v>20</v>
      </c>
      <c r="B249" s="261" t="s">
        <v>1000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00000000000001" customHeight="1" x14ac:dyDescent="0.2">
      <c r="A250" s="245">
        <v>21</v>
      </c>
      <c r="B250" s="261" t="s">
        <v>1001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00000000000001" customHeight="1" x14ac:dyDescent="0.2">
      <c r="A251" s="245" t="s">
        <v>1002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00000000000001" customHeight="1" x14ac:dyDescent="0.2">
      <c r="A252" s="245">
        <v>22</v>
      </c>
      <c r="B252" s="253" t="s">
        <v>1003</v>
      </c>
      <c r="C252" s="269">
        <f>data!AZ90</f>
        <v>0</v>
      </c>
      <c r="D252" s="269">
        <f>data!BA90</f>
        <v>750</v>
      </c>
      <c r="E252" s="269">
        <f>data!BB90</f>
        <v>0</v>
      </c>
      <c r="F252" s="269">
        <f>data!BC90</f>
        <v>0</v>
      </c>
      <c r="G252" s="269">
        <f>data!BD90</f>
        <v>9924</v>
      </c>
      <c r="H252" s="269">
        <f>data!BE90</f>
        <v>17651</v>
      </c>
      <c r="I252" s="269">
        <f>data!BF90</f>
        <v>1396</v>
      </c>
    </row>
    <row r="253" spans="1:9" ht="20.100000000000001" customHeight="1" x14ac:dyDescent="0.2">
      <c r="A253" s="245">
        <v>23</v>
      </c>
      <c r="B253" s="253" t="s">
        <v>1004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00000000000001" customHeight="1" x14ac:dyDescent="0.2">
      <c r="A254" s="245">
        <v>24</v>
      </c>
      <c r="B254" s="253" t="s">
        <v>1005</v>
      </c>
      <c r="C254" s="268" t="str">
        <f>IF(data!AZ92&gt;0,data!AZ92,"")</f>
        <v>x</v>
      </c>
      <c r="D254" s="269">
        <f>data!BA92</f>
        <v>134.87422457458314</v>
      </c>
      <c r="E254" s="269">
        <f>data!BB92</f>
        <v>0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00000000000001" customHeight="1" x14ac:dyDescent="0.2">
      <c r="A255" s="245">
        <v>25</v>
      </c>
      <c r="B255" s="253" t="s">
        <v>1006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00000000000001" customHeight="1" x14ac:dyDescent="0.2">
      <c r="A256" s="245">
        <v>26</v>
      </c>
      <c r="B256" s="253" t="s">
        <v>294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00000000000001" customHeight="1" x14ac:dyDescent="0.2">
      <c r="A257" s="246" t="s">
        <v>988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00000000000001" customHeight="1" x14ac:dyDescent="0.2">
      <c r="D258" s="249"/>
      <c r="I258" s="250" t="s">
        <v>1034</v>
      </c>
    </row>
    <row r="259" spans="1:9" ht="20.100000000000001" customHeight="1" x14ac:dyDescent="0.2">
      <c r="A259" s="249"/>
    </row>
    <row r="260" spans="1:9" ht="20.100000000000001" customHeight="1" x14ac:dyDescent="0.2">
      <c r="A260" s="251" t="str">
        <f>"Hospital: "&amp;data!C98</f>
        <v>Hospital: RCCH Trios Health LLC</v>
      </c>
      <c r="G260" s="252"/>
      <c r="H260" s="251" t="str">
        <f>"FYE: "&amp;data!C96</f>
        <v>FYE: 12/31/2023</v>
      </c>
    </row>
    <row r="261" spans="1:9" ht="20.100000000000001" customHeight="1" x14ac:dyDescent="0.2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00000000000001" customHeight="1" x14ac:dyDescent="0.2">
      <c r="A262" s="256">
        <v>2</v>
      </c>
      <c r="B262" s="257" t="s">
        <v>990</v>
      </c>
      <c r="C262" s="259" t="s">
        <v>1035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00000000000001" customHeight="1" x14ac:dyDescent="0.2">
      <c r="A263" s="256"/>
      <c r="B263" s="257"/>
      <c r="C263" s="259" t="s">
        <v>1036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1037</v>
      </c>
    </row>
    <row r="264" spans="1:9" ht="20.100000000000001" customHeight="1" x14ac:dyDescent="0.2">
      <c r="A264" s="245">
        <v>3</v>
      </c>
      <c r="B264" s="253" t="s">
        <v>994</v>
      </c>
      <c r="C264" s="265"/>
      <c r="D264" s="265"/>
      <c r="E264" s="265"/>
      <c r="F264" s="265"/>
      <c r="G264" s="265"/>
      <c r="H264" s="265"/>
      <c r="I264" s="265"/>
    </row>
    <row r="265" spans="1:9" ht="20.100000000000001" customHeight="1" x14ac:dyDescent="0.2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00000000000001" customHeight="1" x14ac:dyDescent="0.2">
      <c r="A266" s="245">
        <v>5</v>
      </c>
      <c r="B266" s="253" t="s">
        <v>262</v>
      </c>
      <c r="C266" s="260">
        <f>data!BG60</f>
        <v>0</v>
      </c>
      <c r="D266" s="260">
        <f>data!BH60</f>
        <v>14.18</v>
      </c>
      <c r="E266" s="260">
        <f>data!BI60</f>
        <v>0</v>
      </c>
      <c r="F266" s="260">
        <f>data!BJ60</f>
        <v>5.8</v>
      </c>
      <c r="G266" s="260">
        <f>data!BK60</f>
        <v>0</v>
      </c>
      <c r="H266" s="260">
        <f>data!BL60</f>
        <v>24.33</v>
      </c>
      <c r="I266" s="260">
        <f>data!BM60</f>
        <v>0</v>
      </c>
    </row>
    <row r="267" spans="1:9" ht="20.100000000000001" customHeight="1" x14ac:dyDescent="0.2">
      <c r="A267" s="245">
        <v>6</v>
      </c>
      <c r="B267" s="253" t="s">
        <v>263</v>
      </c>
      <c r="C267" s="253">
        <f>data!BG61</f>
        <v>0</v>
      </c>
      <c r="D267" s="253">
        <f>data!BH61</f>
        <v>1245574.33</v>
      </c>
      <c r="E267" s="253">
        <f>data!BI61</f>
        <v>0</v>
      </c>
      <c r="F267" s="253">
        <f>data!BJ61</f>
        <v>555424.89</v>
      </c>
      <c r="G267" s="253">
        <f>data!BK61</f>
        <v>0</v>
      </c>
      <c r="H267" s="253">
        <f>data!BL61</f>
        <v>65085.86</v>
      </c>
      <c r="I267" s="253">
        <f>data!BM61</f>
        <v>0</v>
      </c>
    </row>
    <row r="268" spans="1:9" ht="20.100000000000001" customHeight="1" x14ac:dyDescent="0.2">
      <c r="A268" s="245">
        <v>7</v>
      </c>
      <c r="B268" s="253" t="s">
        <v>11</v>
      </c>
      <c r="C268" s="253">
        <f>data!BG62</f>
        <v>0</v>
      </c>
      <c r="D268" s="253">
        <f>data!BH62</f>
        <v>229728</v>
      </c>
      <c r="E268" s="253">
        <f>data!BI62</f>
        <v>0</v>
      </c>
      <c r="F268" s="253">
        <f>data!BJ62</f>
        <v>102440</v>
      </c>
      <c r="G268" s="253">
        <f>data!BK62</f>
        <v>0</v>
      </c>
      <c r="H268" s="253">
        <f>data!BL62</f>
        <v>12004</v>
      </c>
      <c r="I268" s="253">
        <f>data!BM62</f>
        <v>0</v>
      </c>
    </row>
    <row r="269" spans="1:9" ht="20.100000000000001" customHeight="1" x14ac:dyDescent="0.2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00000000000001" customHeight="1" x14ac:dyDescent="0.2">
      <c r="A270" s="245">
        <v>9</v>
      </c>
      <c r="B270" s="253" t="s">
        <v>265</v>
      </c>
      <c r="C270" s="253">
        <f>data!BG64</f>
        <v>461.39</v>
      </c>
      <c r="D270" s="253">
        <f>data!BH64</f>
        <v>30127.599999999999</v>
      </c>
      <c r="E270" s="253">
        <f>data!BI64</f>
        <v>0</v>
      </c>
      <c r="F270" s="253">
        <f>data!BJ64</f>
        <v>1070.9000000000001</v>
      </c>
      <c r="G270" s="253">
        <f>data!BK64</f>
        <v>480.28</v>
      </c>
      <c r="H270" s="253">
        <f>data!BL64</f>
        <v>28285.13</v>
      </c>
      <c r="I270" s="253">
        <f>data!BM64</f>
        <v>0</v>
      </c>
    </row>
    <row r="271" spans="1:9" ht="20.100000000000001" customHeight="1" x14ac:dyDescent="0.2">
      <c r="A271" s="245">
        <v>10</v>
      </c>
      <c r="B271" s="253" t="s">
        <v>511</v>
      </c>
      <c r="C271" s="253">
        <f>data!BG65</f>
        <v>0</v>
      </c>
      <c r="D271" s="253">
        <f>data!BH65</f>
        <v>380791.76</v>
      </c>
      <c r="E271" s="253">
        <f>data!BI65</f>
        <v>0</v>
      </c>
      <c r="F271" s="253">
        <f>data!BJ65</f>
        <v>4114.2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00000000000001" customHeight="1" x14ac:dyDescent="0.2">
      <c r="A272" s="245">
        <v>11</v>
      </c>
      <c r="B272" s="253" t="s">
        <v>512</v>
      </c>
      <c r="C272" s="253">
        <f>data!BG66</f>
        <v>1081.57</v>
      </c>
      <c r="D272" s="253">
        <f>data!BH66</f>
        <v>564296.39</v>
      </c>
      <c r="E272" s="253">
        <f>data!BI66</f>
        <v>0</v>
      </c>
      <c r="F272" s="253">
        <f>data!BJ66</f>
        <v>64256.37</v>
      </c>
      <c r="G272" s="253">
        <f>data!BK66</f>
        <v>-167585.47</v>
      </c>
      <c r="H272" s="253">
        <f>data!BL66</f>
        <v>42177.18</v>
      </c>
      <c r="I272" s="253">
        <f>data!BM66</f>
        <v>0</v>
      </c>
    </row>
    <row r="273" spans="1:9" ht="20.100000000000001" customHeight="1" x14ac:dyDescent="0.2">
      <c r="A273" s="245">
        <v>12</v>
      </c>
      <c r="B273" s="253" t="s">
        <v>16</v>
      </c>
      <c r="C273" s="253">
        <f>data!BG67</f>
        <v>9693</v>
      </c>
      <c r="D273" s="253">
        <f>data!BH67</f>
        <v>66429</v>
      </c>
      <c r="E273" s="253">
        <f>data!BI67</f>
        <v>0</v>
      </c>
      <c r="F273" s="253">
        <f>data!BJ67</f>
        <v>7489</v>
      </c>
      <c r="G273" s="253">
        <f>data!BK67</f>
        <v>17147</v>
      </c>
      <c r="H273" s="253">
        <f>data!BL67</f>
        <v>51813</v>
      </c>
      <c r="I273" s="253">
        <f>data!BM67</f>
        <v>0</v>
      </c>
    </row>
    <row r="274" spans="1:9" ht="20.100000000000001" customHeight="1" x14ac:dyDescent="0.2">
      <c r="A274" s="245">
        <v>13</v>
      </c>
      <c r="B274" s="253" t="s">
        <v>995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00000000000001" customHeight="1" x14ac:dyDescent="0.2">
      <c r="A275" s="245">
        <v>14</v>
      </c>
      <c r="B275" s="253" t="s">
        <v>996</v>
      </c>
      <c r="C275" s="253">
        <f>data!BG69</f>
        <v>628018.37</v>
      </c>
      <c r="D275" s="253">
        <f>data!BH69</f>
        <v>2011655.69</v>
      </c>
      <c r="E275" s="253">
        <f>data!BI69</f>
        <v>0</v>
      </c>
      <c r="F275" s="253">
        <f>data!BJ69</f>
        <v>14123.61</v>
      </c>
      <c r="G275" s="253">
        <f>data!BK69</f>
        <v>8519</v>
      </c>
      <c r="H275" s="253">
        <f>data!BL69</f>
        <v>449</v>
      </c>
      <c r="I275" s="253">
        <f>data!BM69</f>
        <v>0</v>
      </c>
    </row>
    <row r="276" spans="1:9" ht="20.100000000000001" customHeight="1" x14ac:dyDescent="0.2">
      <c r="A276" s="245">
        <v>15</v>
      </c>
      <c r="B276" s="253" t="s">
        <v>284</v>
      </c>
      <c r="C276" s="253">
        <f>-data!BG84</f>
        <v>0</v>
      </c>
      <c r="D276" s="253">
        <f>-data!BH84</f>
        <v>-720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00000000000001" customHeight="1" x14ac:dyDescent="0.2">
      <c r="A277" s="245">
        <v>16</v>
      </c>
      <c r="B277" s="261" t="s">
        <v>997</v>
      </c>
      <c r="C277" s="253">
        <f>data!BG85</f>
        <v>639254.32999999996</v>
      </c>
      <c r="D277" s="253">
        <f>data!BH85</f>
        <v>4527882.7699999996</v>
      </c>
      <c r="E277" s="253">
        <f>data!BI85</f>
        <v>0</v>
      </c>
      <c r="F277" s="253">
        <f>data!BJ85</f>
        <v>748918.97</v>
      </c>
      <c r="G277" s="253">
        <f>data!BK85</f>
        <v>-141439.19</v>
      </c>
      <c r="H277" s="253">
        <f>data!BL85</f>
        <v>199814.17</v>
      </c>
      <c r="I277" s="253">
        <f>data!BM85</f>
        <v>0</v>
      </c>
    </row>
    <row r="278" spans="1:9" ht="20.100000000000001" customHeight="1" x14ac:dyDescent="0.2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00000000000001" customHeight="1" x14ac:dyDescent="0.2">
      <c r="A279" s="245">
        <v>18</v>
      </c>
      <c r="B279" s="253" t="s">
        <v>998</v>
      </c>
      <c r="C279" s="253"/>
      <c r="D279" s="253"/>
      <c r="E279" s="253"/>
      <c r="F279" s="253"/>
      <c r="G279" s="253"/>
      <c r="H279" s="253"/>
      <c r="I279" s="253"/>
    </row>
    <row r="280" spans="1:9" ht="20.100000000000001" customHeight="1" x14ac:dyDescent="0.2">
      <c r="A280" s="245">
        <v>19</v>
      </c>
      <c r="B280" s="261" t="s">
        <v>999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00000000000001" customHeight="1" x14ac:dyDescent="0.2">
      <c r="A281" s="245">
        <v>20</v>
      </c>
      <c r="B281" s="261" t="s">
        <v>1000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00000000000001" customHeight="1" x14ac:dyDescent="0.2">
      <c r="A282" s="245">
        <v>21</v>
      </c>
      <c r="B282" s="261" t="s">
        <v>1001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00000000000001" customHeight="1" x14ac:dyDescent="0.2">
      <c r="A283" s="245" t="s">
        <v>1002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00000000000001" customHeight="1" x14ac:dyDescent="0.2">
      <c r="A284" s="245">
        <v>22</v>
      </c>
      <c r="B284" s="253" t="s">
        <v>1003</v>
      </c>
      <c r="C284" s="269">
        <f>data!BG90</f>
        <v>831</v>
      </c>
      <c r="D284" s="269">
        <f>data!BH90</f>
        <v>5695</v>
      </c>
      <c r="E284" s="269">
        <f>data!BI90</f>
        <v>0</v>
      </c>
      <c r="F284" s="269">
        <f>data!BJ90</f>
        <v>642</v>
      </c>
      <c r="G284" s="269">
        <f>data!BK90</f>
        <v>1470</v>
      </c>
      <c r="H284" s="269">
        <f>data!BL90</f>
        <v>4442</v>
      </c>
      <c r="I284" s="269">
        <f>data!BM90</f>
        <v>0</v>
      </c>
    </row>
    <row r="285" spans="1:9" ht="20.100000000000001" customHeight="1" x14ac:dyDescent="0.2">
      <c r="A285" s="245">
        <v>23</v>
      </c>
      <c r="B285" s="253" t="s">
        <v>1004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00000000000001" customHeight="1" x14ac:dyDescent="0.2">
      <c r="A286" s="245">
        <v>24</v>
      </c>
      <c r="B286" s="253" t="s">
        <v>1005</v>
      </c>
      <c r="C286" s="268" t="str">
        <f>IF(data!BG92&gt;0,data!BG92,"")</f>
        <v>x</v>
      </c>
      <c r="D286" s="269">
        <f>data!BH92</f>
        <v>1024.1449452696679</v>
      </c>
      <c r="E286" s="269">
        <f>data!BI92</f>
        <v>0</v>
      </c>
      <c r="F286" s="268" t="str">
        <f>IF(data!BJ92&gt;0,data!BJ92,"")</f>
        <v>x</v>
      </c>
      <c r="G286" s="269">
        <f>data!BK92</f>
        <v>264.35348016618292</v>
      </c>
      <c r="H286" s="269">
        <f>data!BL92</f>
        <v>798.81507408039761</v>
      </c>
      <c r="I286" s="269">
        <f>data!BM92</f>
        <v>0</v>
      </c>
    </row>
    <row r="287" spans="1:9" ht="20.100000000000001" customHeight="1" x14ac:dyDescent="0.2">
      <c r="A287" s="245">
        <v>25</v>
      </c>
      <c r="B287" s="253" t="s">
        <v>1006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00000000000001" customHeight="1" x14ac:dyDescent="0.2">
      <c r="A288" s="245">
        <v>26</v>
      </c>
      <c r="B288" s="253" t="s">
        <v>294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00000000000001" customHeight="1" x14ac:dyDescent="0.2">
      <c r="A289" s="246" t="s">
        <v>988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00000000000001" customHeight="1" x14ac:dyDescent="0.2">
      <c r="D290" s="249"/>
      <c r="I290" s="250" t="s">
        <v>1038</v>
      </c>
    </row>
    <row r="291" spans="1:9" ht="20.100000000000001" customHeight="1" x14ac:dyDescent="0.2">
      <c r="A291" s="249"/>
    </row>
    <row r="292" spans="1:9" ht="20.100000000000001" customHeight="1" x14ac:dyDescent="0.2">
      <c r="A292" s="251" t="str">
        <f>"Hospital: "&amp;data!C98</f>
        <v>Hospital: RCCH Trios Health LLC</v>
      </c>
      <c r="G292" s="252"/>
      <c r="H292" s="251" t="str">
        <f>"FYE: "&amp;data!C96</f>
        <v>FYE: 12/31/2023</v>
      </c>
    </row>
    <row r="293" spans="1:9" ht="20.100000000000001" customHeight="1" x14ac:dyDescent="0.2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00000000000001" customHeight="1" x14ac:dyDescent="0.2">
      <c r="A294" s="256">
        <v>2</v>
      </c>
      <c r="B294" s="257" t="s">
        <v>990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00000000000001" customHeight="1" x14ac:dyDescent="0.2">
      <c r="A295" s="256"/>
      <c r="B295" s="257"/>
      <c r="C295" s="259" t="s">
        <v>1039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00000000000001" customHeight="1" x14ac:dyDescent="0.2">
      <c r="A296" s="245">
        <v>3</v>
      </c>
      <c r="B296" s="253" t="s">
        <v>994</v>
      </c>
      <c r="C296" s="265"/>
      <c r="D296" s="265"/>
      <c r="E296" s="265"/>
      <c r="F296" s="265"/>
      <c r="G296" s="265"/>
      <c r="H296" s="265"/>
      <c r="I296" s="265"/>
    </row>
    <row r="297" spans="1:9" ht="20.100000000000001" customHeight="1" x14ac:dyDescent="0.2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00000000000001" customHeight="1" x14ac:dyDescent="0.2">
      <c r="A298" s="245">
        <v>5</v>
      </c>
      <c r="B298" s="253" t="s">
        <v>262</v>
      </c>
      <c r="C298" s="260">
        <f>data!BN60</f>
        <v>5.22</v>
      </c>
      <c r="D298" s="260">
        <f>data!BO60</f>
        <v>1.06</v>
      </c>
      <c r="E298" s="260">
        <f>data!BP60</f>
        <v>1.1599999999999999</v>
      </c>
      <c r="F298" s="260">
        <f>data!BQ60</f>
        <v>0</v>
      </c>
      <c r="G298" s="260">
        <f>data!BR60</f>
        <v>5.67</v>
      </c>
      <c r="H298" s="260">
        <f>data!BS60</f>
        <v>0</v>
      </c>
      <c r="I298" s="260">
        <f>data!BT60</f>
        <v>0</v>
      </c>
    </row>
    <row r="299" spans="1:9" ht="20.100000000000001" customHeight="1" x14ac:dyDescent="0.2">
      <c r="A299" s="245">
        <v>6</v>
      </c>
      <c r="B299" s="253" t="s">
        <v>263</v>
      </c>
      <c r="C299" s="253">
        <f>data!BN61</f>
        <v>1007565.79</v>
      </c>
      <c r="D299" s="253">
        <f>data!BO61</f>
        <v>108024.03</v>
      </c>
      <c r="E299" s="253">
        <f>data!BP61</f>
        <v>91878.63</v>
      </c>
      <c r="F299" s="253">
        <f>data!BQ61</f>
        <v>0</v>
      </c>
      <c r="G299" s="253">
        <f>data!BR61</f>
        <v>586285.52</v>
      </c>
      <c r="H299" s="253">
        <f>data!BS61</f>
        <v>0</v>
      </c>
      <c r="I299" s="253">
        <f>data!BT61</f>
        <v>0</v>
      </c>
    </row>
    <row r="300" spans="1:9" ht="20.100000000000001" customHeight="1" x14ac:dyDescent="0.2">
      <c r="A300" s="245">
        <v>7</v>
      </c>
      <c r="B300" s="253" t="s">
        <v>11</v>
      </c>
      <c r="C300" s="253">
        <f>data!BN62</f>
        <v>185831</v>
      </c>
      <c r="D300" s="253">
        <f>data!BO62</f>
        <v>19923</v>
      </c>
      <c r="E300" s="253">
        <f>data!BP62</f>
        <v>16946</v>
      </c>
      <c r="F300" s="253">
        <f>data!BQ62</f>
        <v>0</v>
      </c>
      <c r="G300" s="253">
        <f>data!BR62</f>
        <v>108132</v>
      </c>
      <c r="H300" s="253">
        <f>data!BS62</f>
        <v>0</v>
      </c>
      <c r="I300" s="253">
        <f>data!BT62</f>
        <v>0</v>
      </c>
    </row>
    <row r="301" spans="1:9" ht="20.100000000000001" customHeight="1" x14ac:dyDescent="0.2">
      <c r="A301" s="245">
        <v>8</v>
      </c>
      <c r="B301" s="253" t="s">
        <v>264</v>
      </c>
      <c r="C301" s="253">
        <f>data!BN63</f>
        <v>82516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00000000000001" customHeight="1" x14ac:dyDescent="0.2">
      <c r="A302" s="245">
        <v>9</v>
      </c>
      <c r="B302" s="253" t="s">
        <v>265</v>
      </c>
      <c r="C302" s="253">
        <f>data!BN64</f>
        <v>41458.83</v>
      </c>
      <c r="D302" s="253">
        <f>data!BO64</f>
        <v>1336.58</v>
      </c>
      <c r="E302" s="253">
        <f>data!BP64</f>
        <v>1014.25</v>
      </c>
      <c r="F302" s="253">
        <f>data!BQ64</f>
        <v>0</v>
      </c>
      <c r="G302" s="253">
        <f>data!BR64</f>
        <v>27298.6</v>
      </c>
      <c r="H302" s="253">
        <f>data!BS64</f>
        <v>31548.71</v>
      </c>
      <c r="I302" s="253">
        <f>data!BT64</f>
        <v>92.08</v>
      </c>
    </row>
    <row r="303" spans="1:9" ht="20.100000000000001" customHeight="1" x14ac:dyDescent="0.2">
      <c r="A303" s="245">
        <v>10</v>
      </c>
      <c r="B303" s="253" t="s">
        <v>511</v>
      </c>
      <c r="C303" s="253">
        <f>data!BN65</f>
        <v>2531.1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330</v>
      </c>
      <c r="H303" s="253">
        <f>data!BS65</f>
        <v>0</v>
      </c>
      <c r="I303" s="253">
        <f>data!BT65</f>
        <v>0</v>
      </c>
    </row>
    <row r="304" spans="1:9" ht="20.100000000000001" customHeight="1" x14ac:dyDescent="0.2">
      <c r="A304" s="245">
        <v>11</v>
      </c>
      <c r="B304" s="253" t="s">
        <v>512</v>
      </c>
      <c r="C304" s="253">
        <f>data!BN66</f>
        <v>593687.18999999994</v>
      </c>
      <c r="D304" s="253">
        <f>data!BO66</f>
        <v>206030.82</v>
      </c>
      <c r="E304" s="253">
        <f>data!BP66</f>
        <v>12619.56</v>
      </c>
      <c r="F304" s="253">
        <f>data!BQ66</f>
        <v>0</v>
      </c>
      <c r="G304" s="253">
        <f>data!BR66</f>
        <v>215954.05</v>
      </c>
      <c r="H304" s="253">
        <f>data!BS66</f>
        <v>179.91</v>
      </c>
      <c r="I304" s="253">
        <f>data!BT66</f>
        <v>20933.47</v>
      </c>
    </row>
    <row r="305" spans="1:9" ht="20.100000000000001" customHeight="1" x14ac:dyDescent="0.2">
      <c r="A305" s="245">
        <v>12</v>
      </c>
      <c r="B305" s="253" t="s">
        <v>16</v>
      </c>
      <c r="C305" s="253">
        <f>data!BN67</f>
        <v>19958</v>
      </c>
      <c r="D305" s="253">
        <f>data!BO67</f>
        <v>2881</v>
      </c>
      <c r="E305" s="253">
        <f>data!BP67</f>
        <v>3033</v>
      </c>
      <c r="F305" s="253">
        <f>data!BQ67</f>
        <v>0</v>
      </c>
      <c r="G305" s="253">
        <f>data!BR67</f>
        <v>51673</v>
      </c>
      <c r="H305" s="253">
        <f>data!BS67</f>
        <v>6765</v>
      </c>
      <c r="I305" s="253">
        <f>data!BT67</f>
        <v>6707</v>
      </c>
    </row>
    <row r="306" spans="1:9" ht="20.100000000000001" customHeight="1" x14ac:dyDescent="0.2">
      <c r="A306" s="245">
        <v>13</v>
      </c>
      <c r="B306" s="253" t="s">
        <v>995</v>
      </c>
      <c r="C306" s="253">
        <f>data!BN68</f>
        <v>16638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00000000000001" customHeight="1" x14ac:dyDescent="0.2">
      <c r="A307" s="245">
        <v>14</v>
      </c>
      <c r="B307" s="253" t="s">
        <v>996</v>
      </c>
      <c r="C307" s="253">
        <f>data!BN69</f>
        <v>1142259.29</v>
      </c>
      <c r="D307" s="253">
        <f>data!BO69</f>
        <v>0</v>
      </c>
      <c r="E307" s="253">
        <f>data!BP69</f>
        <v>321534.74</v>
      </c>
      <c r="F307" s="253">
        <f>data!BQ69</f>
        <v>0</v>
      </c>
      <c r="G307" s="253">
        <f>data!BR69</f>
        <v>319687.28000000003</v>
      </c>
      <c r="H307" s="253">
        <f>data!BS69</f>
        <v>148.88</v>
      </c>
      <c r="I307" s="253">
        <f>data!BT69</f>
        <v>0</v>
      </c>
    </row>
    <row r="308" spans="1:9" ht="20.100000000000001" customHeight="1" x14ac:dyDescent="0.2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-68815</v>
      </c>
      <c r="I308" s="253">
        <f>-data!BT84</f>
        <v>0</v>
      </c>
    </row>
    <row r="309" spans="1:9" ht="20.100000000000001" customHeight="1" x14ac:dyDescent="0.2">
      <c r="A309" s="245">
        <v>16</v>
      </c>
      <c r="B309" s="261" t="s">
        <v>997</v>
      </c>
      <c r="C309" s="253">
        <f>data!BN85</f>
        <v>3092445.2</v>
      </c>
      <c r="D309" s="253">
        <f>data!BO85</f>
        <v>338195.43</v>
      </c>
      <c r="E309" s="253">
        <f>data!BP85</f>
        <v>447026.18</v>
      </c>
      <c r="F309" s="253">
        <f>data!BQ85</f>
        <v>0</v>
      </c>
      <c r="G309" s="253">
        <f>data!BR85</f>
        <v>1309360.45</v>
      </c>
      <c r="H309" s="253">
        <f>data!BS85</f>
        <v>-30172.500000000007</v>
      </c>
      <c r="I309" s="253">
        <f>data!BT85</f>
        <v>27732.550000000003</v>
      </c>
    </row>
    <row r="310" spans="1:9" ht="20.100000000000001" customHeight="1" x14ac:dyDescent="0.2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00000000000001" customHeight="1" x14ac:dyDescent="0.2">
      <c r="A311" s="245">
        <v>18</v>
      </c>
      <c r="B311" s="253" t="s">
        <v>998</v>
      </c>
      <c r="C311" s="253"/>
      <c r="D311" s="253"/>
      <c r="E311" s="253"/>
      <c r="F311" s="253"/>
      <c r="G311" s="253"/>
      <c r="H311" s="253"/>
      <c r="I311" s="253"/>
    </row>
    <row r="312" spans="1:9" ht="20.100000000000001" customHeight="1" x14ac:dyDescent="0.2">
      <c r="A312" s="245">
        <v>19</v>
      </c>
      <c r="B312" s="261" t="s">
        <v>999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00000000000001" customHeight="1" x14ac:dyDescent="0.2">
      <c r="A313" s="245">
        <v>20</v>
      </c>
      <c r="B313" s="261" t="s">
        <v>1000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00000000000001" customHeight="1" x14ac:dyDescent="0.2">
      <c r="A314" s="245">
        <v>21</v>
      </c>
      <c r="B314" s="261" t="s">
        <v>1001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00000000000001" customHeight="1" x14ac:dyDescent="0.2">
      <c r="A315" s="245" t="s">
        <v>1002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00000000000001" customHeight="1" x14ac:dyDescent="0.2">
      <c r="A316" s="245">
        <v>22</v>
      </c>
      <c r="B316" s="253" t="s">
        <v>1003</v>
      </c>
      <c r="C316" s="269">
        <f>data!BN90</f>
        <v>1711</v>
      </c>
      <c r="D316" s="269">
        <f>data!BO90</f>
        <v>247</v>
      </c>
      <c r="E316" s="269">
        <f>data!BP90</f>
        <v>260</v>
      </c>
      <c r="F316" s="269">
        <f>data!BQ90</f>
        <v>0</v>
      </c>
      <c r="G316" s="269">
        <f>data!BR90</f>
        <v>4430</v>
      </c>
      <c r="H316" s="269">
        <f>data!BS90</f>
        <v>580</v>
      </c>
      <c r="I316" s="269">
        <f>data!BT90</f>
        <v>575</v>
      </c>
    </row>
    <row r="317" spans="1:9" ht="20.100000000000001" customHeight="1" x14ac:dyDescent="0.2">
      <c r="A317" s="245">
        <v>23</v>
      </c>
      <c r="B317" s="253" t="s">
        <v>1004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00000000000001" customHeight="1" x14ac:dyDescent="0.2">
      <c r="A318" s="245">
        <v>24</v>
      </c>
      <c r="B318" s="253" t="s">
        <v>1005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104.30273367101094</v>
      </c>
      <c r="I318" s="269">
        <f>data!BT92</f>
        <v>103.40357217384707</v>
      </c>
    </row>
    <row r="319" spans="1:9" ht="20.100000000000001" customHeight="1" x14ac:dyDescent="0.2">
      <c r="A319" s="245">
        <v>25</v>
      </c>
      <c r="B319" s="253" t="s">
        <v>1006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00000000000001" customHeight="1" x14ac:dyDescent="0.2">
      <c r="A320" s="245">
        <v>26</v>
      </c>
      <c r="B320" s="253" t="s">
        <v>294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00000000000001" customHeight="1" x14ac:dyDescent="0.2">
      <c r="A321" s="246" t="s">
        <v>988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00000000000001" customHeight="1" x14ac:dyDescent="0.2">
      <c r="D322" s="249"/>
      <c r="I322" s="250" t="s">
        <v>1040</v>
      </c>
    </row>
    <row r="323" spans="1:9" ht="20.100000000000001" customHeight="1" x14ac:dyDescent="0.2">
      <c r="A323" s="249"/>
    </row>
    <row r="324" spans="1:9" ht="20.100000000000001" customHeight="1" x14ac:dyDescent="0.2">
      <c r="A324" s="251" t="str">
        <f>"Hospital: "&amp;data!C98</f>
        <v>Hospital: RCCH Trios Health LLC</v>
      </c>
      <c r="G324" s="252"/>
      <c r="H324" s="251" t="str">
        <f>"FYE: "&amp;data!C96</f>
        <v>FYE: 12/31/2023</v>
      </c>
    </row>
    <row r="325" spans="1:9" ht="20.100000000000001" customHeight="1" x14ac:dyDescent="0.2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00000000000001" customHeight="1" x14ac:dyDescent="0.2">
      <c r="A326" s="256">
        <v>2</v>
      </c>
      <c r="B326" s="257" t="s">
        <v>990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00000000000001" customHeight="1" x14ac:dyDescent="0.2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1039</v>
      </c>
      <c r="H327" s="259" t="s">
        <v>179</v>
      </c>
      <c r="I327" s="259" t="s">
        <v>228</v>
      </c>
    </row>
    <row r="328" spans="1:9" ht="20.100000000000001" customHeight="1" x14ac:dyDescent="0.2">
      <c r="A328" s="245">
        <v>3</v>
      </c>
      <c r="B328" s="253" t="s">
        <v>994</v>
      </c>
      <c r="C328" s="265"/>
      <c r="D328" s="265"/>
      <c r="E328" s="265"/>
      <c r="F328" s="265"/>
      <c r="G328" s="265"/>
      <c r="H328" s="265"/>
      <c r="I328" s="265"/>
    </row>
    <row r="329" spans="1:9" ht="20.100000000000001" customHeight="1" x14ac:dyDescent="0.2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00000000000001" customHeight="1" x14ac:dyDescent="0.2">
      <c r="A330" s="245">
        <v>5</v>
      </c>
      <c r="B330" s="253" t="s">
        <v>262</v>
      </c>
      <c r="C330" s="260">
        <f>data!BU60</f>
        <v>0</v>
      </c>
      <c r="D330" s="260">
        <f>data!BV60</f>
        <v>4.0599999999999996</v>
      </c>
      <c r="E330" s="260">
        <f>data!BW60</f>
        <v>1.0900000000000001</v>
      </c>
      <c r="F330" s="260">
        <f>data!BX60</f>
        <v>15.77</v>
      </c>
      <c r="G330" s="260">
        <f>data!BY60</f>
        <v>6.34</v>
      </c>
      <c r="H330" s="260">
        <f>data!BZ60</f>
        <v>0</v>
      </c>
      <c r="I330" s="260">
        <f>data!CA60</f>
        <v>2.78</v>
      </c>
    </row>
    <row r="331" spans="1:9" ht="20.100000000000001" customHeight="1" x14ac:dyDescent="0.2">
      <c r="A331" s="245">
        <v>6</v>
      </c>
      <c r="B331" s="253" t="s">
        <v>263</v>
      </c>
      <c r="C331" s="272">
        <f>data!BU61</f>
        <v>0</v>
      </c>
      <c r="D331" s="272">
        <f>data!BV61</f>
        <v>231907.4</v>
      </c>
      <c r="E331" s="272">
        <f>data!BW61</f>
        <v>12644.7</v>
      </c>
      <c r="F331" s="272">
        <f>data!BX61</f>
        <v>1719531.95</v>
      </c>
      <c r="G331" s="272">
        <f>data!BY61</f>
        <v>937129.53</v>
      </c>
      <c r="H331" s="272">
        <f>data!BZ61</f>
        <v>0</v>
      </c>
      <c r="I331" s="272">
        <f>data!CA61</f>
        <v>264058.99</v>
      </c>
    </row>
    <row r="332" spans="1:9" ht="20.100000000000001" customHeight="1" x14ac:dyDescent="0.2">
      <c r="A332" s="245">
        <v>7</v>
      </c>
      <c r="B332" s="253" t="s">
        <v>11</v>
      </c>
      <c r="C332" s="272">
        <f>data!BU62</f>
        <v>0</v>
      </c>
      <c r="D332" s="272">
        <f>data!BV62</f>
        <v>42772</v>
      </c>
      <c r="E332" s="272">
        <f>data!BW62</f>
        <v>2332</v>
      </c>
      <c r="F332" s="272">
        <f>data!BX62</f>
        <v>317143</v>
      </c>
      <c r="G332" s="272">
        <f>data!BY62</f>
        <v>172840</v>
      </c>
      <c r="H332" s="272">
        <f>data!BZ62</f>
        <v>0</v>
      </c>
      <c r="I332" s="272">
        <f>data!CA62</f>
        <v>48702</v>
      </c>
    </row>
    <row r="333" spans="1:9" ht="20.100000000000001" customHeight="1" x14ac:dyDescent="0.2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4312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00000000000001" customHeight="1" x14ac:dyDescent="0.2">
      <c r="A334" s="245">
        <v>9</v>
      </c>
      <c r="B334" s="253" t="s">
        <v>265</v>
      </c>
      <c r="C334" s="272">
        <f>data!BU64</f>
        <v>0</v>
      </c>
      <c r="D334" s="272">
        <f>data!BV64</f>
        <v>4044.88</v>
      </c>
      <c r="E334" s="272">
        <f>data!BW64</f>
        <v>36266.980000000003</v>
      </c>
      <c r="F334" s="272">
        <f>data!BX64</f>
        <v>16294.96</v>
      </c>
      <c r="G334" s="272">
        <f>data!BY64</f>
        <v>84593.09</v>
      </c>
      <c r="H334" s="272">
        <f>data!BZ64</f>
        <v>0</v>
      </c>
      <c r="I334" s="272">
        <f>data!CA64</f>
        <v>6349.25</v>
      </c>
    </row>
    <row r="335" spans="1:9" ht="20.100000000000001" customHeight="1" x14ac:dyDescent="0.2">
      <c r="A335" s="245">
        <v>10</v>
      </c>
      <c r="B335" s="253" t="s">
        <v>511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550.44000000000005</v>
      </c>
      <c r="G335" s="272">
        <f>data!BY65</f>
        <v>757.44</v>
      </c>
      <c r="H335" s="272">
        <f>data!BZ65</f>
        <v>0</v>
      </c>
      <c r="I335" s="272">
        <f>data!CA65</f>
        <v>0</v>
      </c>
    </row>
    <row r="336" spans="1:9" ht="20.100000000000001" customHeight="1" x14ac:dyDescent="0.2">
      <c r="A336" s="245">
        <v>11</v>
      </c>
      <c r="B336" s="253" t="s">
        <v>512</v>
      </c>
      <c r="C336" s="272">
        <f>data!BU66</f>
        <v>0</v>
      </c>
      <c r="D336" s="272">
        <f>data!BV66</f>
        <v>919550</v>
      </c>
      <c r="E336" s="272">
        <f>data!BW66</f>
        <v>77551.19</v>
      </c>
      <c r="F336" s="272">
        <f>data!BX66</f>
        <v>683716.49</v>
      </c>
      <c r="G336" s="272">
        <f>data!BY66</f>
        <v>8319.7099999999991</v>
      </c>
      <c r="H336" s="272">
        <f>data!BZ66</f>
        <v>0</v>
      </c>
      <c r="I336" s="272">
        <f>data!CA66</f>
        <v>4338.54</v>
      </c>
    </row>
    <row r="337" spans="1:9" ht="20.100000000000001" customHeight="1" x14ac:dyDescent="0.2">
      <c r="A337" s="245">
        <v>12</v>
      </c>
      <c r="B337" s="253" t="s">
        <v>16</v>
      </c>
      <c r="C337" s="272">
        <f>data!BU67</f>
        <v>0</v>
      </c>
      <c r="D337" s="272">
        <f>data!BV67</f>
        <v>8258</v>
      </c>
      <c r="E337" s="272">
        <f>data!BW67</f>
        <v>22116</v>
      </c>
      <c r="F337" s="272">
        <f>data!BX67</f>
        <v>6205</v>
      </c>
      <c r="G337" s="272">
        <f>data!BY67</f>
        <v>6789</v>
      </c>
      <c r="H337" s="272">
        <f>data!BZ67</f>
        <v>0</v>
      </c>
      <c r="I337" s="272">
        <f>data!CA67</f>
        <v>2939</v>
      </c>
    </row>
    <row r="338" spans="1:9" ht="20.100000000000001" customHeight="1" x14ac:dyDescent="0.2">
      <c r="A338" s="245">
        <v>13</v>
      </c>
      <c r="B338" s="253" t="s">
        <v>995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00000000000001" customHeight="1" x14ac:dyDescent="0.2">
      <c r="A339" s="245">
        <v>14</v>
      </c>
      <c r="B339" s="253" t="s">
        <v>996</v>
      </c>
      <c r="C339" s="272">
        <f>data!BU69</f>
        <v>0</v>
      </c>
      <c r="D339" s="272">
        <f>data!BV69</f>
        <v>0</v>
      </c>
      <c r="E339" s="272">
        <f>data!BW69</f>
        <v>4500</v>
      </c>
      <c r="F339" s="272">
        <f>data!BX69</f>
        <v>152279.79</v>
      </c>
      <c r="G339" s="272">
        <f>data!BY69</f>
        <v>134428</v>
      </c>
      <c r="H339" s="272">
        <f>data!BZ69</f>
        <v>0</v>
      </c>
      <c r="I339" s="272">
        <f>data!CA69</f>
        <v>188854.26</v>
      </c>
    </row>
    <row r="340" spans="1:9" ht="20.100000000000001" customHeight="1" x14ac:dyDescent="0.2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-26015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00000000000001" customHeight="1" x14ac:dyDescent="0.2">
      <c r="A341" s="245">
        <v>16</v>
      </c>
      <c r="B341" s="261" t="s">
        <v>997</v>
      </c>
      <c r="C341" s="253">
        <f>data!BU85</f>
        <v>0</v>
      </c>
      <c r="D341" s="253">
        <f>data!BV85</f>
        <v>1206532.28</v>
      </c>
      <c r="E341" s="253">
        <f>data!BW85</f>
        <v>133707.87</v>
      </c>
      <c r="F341" s="253">
        <f>data!BX85</f>
        <v>2895721.63</v>
      </c>
      <c r="G341" s="253">
        <f>data!BY85</f>
        <v>1344856.77</v>
      </c>
      <c r="H341" s="253">
        <f>data!BZ85</f>
        <v>0</v>
      </c>
      <c r="I341" s="253">
        <f>data!CA85</f>
        <v>515242.04</v>
      </c>
    </row>
    <row r="342" spans="1:9" ht="20.100000000000001" customHeight="1" x14ac:dyDescent="0.2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00000000000001" customHeight="1" x14ac:dyDescent="0.2">
      <c r="A343" s="245">
        <v>18</v>
      </c>
      <c r="B343" s="253" t="s">
        <v>998</v>
      </c>
      <c r="C343" s="253"/>
      <c r="D343" s="253"/>
      <c r="E343" s="253"/>
      <c r="F343" s="253"/>
      <c r="G343" s="253"/>
      <c r="H343" s="253"/>
      <c r="I343" s="253"/>
    </row>
    <row r="344" spans="1:9" ht="20.100000000000001" customHeight="1" x14ac:dyDescent="0.2">
      <c r="A344" s="245">
        <v>19</v>
      </c>
      <c r="B344" s="261" t="s">
        <v>999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00000000000001" customHeight="1" x14ac:dyDescent="0.2">
      <c r="A345" s="245">
        <v>20</v>
      </c>
      <c r="B345" s="261" t="s">
        <v>1000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00000000000001" customHeight="1" x14ac:dyDescent="0.2">
      <c r="A346" s="245">
        <v>21</v>
      </c>
      <c r="B346" s="261" t="s">
        <v>1001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00000000000001" customHeight="1" x14ac:dyDescent="0.2">
      <c r="A347" s="245" t="s">
        <v>1002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00000000000001" customHeight="1" x14ac:dyDescent="0.2">
      <c r="A348" s="245">
        <v>22</v>
      </c>
      <c r="B348" s="253" t="s">
        <v>1003</v>
      </c>
      <c r="C348" s="269">
        <f>data!BU90</f>
        <v>0</v>
      </c>
      <c r="D348" s="269">
        <f>data!BV90</f>
        <v>708</v>
      </c>
      <c r="E348" s="269">
        <f>data!BW90</f>
        <v>1896</v>
      </c>
      <c r="F348" s="269">
        <f>data!BX90</f>
        <v>532</v>
      </c>
      <c r="G348" s="269">
        <f>data!BY90</f>
        <v>582</v>
      </c>
      <c r="H348" s="269">
        <f>data!BZ90</f>
        <v>0</v>
      </c>
      <c r="I348" s="269">
        <f>data!CA90</f>
        <v>252</v>
      </c>
    </row>
    <row r="349" spans="1:9" ht="20.100000000000001" customHeight="1" x14ac:dyDescent="0.2">
      <c r="A349" s="245">
        <v>23</v>
      </c>
      <c r="B349" s="253" t="s">
        <v>1004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00000000000001" customHeight="1" x14ac:dyDescent="0.2">
      <c r="A350" s="245">
        <v>24</v>
      </c>
      <c r="B350" s="253" t="s">
        <v>1005</v>
      </c>
      <c r="C350" s="269">
        <f>data!BU92</f>
        <v>0</v>
      </c>
      <c r="D350" s="269">
        <f>data!BV92</f>
        <v>127.32126799840646</v>
      </c>
      <c r="E350" s="269">
        <f>data!BW92</f>
        <v>340.96203972454612</v>
      </c>
      <c r="F350" s="269">
        <f>data!BX92</f>
        <v>95.670783298237623</v>
      </c>
      <c r="G350" s="269">
        <f>data!BY92</f>
        <v>104.6623982698765</v>
      </c>
      <c r="H350" s="269">
        <f>data!BZ92</f>
        <v>0</v>
      </c>
      <c r="I350" s="269">
        <f>data!CA92</f>
        <v>45.317739457059929</v>
      </c>
    </row>
    <row r="351" spans="1:9" ht="20.100000000000001" customHeight="1" x14ac:dyDescent="0.2">
      <c r="A351" s="245">
        <v>25</v>
      </c>
      <c r="B351" s="253" t="s">
        <v>1006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00000000000001" customHeight="1" x14ac:dyDescent="0.2">
      <c r="A352" s="245">
        <v>26</v>
      </c>
      <c r="B352" s="253" t="s">
        <v>294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00000000000001" customHeight="1" x14ac:dyDescent="0.2">
      <c r="A353" s="246" t="s">
        <v>988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00000000000001" customHeight="1" x14ac:dyDescent="0.2">
      <c r="D354" s="249"/>
      <c r="I354" s="250" t="s">
        <v>1041</v>
      </c>
    </row>
    <row r="355" spans="1:9" ht="20.100000000000001" customHeight="1" x14ac:dyDescent="0.2">
      <c r="A355" s="249"/>
    </row>
    <row r="356" spans="1:9" ht="20.100000000000001" customHeight="1" x14ac:dyDescent="0.2">
      <c r="A356" s="251" t="str">
        <f>"Hospital: "&amp;data!C98</f>
        <v>Hospital: RCCH Trios Health LLC</v>
      </c>
      <c r="G356" s="252"/>
      <c r="H356" s="251" t="str">
        <f>"FYE: "&amp;data!C96</f>
        <v>FYE: 12/31/2023</v>
      </c>
    </row>
    <row r="357" spans="1:9" ht="20.100000000000001" customHeight="1" x14ac:dyDescent="0.2">
      <c r="A357" s="245">
        <v>1</v>
      </c>
      <c r="B357" s="253" t="s">
        <v>236</v>
      </c>
      <c r="C357" s="255">
        <v>8910</v>
      </c>
      <c r="D357" s="255">
        <v>8930</v>
      </c>
      <c r="E357" s="255" t="s">
        <v>115</v>
      </c>
      <c r="F357" s="273"/>
      <c r="G357" s="273"/>
      <c r="H357" s="273"/>
      <c r="I357" s="255"/>
    </row>
    <row r="358" spans="1:9" ht="20.100000000000001" customHeight="1" x14ac:dyDescent="0.2">
      <c r="A358" s="256">
        <v>2</v>
      </c>
      <c r="B358" s="257" t="s">
        <v>990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00000000000001" customHeight="1" x14ac:dyDescent="0.2">
      <c r="A359" s="256"/>
      <c r="B359" s="257"/>
      <c r="C359" s="259" t="s">
        <v>228</v>
      </c>
      <c r="D359" s="259" t="s">
        <v>1042</v>
      </c>
      <c r="E359" s="259" t="s">
        <v>240</v>
      </c>
      <c r="F359" s="274"/>
      <c r="G359" s="274"/>
      <c r="H359" s="274"/>
      <c r="I359" s="259" t="s">
        <v>230</v>
      </c>
    </row>
    <row r="360" spans="1:9" ht="20.100000000000001" customHeight="1" x14ac:dyDescent="0.2">
      <c r="A360" s="245">
        <v>3</v>
      </c>
      <c r="B360" s="253" t="s">
        <v>994</v>
      </c>
      <c r="C360" s="265"/>
      <c r="D360" s="265"/>
      <c r="E360" s="265"/>
      <c r="F360" s="265"/>
      <c r="G360" s="265"/>
      <c r="H360" s="265"/>
      <c r="I360" s="265"/>
    </row>
    <row r="361" spans="1:9" ht="20.100000000000001" customHeight="1" x14ac:dyDescent="0.2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00000000000001" customHeight="1" x14ac:dyDescent="0.2">
      <c r="A362" s="245">
        <v>5</v>
      </c>
      <c r="B362" s="253" t="s">
        <v>262</v>
      </c>
      <c r="C362" s="260">
        <f>data!CB60</f>
        <v>0</v>
      </c>
      <c r="D362" s="260">
        <f>data!CC60</f>
        <v>0.83</v>
      </c>
      <c r="E362" s="275"/>
      <c r="F362" s="263"/>
      <c r="G362" s="263"/>
      <c r="H362" s="263"/>
      <c r="I362" s="276">
        <f>data!CE60</f>
        <v>729.89</v>
      </c>
    </row>
    <row r="363" spans="1:9" ht="20.100000000000001" customHeight="1" x14ac:dyDescent="0.2">
      <c r="A363" s="245">
        <v>6</v>
      </c>
      <c r="B363" s="253" t="s">
        <v>263</v>
      </c>
      <c r="C363" s="272">
        <f>data!CB61</f>
        <v>0</v>
      </c>
      <c r="D363" s="272">
        <f>data!CC61</f>
        <v>75376.399999999994</v>
      </c>
      <c r="E363" s="277"/>
      <c r="F363" s="277"/>
      <c r="G363" s="277"/>
      <c r="H363" s="277"/>
      <c r="I363" s="272">
        <f>data!CE61</f>
        <v>76189576.150000006</v>
      </c>
    </row>
    <row r="364" spans="1:9" ht="20.100000000000001" customHeight="1" x14ac:dyDescent="0.2">
      <c r="A364" s="245">
        <v>7</v>
      </c>
      <c r="B364" s="253" t="s">
        <v>11</v>
      </c>
      <c r="C364" s="272">
        <f>data!CB62</f>
        <v>0</v>
      </c>
      <c r="D364" s="272">
        <f>data!CC62</f>
        <v>13902</v>
      </c>
      <c r="E364" s="277"/>
      <c r="F364" s="277"/>
      <c r="G364" s="277"/>
      <c r="H364" s="277"/>
      <c r="I364" s="272">
        <f>data!CE62</f>
        <v>14052067</v>
      </c>
    </row>
    <row r="365" spans="1:9" ht="20.100000000000001" customHeight="1" x14ac:dyDescent="0.2">
      <c r="A365" s="245">
        <v>8</v>
      </c>
      <c r="B365" s="253" t="s">
        <v>264</v>
      </c>
      <c r="C365" s="272">
        <f>data!CB63</f>
        <v>0</v>
      </c>
      <c r="D365" s="272">
        <f>data!CC63</f>
        <v>4910</v>
      </c>
      <c r="E365" s="277"/>
      <c r="F365" s="277"/>
      <c r="G365" s="277"/>
      <c r="H365" s="277"/>
      <c r="I365" s="272">
        <f>data!CE63</f>
        <v>7299737</v>
      </c>
    </row>
    <row r="366" spans="1:9" ht="20.100000000000001" customHeight="1" x14ac:dyDescent="0.2">
      <c r="A366" s="245">
        <v>9</v>
      </c>
      <c r="B366" s="253" t="s">
        <v>265</v>
      </c>
      <c r="C366" s="272">
        <f>data!CB64</f>
        <v>0</v>
      </c>
      <c r="D366" s="272">
        <f>data!CC64</f>
        <v>30450.280000000002</v>
      </c>
      <c r="E366" s="277"/>
      <c r="F366" s="277"/>
      <c r="G366" s="277"/>
      <c r="H366" s="277"/>
      <c r="I366" s="272">
        <f>data!CE64</f>
        <v>25242711.409999996</v>
      </c>
    </row>
    <row r="367" spans="1:9" ht="20.100000000000001" customHeight="1" x14ac:dyDescent="0.2">
      <c r="A367" s="245">
        <v>10</v>
      </c>
      <c r="B367" s="253" t="s">
        <v>511</v>
      </c>
      <c r="C367" s="272">
        <f>data!CB65</f>
        <v>0</v>
      </c>
      <c r="D367" s="272">
        <f>data!CC65</f>
        <v>757.44</v>
      </c>
      <c r="E367" s="277"/>
      <c r="F367" s="277"/>
      <c r="G367" s="277"/>
      <c r="H367" s="277"/>
      <c r="I367" s="272">
        <f>data!CE65</f>
        <v>2255244.67</v>
      </c>
    </row>
    <row r="368" spans="1:9" ht="20.100000000000001" customHeight="1" x14ac:dyDescent="0.2">
      <c r="A368" s="245">
        <v>11</v>
      </c>
      <c r="B368" s="253" t="s">
        <v>512</v>
      </c>
      <c r="C368" s="272">
        <f>data!CB66</f>
        <v>37825.07</v>
      </c>
      <c r="D368" s="272">
        <f>data!CC66</f>
        <v>2780892.6599999997</v>
      </c>
      <c r="E368" s="277"/>
      <c r="F368" s="277"/>
      <c r="G368" s="277"/>
      <c r="H368" s="277"/>
      <c r="I368" s="272">
        <f>data!CE66</f>
        <v>11796531.090000002</v>
      </c>
    </row>
    <row r="369" spans="1:9" ht="20.100000000000001" customHeight="1" x14ac:dyDescent="0.2">
      <c r="A369" s="245">
        <v>12</v>
      </c>
      <c r="B369" s="253" t="s">
        <v>16</v>
      </c>
      <c r="C369" s="272">
        <f>data!CB67</f>
        <v>1400</v>
      </c>
      <c r="D369" s="272">
        <f>data!CC67</f>
        <v>1056280</v>
      </c>
      <c r="E369" s="277"/>
      <c r="F369" s="277"/>
      <c r="G369" s="277"/>
      <c r="H369" s="277"/>
      <c r="I369" s="272">
        <f>data!CE67</f>
        <v>4918920</v>
      </c>
    </row>
    <row r="370" spans="1:9" ht="20.100000000000001" customHeight="1" x14ac:dyDescent="0.2">
      <c r="A370" s="245">
        <v>13</v>
      </c>
      <c r="B370" s="253" t="s">
        <v>995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339496</v>
      </c>
    </row>
    <row r="371" spans="1:9" ht="20.100000000000001" customHeight="1" x14ac:dyDescent="0.2">
      <c r="A371" s="245">
        <v>14</v>
      </c>
      <c r="B371" s="253" t="s">
        <v>996</v>
      </c>
      <c r="C371" s="272">
        <f>data!CB69</f>
        <v>0</v>
      </c>
      <c r="D371" s="272">
        <f>data!CC69</f>
        <v>265398.34999999998</v>
      </c>
      <c r="E371" s="272">
        <f>data!CD69</f>
        <v>8928837.3900000006</v>
      </c>
      <c r="F371" s="277"/>
      <c r="G371" s="277"/>
      <c r="H371" s="277"/>
      <c r="I371" s="272">
        <f>data!CE69</f>
        <v>30458545</v>
      </c>
    </row>
    <row r="372" spans="1:9" ht="20.100000000000001" customHeight="1" x14ac:dyDescent="0.2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-396932.75</v>
      </c>
      <c r="F372" s="263"/>
      <c r="G372" s="263"/>
      <c r="H372" s="263"/>
      <c r="I372" s="253">
        <f>-data!CE84</f>
        <v>-2506960.62</v>
      </c>
    </row>
    <row r="373" spans="1:9" ht="20.100000000000001" customHeight="1" x14ac:dyDescent="0.2">
      <c r="A373" s="245">
        <v>16</v>
      </c>
      <c r="B373" s="261" t="s">
        <v>997</v>
      </c>
      <c r="C373" s="272">
        <f>data!CB85</f>
        <v>39225.07</v>
      </c>
      <c r="D373" s="272">
        <f>data!CC85</f>
        <v>4227967.13</v>
      </c>
      <c r="E373" s="272">
        <f>data!CD85</f>
        <v>8531904.6400000006</v>
      </c>
      <c r="F373" s="277"/>
      <c r="G373" s="277"/>
      <c r="H373" s="277"/>
      <c r="I373" s="253">
        <f>data!CE85</f>
        <v>170045867.69999993</v>
      </c>
    </row>
    <row r="374" spans="1:9" ht="20.100000000000001" customHeight="1" x14ac:dyDescent="0.2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00000000000001" customHeight="1" x14ac:dyDescent="0.2">
      <c r="A375" s="245">
        <v>18</v>
      </c>
      <c r="B375" s="253" t="s">
        <v>998</v>
      </c>
      <c r="C375" s="253"/>
      <c r="D375" s="253"/>
      <c r="E375" s="253"/>
      <c r="F375" s="253"/>
      <c r="G375" s="253"/>
      <c r="H375" s="253"/>
      <c r="I375" s="253"/>
    </row>
    <row r="376" spans="1:9" ht="20.100000000000001" customHeight="1" x14ac:dyDescent="0.2">
      <c r="A376" s="245">
        <v>19</v>
      </c>
      <c r="B376" s="261" t="s">
        <v>999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242269034.88000003</v>
      </c>
    </row>
    <row r="377" spans="1:9" ht="20.100000000000001" customHeight="1" x14ac:dyDescent="0.2">
      <c r="A377" s="245">
        <v>20</v>
      </c>
      <c r="B377" s="261" t="s">
        <v>1000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397131804.28000003</v>
      </c>
    </row>
    <row r="378" spans="1:9" ht="20.100000000000001" customHeight="1" x14ac:dyDescent="0.2">
      <c r="A378" s="245">
        <v>21</v>
      </c>
      <c r="B378" s="261" t="s">
        <v>1001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639400839.15999997</v>
      </c>
    </row>
    <row r="379" spans="1:9" ht="20.100000000000001" customHeight="1" x14ac:dyDescent="0.2">
      <c r="A379" s="245" t="s">
        <v>1002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00000000000001" customHeight="1" x14ac:dyDescent="0.2">
      <c r="A380" s="245">
        <v>22</v>
      </c>
      <c r="B380" s="253" t="s">
        <v>1003</v>
      </c>
      <c r="C380" s="269">
        <f>data!CB90</f>
        <v>120</v>
      </c>
      <c r="D380" s="269">
        <f>data!CC90</f>
        <v>90556</v>
      </c>
      <c r="E380" s="263"/>
      <c r="F380" s="263"/>
      <c r="G380" s="263"/>
      <c r="H380" s="263"/>
      <c r="I380" s="253">
        <f>data!CE90</f>
        <v>421704</v>
      </c>
    </row>
    <row r="381" spans="1:9" ht="20.100000000000001" customHeight="1" x14ac:dyDescent="0.2">
      <c r="A381" s="245">
        <v>23</v>
      </c>
      <c r="B381" s="253" t="s">
        <v>1004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49321</v>
      </c>
    </row>
    <row r="382" spans="1:9" ht="20.100000000000001" customHeight="1" x14ac:dyDescent="0.2">
      <c r="A382" s="245">
        <v>24</v>
      </c>
      <c r="B382" s="253" t="s">
        <v>1005</v>
      </c>
      <c r="C382" s="269">
        <f>data!CB92</f>
        <v>21.579875931933298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51799.255193216086</v>
      </c>
    </row>
    <row r="383" spans="1:9" ht="20.100000000000001" customHeight="1" x14ac:dyDescent="0.2">
      <c r="A383" s="245">
        <v>25</v>
      </c>
      <c r="B383" s="253" t="s">
        <v>1006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532476</v>
      </c>
    </row>
    <row r="384" spans="1:9" ht="20.100000000000001" customHeight="1" x14ac:dyDescent="0.2">
      <c r="A384" s="245">
        <v>26</v>
      </c>
      <c r="B384" s="253" t="s">
        <v>294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166.82999999999998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65" transitionEvaluation="1" transitionEntry="1" codeName="Sheet1">
    <tabColor rgb="FF92D050"/>
    <pageSetUpPr autoPageBreaks="0" fitToPage="1"/>
  </sheetPr>
  <dimension ref="A1:CF716"/>
  <sheetViews>
    <sheetView topLeftCell="A65" zoomScaleNormal="100" workbookViewId="0">
      <selection activeCell="C94" sqref="C9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25">
      <c r="A48" s="28" t="s">
        <v>232</v>
      </c>
      <c r="B48" s="278">
        <v>12773983</v>
      </c>
      <c r="C48" s="28">
        <f t="shared" ref="C48:AH48" si="0">IF($B$48,(ROUND((($B$48/$CE$61)*C61),0)))</f>
        <v>609887</v>
      </c>
      <c r="D48" s="28">
        <f t="shared" si="0"/>
        <v>0</v>
      </c>
      <c r="E48" s="28">
        <f t="shared" si="0"/>
        <v>1024834</v>
      </c>
      <c r="F48" s="28">
        <f t="shared" si="0"/>
        <v>759489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232477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81800</v>
      </c>
      <c r="P48" s="28">
        <f t="shared" si="0"/>
        <v>321987</v>
      </c>
      <c r="Q48" s="28">
        <f t="shared" si="0"/>
        <v>158534</v>
      </c>
      <c r="R48" s="28">
        <f t="shared" si="0"/>
        <v>38242</v>
      </c>
      <c r="S48" s="28">
        <f t="shared" si="0"/>
        <v>78574</v>
      </c>
      <c r="T48" s="28">
        <f t="shared" si="0"/>
        <v>0</v>
      </c>
      <c r="U48" s="28">
        <f t="shared" si="0"/>
        <v>243165</v>
      </c>
      <c r="V48" s="28">
        <f t="shared" si="0"/>
        <v>10292</v>
      </c>
      <c r="W48" s="28">
        <f t="shared" si="0"/>
        <v>64649</v>
      </c>
      <c r="X48" s="28">
        <f t="shared" si="0"/>
        <v>105264</v>
      </c>
      <c r="Y48" s="28">
        <f t="shared" si="0"/>
        <v>416201</v>
      </c>
      <c r="Z48" s="28">
        <f t="shared" si="0"/>
        <v>0</v>
      </c>
      <c r="AA48" s="28">
        <f t="shared" si="0"/>
        <v>34084</v>
      </c>
      <c r="AB48" s="28">
        <f t="shared" si="0"/>
        <v>291663</v>
      </c>
      <c r="AC48" s="28">
        <f t="shared" si="0"/>
        <v>209828</v>
      </c>
      <c r="AD48" s="28">
        <f t="shared" si="0"/>
        <v>0</v>
      </c>
      <c r="AE48" s="28">
        <f t="shared" si="0"/>
        <v>291953</v>
      </c>
      <c r="AF48" s="28">
        <f t="shared" si="0"/>
        <v>0</v>
      </c>
      <c r="AG48" s="28">
        <f t="shared" si="0"/>
        <v>638125</v>
      </c>
      <c r="AH48" s="28">
        <f t="shared" si="0"/>
        <v>0</v>
      </c>
      <c r="AI48" s="28">
        <f t="shared" ref="AI48:BN48" si="1">IF($B$48,(ROUND((($B$48/$CE$61)*AI61),0)))</f>
        <v>407634</v>
      </c>
      <c r="AJ48" s="28">
        <f t="shared" si="1"/>
        <v>198948</v>
      </c>
      <c r="AK48" s="28">
        <f t="shared" si="1"/>
        <v>0</v>
      </c>
      <c r="AL48" s="28">
        <f t="shared" si="1"/>
        <v>62523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4164704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475524</v>
      </c>
      <c r="AX48" s="28">
        <f t="shared" si="1"/>
        <v>0</v>
      </c>
      <c r="AY48" s="28">
        <f t="shared" si="1"/>
        <v>174200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72408</v>
      </c>
      <c r="BE48" s="28">
        <f t="shared" si="1"/>
        <v>86552</v>
      </c>
      <c r="BF48" s="28">
        <f t="shared" si="1"/>
        <v>271432</v>
      </c>
      <c r="BG48" s="28">
        <f t="shared" si="1"/>
        <v>0</v>
      </c>
      <c r="BH48" s="28">
        <f t="shared" si="1"/>
        <v>220567</v>
      </c>
      <c r="BI48" s="28">
        <f t="shared" si="1"/>
        <v>0</v>
      </c>
      <c r="BJ48" s="28">
        <f t="shared" si="1"/>
        <v>107354</v>
      </c>
      <c r="BK48" s="28">
        <f t="shared" si="1"/>
        <v>0</v>
      </c>
      <c r="BL48" s="28">
        <f t="shared" si="1"/>
        <v>-163</v>
      </c>
      <c r="BM48" s="28">
        <f t="shared" si="1"/>
        <v>0</v>
      </c>
      <c r="BN48" s="28">
        <f t="shared" si="1"/>
        <v>245369</v>
      </c>
      <c r="BO48" s="28">
        <f t="shared" ref="BO48:CD48" si="2">IF($B$48,(ROUND((($B$48/$CE$61)*BO61),0)))</f>
        <v>15611</v>
      </c>
      <c r="BP48" s="28">
        <f t="shared" si="2"/>
        <v>14760</v>
      </c>
      <c r="BQ48" s="28">
        <f t="shared" si="2"/>
        <v>0</v>
      </c>
      <c r="BR48" s="28">
        <f t="shared" si="2"/>
        <v>108119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83421</v>
      </c>
      <c r="BW48" s="28">
        <f t="shared" si="2"/>
        <v>15400</v>
      </c>
      <c r="BX48" s="28">
        <f t="shared" si="2"/>
        <v>166251</v>
      </c>
      <c r="BY48" s="28">
        <f t="shared" si="2"/>
        <v>189078</v>
      </c>
      <c r="BZ48" s="28">
        <f t="shared" si="2"/>
        <v>0</v>
      </c>
      <c r="CA48" s="28">
        <f t="shared" si="2"/>
        <v>31882</v>
      </c>
      <c r="CB48" s="28">
        <f t="shared" si="2"/>
        <v>45640</v>
      </c>
      <c r="CC48" s="28">
        <f t="shared" si="2"/>
        <v>5722</v>
      </c>
      <c r="CD48" s="28">
        <f t="shared" si="2"/>
        <v>0</v>
      </c>
      <c r="CE48" s="28">
        <f>SUM(C48:CD48)</f>
        <v>12773984</v>
      </c>
    </row>
    <row r="49" spans="1:83" x14ac:dyDescent="0.25">
      <c r="A49" s="16" t="s">
        <v>233</v>
      </c>
      <c r="B49" s="28">
        <f>B47+B48</f>
        <v>12773983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25">
      <c r="A52" s="35" t="s">
        <v>235</v>
      </c>
      <c r="B52" s="278">
        <v>3412007</v>
      </c>
      <c r="C52" s="28">
        <f t="shared" ref="C52:AH52" si="3">IF($B$52,ROUND(($B$52/($CE$90+$CF$90)*C90),0))</f>
        <v>54916</v>
      </c>
      <c r="D52" s="28">
        <f t="shared" si="3"/>
        <v>0</v>
      </c>
      <c r="E52" s="28">
        <f t="shared" si="3"/>
        <v>215455</v>
      </c>
      <c r="F52" s="28">
        <f t="shared" si="3"/>
        <v>154128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32735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145242</v>
      </c>
      <c r="Q52" s="28">
        <f t="shared" si="3"/>
        <v>22415</v>
      </c>
      <c r="R52" s="28">
        <f t="shared" si="3"/>
        <v>3682</v>
      </c>
      <c r="S52" s="28">
        <f t="shared" si="3"/>
        <v>32455</v>
      </c>
      <c r="T52" s="28">
        <f t="shared" si="3"/>
        <v>0</v>
      </c>
      <c r="U52" s="28">
        <f t="shared" si="3"/>
        <v>90553</v>
      </c>
      <c r="V52" s="28">
        <f t="shared" si="3"/>
        <v>1001</v>
      </c>
      <c r="W52" s="28">
        <f t="shared" si="3"/>
        <v>37091</v>
      </c>
      <c r="X52" s="28">
        <f t="shared" si="3"/>
        <v>21147</v>
      </c>
      <c r="Y52" s="28">
        <f t="shared" si="3"/>
        <v>126750</v>
      </c>
      <c r="Z52" s="28">
        <f t="shared" si="3"/>
        <v>0</v>
      </c>
      <c r="AA52" s="28">
        <f t="shared" si="3"/>
        <v>28332</v>
      </c>
      <c r="AB52" s="28">
        <f t="shared" si="3"/>
        <v>37311</v>
      </c>
      <c r="AC52" s="28">
        <f t="shared" si="3"/>
        <v>27064</v>
      </c>
      <c r="AD52" s="28">
        <f t="shared" si="3"/>
        <v>0</v>
      </c>
      <c r="AE52" s="28">
        <f t="shared" si="3"/>
        <v>54389</v>
      </c>
      <c r="AF52" s="28">
        <f t="shared" si="3"/>
        <v>0</v>
      </c>
      <c r="AG52" s="28">
        <f t="shared" si="3"/>
        <v>83468</v>
      </c>
      <c r="AH52" s="28">
        <f t="shared" si="3"/>
        <v>0</v>
      </c>
      <c r="AI52" s="28">
        <f t="shared" ref="AI52:BN52" si="4">IF($B$52,ROUND(($B$52/($CE$90+$CF$90)*AI90),0))</f>
        <v>168831</v>
      </c>
      <c r="AJ52" s="28">
        <f t="shared" si="4"/>
        <v>62168</v>
      </c>
      <c r="AK52" s="28">
        <f t="shared" si="4"/>
        <v>0</v>
      </c>
      <c r="AL52" s="28">
        <f t="shared" si="4"/>
        <v>1334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659381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9306</v>
      </c>
      <c r="AX52" s="28">
        <f t="shared" si="4"/>
        <v>0</v>
      </c>
      <c r="AY52" s="28">
        <f t="shared" si="4"/>
        <v>69372</v>
      </c>
      <c r="AZ52" s="28">
        <f t="shared" si="4"/>
        <v>0</v>
      </c>
      <c r="BA52" s="28">
        <f t="shared" si="4"/>
        <v>11408</v>
      </c>
      <c r="BB52" s="28">
        <f t="shared" si="4"/>
        <v>0</v>
      </c>
      <c r="BC52" s="28">
        <f t="shared" si="4"/>
        <v>0</v>
      </c>
      <c r="BD52" s="28">
        <f t="shared" si="4"/>
        <v>68599</v>
      </c>
      <c r="BE52" s="28">
        <f t="shared" si="4"/>
        <v>194028</v>
      </c>
      <c r="BF52" s="28">
        <f t="shared" si="4"/>
        <v>19706</v>
      </c>
      <c r="BG52" s="28">
        <f t="shared" si="4"/>
        <v>9566</v>
      </c>
      <c r="BH52" s="28">
        <f t="shared" si="4"/>
        <v>38332</v>
      </c>
      <c r="BI52" s="28">
        <f t="shared" si="4"/>
        <v>0</v>
      </c>
      <c r="BJ52" s="28">
        <f t="shared" si="4"/>
        <v>4283</v>
      </c>
      <c r="BK52" s="28">
        <f t="shared" si="4"/>
        <v>35970</v>
      </c>
      <c r="BL52" s="28">
        <f t="shared" si="4"/>
        <v>39066</v>
      </c>
      <c r="BM52" s="28">
        <f t="shared" si="4"/>
        <v>0</v>
      </c>
      <c r="BN52" s="28">
        <f t="shared" si="4"/>
        <v>11414</v>
      </c>
      <c r="BO52" s="28">
        <f t="shared" ref="BO52:CD52" si="5">IF($B$52,ROUND(($B$52/($CE$90+$CF$90)*BO90),0))</f>
        <v>1648</v>
      </c>
      <c r="BP52" s="28">
        <f t="shared" si="5"/>
        <v>1734</v>
      </c>
      <c r="BQ52" s="28">
        <f t="shared" si="5"/>
        <v>0</v>
      </c>
      <c r="BR52" s="28">
        <f t="shared" si="5"/>
        <v>12542</v>
      </c>
      <c r="BS52" s="28">
        <f t="shared" si="5"/>
        <v>3869</v>
      </c>
      <c r="BT52" s="28">
        <f t="shared" si="5"/>
        <v>5757</v>
      </c>
      <c r="BU52" s="28">
        <f t="shared" si="5"/>
        <v>0</v>
      </c>
      <c r="BV52" s="28">
        <f t="shared" si="5"/>
        <v>4723</v>
      </c>
      <c r="BW52" s="28">
        <f t="shared" si="5"/>
        <v>54816</v>
      </c>
      <c r="BX52" s="28">
        <f t="shared" si="5"/>
        <v>3549</v>
      </c>
      <c r="BY52" s="28">
        <f t="shared" si="5"/>
        <v>5891</v>
      </c>
      <c r="BZ52" s="28">
        <f t="shared" si="5"/>
        <v>0</v>
      </c>
      <c r="CA52" s="28">
        <f t="shared" si="5"/>
        <v>1681</v>
      </c>
      <c r="CB52" s="28">
        <f t="shared" si="5"/>
        <v>2061</v>
      </c>
      <c r="CC52" s="28">
        <f t="shared" si="5"/>
        <v>742836</v>
      </c>
      <c r="CD52" s="28">
        <f t="shared" si="5"/>
        <v>0</v>
      </c>
      <c r="CE52" s="28">
        <f>SUM(C52:CD52)</f>
        <v>3412005</v>
      </c>
    </row>
    <row r="53" spans="1:83" x14ac:dyDescent="0.25">
      <c r="A53" s="16" t="s">
        <v>233</v>
      </c>
      <c r="B53" s="28">
        <f>B51+B52</f>
        <v>3412007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4320</v>
      </c>
      <c r="D59" s="20"/>
      <c r="E59" s="20">
        <v>13041</v>
      </c>
      <c r="F59" s="20">
        <v>2810</v>
      </c>
      <c r="G59" s="20"/>
      <c r="H59" s="20"/>
      <c r="I59" s="20"/>
      <c r="J59" s="20">
        <v>2034</v>
      </c>
      <c r="K59" s="20"/>
      <c r="L59" s="20"/>
      <c r="M59" s="20"/>
      <c r="N59" s="20"/>
      <c r="O59" s="20">
        <v>1020</v>
      </c>
      <c r="P59" s="281">
        <v>265220</v>
      </c>
      <c r="Q59" s="26">
        <v>102126</v>
      </c>
      <c r="R59" s="26"/>
      <c r="S59" s="279">
        <v>0</v>
      </c>
      <c r="T59" s="279">
        <v>0</v>
      </c>
      <c r="U59" s="27">
        <v>356838</v>
      </c>
      <c r="V59" s="26">
        <v>263</v>
      </c>
      <c r="W59" s="26">
        <v>2308</v>
      </c>
      <c r="X59" s="26">
        <v>13130</v>
      </c>
      <c r="Y59" s="26">
        <v>46711</v>
      </c>
      <c r="Z59" s="26">
        <v>796795</v>
      </c>
      <c r="AA59" s="26">
        <v>870</v>
      </c>
      <c r="AB59" s="279">
        <v>0</v>
      </c>
      <c r="AC59" s="26">
        <v>42658</v>
      </c>
      <c r="AD59" s="26"/>
      <c r="AE59" s="26">
        <v>47521</v>
      </c>
      <c r="AF59" s="26"/>
      <c r="AG59" s="26">
        <v>25026</v>
      </c>
      <c r="AH59" s="26"/>
      <c r="AI59" s="26">
        <v>314967</v>
      </c>
      <c r="AJ59" s="26">
        <v>8049</v>
      </c>
      <c r="AK59" s="26"/>
      <c r="AL59" s="26">
        <v>7257</v>
      </c>
      <c r="AM59" s="26"/>
      <c r="AN59" s="26"/>
      <c r="AO59" s="26"/>
      <c r="AP59" s="26">
        <v>10267</v>
      </c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>
        <v>241680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511464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262</v>
      </c>
      <c r="B60" s="220"/>
      <c r="C60" s="280">
        <v>35</v>
      </c>
      <c r="D60" s="280"/>
      <c r="E60" s="280">
        <v>58</v>
      </c>
      <c r="F60" s="280">
        <v>41.25</v>
      </c>
      <c r="G60" s="280"/>
      <c r="H60" s="280"/>
      <c r="I60" s="280"/>
      <c r="J60" s="280">
        <v>11.17</v>
      </c>
      <c r="K60" s="280"/>
      <c r="L60" s="280"/>
      <c r="M60" s="280"/>
      <c r="N60" s="280"/>
      <c r="O60" s="280"/>
      <c r="P60" s="281">
        <v>18.61</v>
      </c>
      <c r="Q60" s="281">
        <v>4.49</v>
      </c>
      <c r="R60" s="281">
        <v>2.56</v>
      </c>
      <c r="S60" s="282">
        <v>8.85</v>
      </c>
      <c r="T60" s="282"/>
      <c r="U60" s="283">
        <v>21.38</v>
      </c>
      <c r="V60" s="281">
        <v>0.88</v>
      </c>
      <c r="W60" s="281">
        <v>3.01</v>
      </c>
      <c r="X60" s="281">
        <v>6.49</v>
      </c>
      <c r="Y60" s="281">
        <v>27.55</v>
      </c>
      <c r="Z60" s="281"/>
      <c r="AA60" s="281">
        <v>1.42</v>
      </c>
      <c r="AB60" s="282">
        <v>14.19</v>
      </c>
      <c r="AC60" s="281">
        <v>11.35</v>
      </c>
      <c r="AD60" s="281"/>
      <c r="AE60" s="281">
        <v>15.7</v>
      </c>
      <c r="AF60" s="281"/>
      <c r="AG60" s="281">
        <v>19.799999999999997</v>
      </c>
      <c r="AH60" s="281"/>
      <c r="AI60" s="281">
        <v>24.57</v>
      </c>
      <c r="AJ60" s="281">
        <v>9.26</v>
      </c>
      <c r="AK60" s="281"/>
      <c r="AL60" s="281">
        <v>3.66</v>
      </c>
      <c r="AM60" s="281"/>
      <c r="AN60" s="281"/>
      <c r="AO60" s="281"/>
      <c r="AP60" s="281">
        <v>172.35</v>
      </c>
      <c r="AQ60" s="281"/>
      <c r="AR60" s="281"/>
      <c r="AS60" s="281"/>
      <c r="AT60" s="281"/>
      <c r="AU60" s="281"/>
      <c r="AV60" s="282"/>
      <c r="AW60" s="282">
        <v>43.180000000000007</v>
      </c>
      <c r="AX60" s="282"/>
      <c r="AY60" s="281">
        <v>22.65</v>
      </c>
      <c r="AZ60" s="281"/>
      <c r="BA60" s="282"/>
      <c r="BB60" s="282"/>
      <c r="BC60" s="282"/>
      <c r="BD60" s="282">
        <v>7.96</v>
      </c>
      <c r="BE60" s="281">
        <v>8.16</v>
      </c>
      <c r="BF60" s="282">
        <v>34.58</v>
      </c>
      <c r="BG60" s="282"/>
      <c r="BH60" s="282">
        <v>14.89</v>
      </c>
      <c r="BI60" s="282"/>
      <c r="BJ60" s="282">
        <v>6.95</v>
      </c>
      <c r="BK60" s="282"/>
      <c r="BL60" s="282">
        <v>20.46</v>
      </c>
      <c r="BM60" s="282"/>
      <c r="BN60" s="282">
        <v>5.43</v>
      </c>
      <c r="BO60" s="282">
        <v>1.06</v>
      </c>
      <c r="BP60" s="282">
        <v>1.1200000000000001</v>
      </c>
      <c r="BQ60" s="282"/>
      <c r="BR60" s="282">
        <v>6.49</v>
      </c>
      <c r="BS60" s="282"/>
      <c r="BT60" s="282"/>
      <c r="BU60" s="282"/>
      <c r="BV60" s="282">
        <v>6.55</v>
      </c>
      <c r="BW60" s="282">
        <v>2.0299999999999998</v>
      </c>
      <c r="BX60" s="282">
        <v>9.8000000000000007</v>
      </c>
      <c r="BY60" s="282">
        <v>6.84</v>
      </c>
      <c r="BZ60" s="282"/>
      <c r="CA60" s="282">
        <v>2.0699999999999998</v>
      </c>
      <c r="CB60" s="282">
        <v>3.82</v>
      </c>
      <c r="CC60" s="282">
        <v>0.54</v>
      </c>
      <c r="CD60" s="221" t="s">
        <v>248</v>
      </c>
      <c r="CE60" s="239">
        <f t="shared" ref="CE60:CE68" si="6">SUM(C60:CD60)</f>
        <v>716.12</v>
      </c>
    </row>
    <row r="61" spans="1:83" x14ac:dyDescent="0.25">
      <c r="A61" s="35" t="s">
        <v>263</v>
      </c>
      <c r="B61" s="16"/>
      <c r="C61" s="20">
        <v>3428799</v>
      </c>
      <c r="D61" s="20"/>
      <c r="E61" s="20">
        <v>5761638</v>
      </c>
      <c r="F61" s="20">
        <v>4269862</v>
      </c>
      <c r="G61" s="20"/>
      <c r="H61" s="20"/>
      <c r="I61" s="20"/>
      <c r="J61" s="20">
        <v>1306990</v>
      </c>
      <c r="K61" s="20"/>
      <c r="L61" s="20"/>
      <c r="M61" s="20"/>
      <c r="N61" s="20"/>
      <c r="O61" s="20">
        <v>459879</v>
      </c>
      <c r="P61" s="26">
        <v>1810215</v>
      </c>
      <c r="Q61" s="26">
        <v>891281</v>
      </c>
      <c r="R61" s="26">
        <v>214996</v>
      </c>
      <c r="S61" s="284">
        <v>441747</v>
      </c>
      <c r="T61" s="284"/>
      <c r="U61" s="27">
        <v>1367079</v>
      </c>
      <c r="V61" s="26">
        <v>57862</v>
      </c>
      <c r="W61" s="26">
        <v>363459</v>
      </c>
      <c r="X61" s="26">
        <v>591799</v>
      </c>
      <c r="Y61" s="26">
        <v>2339889</v>
      </c>
      <c r="Z61" s="26"/>
      <c r="AA61" s="26">
        <v>191621</v>
      </c>
      <c r="AB61" s="285">
        <v>1639738</v>
      </c>
      <c r="AC61" s="26">
        <v>1179656</v>
      </c>
      <c r="AD61" s="26"/>
      <c r="AE61" s="26">
        <v>1641367</v>
      </c>
      <c r="AF61" s="26"/>
      <c r="AG61" s="26">
        <v>3587551</v>
      </c>
      <c r="AH61" s="26"/>
      <c r="AI61" s="26">
        <v>2291727</v>
      </c>
      <c r="AJ61" s="26">
        <v>1118491</v>
      </c>
      <c r="AK61" s="26"/>
      <c r="AL61" s="26">
        <v>351503</v>
      </c>
      <c r="AM61" s="26"/>
      <c r="AN61" s="26"/>
      <c r="AO61" s="26"/>
      <c r="AP61" s="26">
        <v>23414053</v>
      </c>
      <c r="AQ61" s="26"/>
      <c r="AR61" s="26"/>
      <c r="AS61" s="26"/>
      <c r="AT61" s="26"/>
      <c r="AU61" s="26"/>
      <c r="AV61" s="284"/>
      <c r="AW61" s="284">
        <v>2673406</v>
      </c>
      <c r="AX61" s="284"/>
      <c r="AY61" s="26">
        <v>979357</v>
      </c>
      <c r="AZ61" s="26"/>
      <c r="BA61" s="284"/>
      <c r="BB61" s="284"/>
      <c r="BC61" s="284"/>
      <c r="BD61" s="284">
        <v>407078</v>
      </c>
      <c r="BE61" s="26">
        <v>486600</v>
      </c>
      <c r="BF61" s="284">
        <v>1525996</v>
      </c>
      <c r="BG61" s="284"/>
      <c r="BH61" s="284">
        <v>1240030</v>
      </c>
      <c r="BI61" s="284"/>
      <c r="BJ61" s="284">
        <v>603549</v>
      </c>
      <c r="BK61" s="284"/>
      <c r="BL61" s="284">
        <v>-918</v>
      </c>
      <c r="BM61" s="284"/>
      <c r="BN61" s="284">
        <v>1379471</v>
      </c>
      <c r="BO61" s="284">
        <v>87765</v>
      </c>
      <c r="BP61" s="284">
        <v>82982</v>
      </c>
      <c r="BQ61" s="284"/>
      <c r="BR61" s="284">
        <v>607849</v>
      </c>
      <c r="BS61" s="284"/>
      <c r="BT61" s="284"/>
      <c r="BU61" s="284"/>
      <c r="BV61" s="284">
        <v>468994</v>
      </c>
      <c r="BW61" s="284">
        <v>86580</v>
      </c>
      <c r="BX61" s="284">
        <v>934665</v>
      </c>
      <c r="BY61" s="284">
        <v>1063003</v>
      </c>
      <c r="BZ61" s="284"/>
      <c r="CA61" s="284">
        <v>179240</v>
      </c>
      <c r="CB61" s="284">
        <v>256587</v>
      </c>
      <c r="CC61" s="284">
        <v>32170</v>
      </c>
      <c r="CD61" s="25" t="s">
        <v>248</v>
      </c>
      <c r="CE61" s="28">
        <f t="shared" si="6"/>
        <v>71815606</v>
      </c>
    </row>
    <row r="62" spans="1:83" x14ac:dyDescent="0.25">
      <c r="A62" s="35" t="s">
        <v>11</v>
      </c>
      <c r="B62" s="16"/>
      <c r="C62" s="28">
        <f t="shared" ref="C62:AH62" si="7">ROUND(C47+C48,0)</f>
        <v>609887</v>
      </c>
      <c r="D62" s="28">
        <f t="shared" si="7"/>
        <v>0</v>
      </c>
      <c r="E62" s="28">
        <f t="shared" si="7"/>
        <v>1024834</v>
      </c>
      <c r="F62" s="28">
        <f t="shared" si="7"/>
        <v>759489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232477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81800</v>
      </c>
      <c r="P62" s="28">
        <f t="shared" si="7"/>
        <v>321987</v>
      </c>
      <c r="Q62" s="28">
        <f t="shared" si="7"/>
        <v>158534</v>
      </c>
      <c r="R62" s="28">
        <f t="shared" si="7"/>
        <v>38242</v>
      </c>
      <c r="S62" s="28">
        <f t="shared" si="7"/>
        <v>78574</v>
      </c>
      <c r="T62" s="28">
        <f t="shared" si="7"/>
        <v>0</v>
      </c>
      <c r="U62" s="28">
        <f t="shared" si="7"/>
        <v>243165</v>
      </c>
      <c r="V62" s="28">
        <f t="shared" si="7"/>
        <v>10292</v>
      </c>
      <c r="W62" s="28">
        <f t="shared" si="7"/>
        <v>64649</v>
      </c>
      <c r="X62" s="28">
        <f t="shared" si="7"/>
        <v>105264</v>
      </c>
      <c r="Y62" s="28">
        <f t="shared" si="7"/>
        <v>416201</v>
      </c>
      <c r="Z62" s="28">
        <f t="shared" si="7"/>
        <v>0</v>
      </c>
      <c r="AA62" s="28">
        <f t="shared" si="7"/>
        <v>34084</v>
      </c>
      <c r="AB62" s="28">
        <f t="shared" si="7"/>
        <v>291663</v>
      </c>
      <c r="AC62" s="28">
        <f t="shared" si="7"/>
        <v>209828</v>
      </c>
      <c r="AD62" s="28">
        <f t="shared" si="7"/>
        <v>0</v>
      </c>
      <c r="AE62" s="28">
        <f t="shared" si="7"/>
        <v>291953</v>
      </c>
      <c r="AF62" s="28">
        <f t="shared" si="7"/>
        <v>0</v>
      </c>
      <c r="AG62" s="28">
        <f t="shared" si="7"/>
        <v>638125</v>
      </c>
      <c r="AH62" s="28">
        <f t="shared" si="7"/>
        <v>0</v>
      </c>
      <c r="AI62" s="28">
        <f t="shared" ref="AI62:BN62" si="8">ROUND(AI47+AI48,0)</f>
        <v>407634</v>
      </c>
      <c r="AJ62" s="28">
        <f t="shared" si="8"/>
        <v>198948</v>
      </c>
      <c r="AK62" s="28">
        <f t="shared" si="8"/>
        <v>0</v>
      </c>
      <c r="AL62" s="28">
        <f t="shared" si="8"/>
        <v>62523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4164704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475524</v>
      </c>
      <c r="AX62" s="28">
        <f t="shared" si="8"/>
        <v>0</v>
      </c>
      <c r="AY62" s="28">
        <f t="shared" si="8"/>
        <v>174200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72408</v>
      </c>
      <c r="BE62" s="28">
        <f t="shared" si="8"/>
        <v>86552</v>
      </c>
      <c r="BF62" s="28">
        <f t="shared" si="8"/>
        <v>271432</v>
      </c>
      <c r="BG62" s="28">
        <f t="shared" si="8"/>
        <v>0</v>
      </c>
      <c r="BH62" s="28">
        <f t="shared" si="8"/>
        <v>220567</v>
      </c>
      <c r="BI62" s="28">
        <f t="shared" si="8"/>
        <v>0</v>
      </c>
      <c r="BJ62" s="28">
        <f t="shared" si="8"/>
        <v>107354</v>
      </c>
      <c r="BK62" s="28">
        <f t="shared" si="8"/>
        <v>0</v>
      </c>
      <c r="BL62" s="28">
        <f t="shared" si="8"/>
        <v>-163</v>
      </c>
      <c r="BM62" s="28">
        <f t="shared" si="8"/>
        <v>0</v>
      </c>
      <c r="BN62" s="28">
        <f t="shared" si="8"/>
        <v>245369</v>
      </c>
      <c r="BO62" s="28">
        <f t="shared" ref="BO62:CC62" si="9">ROUND(BO47+BO48,0)</f>
        <v>15611</v>
      </c>
      <c r="BP62" s="28">
        <f t="shared" si="9"/>
        <v>14760</v>
      </c>
      <c r="BQ62" s="28">
        <f t="shared" si="9"/>
        <v>0</v>
      </c>
      <c r="BR62" s="28">
        <f t="shared" si="9"/>
        <v>108119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83421</v>
      </c>
      <c r="BW62" s="28">
        <f t="shared" si="9"/>
        <v>15400</v>
      </c>
      <c r="BX62" s="28">
        <f t="shared" si="9"/>
        <v>166251</v>
      </c>
      <c r="BY62" s="28">
        <f t="shared" si="9"/>
        <v>189078</v>
      </c>
      <c r="BZ62" s="28">
        <f t="shared" si="9"/>
        <v>0</v>
      </c>
      <c r="CA62" s="28">
        <f t="shared" si="9"/>
        <v>31882</v>
      </c>
      <c r="CB62" s="28">
        <f t="shared" si="9"/>
        <v>45640</v>
      </c>
      <c r="CC62" s="28">
        <f t="shared" si="9"/>
        <v>5722</v>
      </c>
      <c r="CD62" s="25" t="s">
        <v>248</v>
      </c>
      <c r="CE62" s="28">
        <f t="shared" si="6"/>
        <v>12773984</v>
      </c>
    </row>
    <row r="63" spans="1:83" x14ac:dyDescent="0.25">
      <c r="A63" s="35" t="s">
        <v>264</v>
      </c>
      <c r="B63" s="16"/>
      <c r="C63" s="20">
        <v>1964068</v>
      </c>
      <c r="D63" s="20"/>
      <c r="E63" s="20">
        <v>1359178</v>
      </c>
      <c r="F63" s="20">
        <v>424691</v>
      </c>
      <c r="G63" s="20"/>
      <c r="H63" s="20"/>
      <c r="I63" s="20"/>
      <c r="J63" s="20">
        <v>217399</v>
      </c>
      <c r="K63" s="20"/>
      <c r="L63" s="20"/>
      <c r="M63" s="20"/>
      <c r="N63" s="20"/>
      <c r="O63" s="20">
        <v>304624</v>
      </c>
      <c r="P63" s="26">
        <v>393654</v>
      </c>
      <c r="Q63" s="26">
        <v>57355</v>
      </c>
      <c r="R63" s="26">
        <v>1013100</v>
      </c>
      <c r="S63" s="284">
        <v>42556</v>
      </c>
      <c r="T63" s="284"/>
      <c r="U63" s="27">
        <v>720462</v>
      </c>
      <c r="V63" s="26">
        <v>45980</v>
      </c>
      <c r="W63" s="26"/>
      <c r="X63" s="26"/>
      <c r="Y63" s="26">
        <v>2131555</v>
      </c>
      <c r="Z63" s="26"/>
      <c r="AA63" s="26">
        <v>-61</v>
      </c>
      <c r="AB63" s="285">
        <v>70155</v>
      </c>
      <c r="AC63" s="26">
        <v>841669</v>
      </c>
      <c r="AD63" s="26"/>
      <c r="AE63" s="26">
        <v>9388</v>
      </c>
      <c r="AF63" s="26"/>
      <c r="AG63" s="26">
        <v>6520831</v>
      </c>
      <c r="AH63" s="26"/>
      <c r="AI63" s="26"/>
      <c r="AJ63" s="26">
        <v>-16241</v>
      </c>
      <c r="AK63" s="26"/>
      <c r="AL63" s="26">
        <v>7577</v>
      </c>
      <c r="AM63" s="26"/>
      <c r="AN63" s="26"/>
      <c r="AO63" s="26"/>
      <c r="AP63" s="26">
        <v>2714854</v>
      </c>
      <c r="AQ63" s="26"/>
      <c r="AR63" s="26"/>
      <c r="AS63" s="26"/>
      <c r="AT63" s="26"/>
      <c r="AU63" s="26"/>
      <c r="AV63" s="284"/>
      <c r="AW63" s="284">
        <v>4460</v>
      </c>
      <c r="AX63" s="284"/>
      <c r="AY63" s="26">
        <v>49475</v>
      </c>
      <c r="AZ63" s="26"/>
      <c r="BA63" s="284"/>
      <c r="BB63" s="284"/>
      <c r="BC63" s="284"/>
      <c r="BD63" s="284"/>
      <c r="BE63" s="26"/>
      <c r="BF63" s="284">
        <v>40520</v>
      </c>
      <c r="BG63" s="284"/>
      <c r="BH63" s="284">
        <v>11334</v>
      </c>
      <c r="BI63" s="284"/>
      <c r="BJ63" s="284">
        <v>25412</v>
      </c>
      <c r="BK63" s="284"/>
      <c r="BL63" s="284">
        <v>1666</v>
      </c>
      <c r="BM63" s="284"/>
      <c r="BN63" s="284">
        <v>680</v>
      </c>
      <c r="BO63" s="284"/>
      <c r="BP63" s="284"/>
      <c r="BQ63" s="284"/>
      <c r="BR63" s="284">
        <v>49681</v>
      </c>
      <c r="BS63" s="284"/>
      <c r="BT63" s="284"/>
      <c r="BU63" s="284"/>
      <c r="BV63" s="284"/>
      <c r="BW63" s="284"/>
      <c r="BX63" s="284">
        <v>111934</v>
      </c>
      <c r="BY63" s="284">
        <v>42763</v>
      </c>
      <c r="BZ63" s="284"/>
      <c r="CA63" s="284"/>
      <c r="CB63" s="284"/>
      <c r="CC63" s="284">
        <v>69221</v>
      </c>
      <c r="CD63" s="25" t="s">
        <v>248</v>
      </c>
      <c r="CE63" s="28">
        <f t="shared" si="6"/>
        <v>19229940</v>
      </c>
    </row>
    <row r="64" spans="1:83" x14ac:dyDescent="0.25">
      <c r="A64" s="35" t="s">
        <v>265</v>
      </c>
      <c r="B64" s="16"/>
      <c r="C64" s="20">
        <v>523267</v>
      </c>
      <c r="D64" s="20">
        <v>103</v>
      </c>
      <c r="E64" s="20">
        <v>580206</v>
      </c>
      <c r="F64" s="20">
        <v>596165</v>
      </c>
      <c r="G64" s="20"/>
      <c r="H64" s="20"/>
      <c r="I64" s="20"/>
      <c r="J64" s="20">
        <v>180823</v>
      </c>
      <c r="K64" s="20"/>
      <c r="L64" s="20"/>
      <c r="M64" s="20"/>
      <c r="N64" s="20"/>
      <c r="O64" s="20">
        <v>1125</v>
      </c>
      <c r="P64" s="26">
        <v>6816361</v>
      </c>
      <c r="Q64" s="26">
        <v>16916</v>
      </c>
      <c r="R64" s="26">
        <v>210192</v>
      </c>
      <c r="S64" s="284">
        <v>1204710</v>
      </c>
      <c r="T64" s="284">
        <v>125951</v>
      </c>
      <c r="U64" s="27">
        <v>2101107</v>
      </c>
      <c r="V64" s="26"/>
      <c r="W64" s="26">
        <v>6502</v>
      </c>
      <c r="X64" s="26">
        <v>130468</v>
      </c>
      <c r="Y64" s="26">
        <v>341606</v>
      </c>
      <c r="Z64" s="26">
        <v>8501525</v>
      </c>
      <c r="AA64" s="26">
        <v>55069</v>
      </c>
      <c r="AB64" s="285">
        <v>5016774</v>
      </c>
      <c r="AC64" s="26">
        <v>314575</v>
      </c>
      <c r="AD64" s="26"/>
      <c r="AE64" s="26">
        <v>21788</v>
      </c>
      <c r="AF64" s="26"/>
      <c r="AG64" s="26">
        <v>708179</v>
      </c>
      <c r="AH64" s="26"/>
      <c r="AI64" s="26">
        <v>322371</v>
      </c>
      <c r="AJ64" s="26">
        <v>530643</v>
      </c>
      <c r="AK64" s="26"/>
      <c r="AL64" s="26">
        <v>1347</v>
      </c>
      <c r="AM64" s="26"/>
      <c r="AN64" s="26"/>
      <c r="AO64" s="26"/>
      <c r="AP64" s="26">
        <v>1376675</v>
      </c>
      <c r="AQ64" s="26"/>
      <c r="AR64" s="26"/>
      <c r="AS64" s="26"/>
      <c r="AT64" s="26"/>
      <c r="AU64" s="26"/>
      <c r="AV64" s="284"/>
      <c r="AW64" s="284">
        <v>39552</v>
      </c>
      <c r="AX64" s="284"/>
      <c r="AY64" s="26">
        <v>390238</v>
      </c>
      <c r="AZ64" s="26"/>
      <c r="BA64" s="284">
        <v>50893</v>
      </c>
      <c r="BB64" s="284"/>
      <c r="BC64" s="284"/>
      <c r="BD64" s="284">
        <v>-367689.27</v>
      </c>
      <c r="BE64" s="26">
        <v>28552</v>
      </c>
      <c r="BF64" s="284">
        <v>126230</v>
      </c>
      <c r="BG64" s="284"/>
      <c r="BH64" s="284">
        <v>46072</v>
      </c>
      <c r="BI64" s="284"/>
      <c r="BJ64" s="284">
        <v>2367</v>
      </c>
      <c r="BK64" s="284">
        <v>945</v>
      </c>
      <c r="BL64" s="284">
        <v>28279</v>
      </c>
      <c r="BM64" s="284"/>
      <c r="BN64" s="284">
        <v>38438</v>
      </c>
      <c r="BO64" s="284">
        <v>10981</v>
      </c>
      <c r="BP64" s="284">
        <v>3480</v>
      </c>
      <c r="BQ64" s="284"/>
      <c r="BR64" s="284">
        <v>17310</v>
      </c>
      <c r="BS64" s="284">
        <v>40390</v>
      </c>
      <c r="BT64" s="284">
        <v>83</v>
      </c>
      <c r="BU64" s="284"/>
      <c r="BV64" s="284"/>
      <c r="BW64" s="284">
        <v>62401</v>
      </c>
      <c r="BX64" s="284">
        <v>29821</v>
      </c>
      <c r="BY64" s="284">
        <v>28347</v>
      </c>
      <c r="BZ64" s="284"/>
      <c r="CA64" s="284">
        <v>6273</v>
      </c>
      <c r="CB64" s="284">
        <v>10869</v>
      </c>
      <c r="CC64" s="284">
        <v>275095</v>
      </c>
      <c r="CD64" s="25" t="s">
        <v>248</v>
      </c>
      <c r="CE64" s="28">
        <f t="shared" si="6"/>
        <v>30553374.73</v>
      </c>
    </row>
    <row r="65" spans="1:83" x14ac:dyDescent="0.25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>
        <v>1200</v>
      </c>
      <c r="Z65" s="26"/>
      <c r="AA65" s="26"/>
      <c r="AB65" s="285"/>
      <c r="AC65" s="26">
        <v>828</v>
      </c>
      <c r="AD65" s="26"/>
      <c r="AE65" s="26">
        <v>897</v>
      </c>
      <c r="AF65" s="26"/>
      <c r="AG65" s="26">
        <v>828</v>
      </c>
      <c r="AH65" s="26"/>
      <c r="AI65" s="26"/>
      <c r="AJ65" s="26"/>
      <c r="AK65" s="26"/>
      <c r="AL65" s="26"/>
      <c r="AM65" s="26"/>
      <c r="AN65" s="26"/>
      <c r="AO65" s="26"/>
      <c r="AP65" s="26">
        <v>474770</v>
      </c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>
        <v>1476544</v>
      </c>
      <c r="BF65" s="284">
        <v>191827</v>
      </c>
      <c r="BG65" s="284"/>
      <c r="BH65" s="284">
        <v>354531</v>
      </c>
      <c r="BI65" s="284"/>
      <c r="BJ65" s="284">
        <v>4071</v>
      </c>
      <c r="BK65" s="284">
        <v>758</v>
      </c>
      <c r="BL65" s="284">
        <v>-4637</v>
      </c>
      <c r="BM65" s="284"/>
      <c r="BN65" s="284">
        <v>1420</v>
      </c>
      <c r="BO65" s="284"/>
      <c r="BP65" s="284"/>
      <c r="BQ65" s="284"/>
      <c r="BR65" s="284">
        <v>10793</v>
      </c>
      <c r="BS65" s="284"/>
      <c r="BT65" s="284"/>
      <c r="BU65" s="284"/>
      <c r="BV65" s="284"/>
      <c r="BW65" s="284"/>
      <c r="BX65" s="284"/>
      <c r="BY65" s="284">
        <v>828</v>
      </c>
      <c r="BZ65" s="284"/>
      <c r="CA65" s="284"/>
      <c r="CB65" s="284"/>
      <c r="CC65" s="284">
        <v>828</v>
      </c>
      <c r="CD65" s="25" t="s">
        <v>248</v>
      </c>
      <c r="CE65" s="28">
        <f t="shared" si="6"/>
        <v>2515486</v>
      </c>
    </row>
    <row r="66" spans="1:83" x14ac:dyDescent="0.25">
      <c r="A66" s="35" t="s">
        <v>267</v>
      </c>
      <c r="B66" s="16"/>
      <c r="C66" s="20">
        <v>72303</v>
      </c>
      <c r="D66" s="20"/>
      <c r="E66" s="20">
        <v>334611</v>
      </c>
      <c r="F66" s="20">
        <v>6020</v>
      </c>
      <c r="G66" s="20"/>
      <c r="H66" s="20"/>
      <c r="I66" s="20"/>
      <c r="J66" s="20"/>
      <c r="K66" s="20"/>
      <c r="L66" s="20"/>
      <c r="M66" s="20"/>
      <c r="N66" s="20"/>
      <c r="O66" s="20">
        <v>138</v>
      </c>
      <c r="P66" s="26">
        <v>382572</v>
      </c>
      <c r="Q66" s="26">
        <v>555</v>
      </c>
      <c r="R66" s="26">
        <v>27151</v>
      </c>
      <c r="S66" s="284">
        <v>34267</v>
      </c>
      <c r="T66" s="284"/>
      <c r="U66" s="27">
        <v>1543091</v>
      </c>
      <c r="V66" s="26"/>
      <c r="W66" s="26">
        <v>240309</v>
      </c>
      <c r="X66" s="26">
        <v>586226</v>
      </c>
      <c r="Y66" s="26">
        <v>1027843</v>
      </c>
      <c r="Z66" s="26"/>
      <c r="AA66" s="26">
        <v>48270</v>
      </c>
      <c r="AB66" s="285">
        <v>349864</v>
      </c>
      <c r="AC66" s="26">
        <v>5678</v>
      </c>
      <c r="AD66" s="26"/>
      <c r="AE66" s="26">
        <v>246195</v>
      </c>
      <c r="AF66" s="26"/>
      <c r="AG66" s="26">
        <v>113689</v>
      </c>
      <c r="AH66" s="26"/>
      <c r="AI66" s="26">
        <v>13479</v>
      </c>
      <c r="AJ66" s="26">
        <v>95676</v>
      </c>
      <c r="AK66" s="26"/>
      <c r="AL66" s="26"/>
      <c r="AM66" s="26"/>
      <c r="AN66" s="26"/>
      <c r="AO66" s="26"/>
      <c r="AP66" s="26">
        <v>2803309</v>
      </c>
      <c r="AQ66" s="26"/>
      <c r="AR66" s="26"/>
      <c r="AS66" s="26"/>
      <c r="AT66" s="26"/>
      <c r="AU66" s="26"/>
      <c r="AV66" s="284"/>
      <c r="AW66" s="284">
        <v>4079</v>
      </c>
      <c r="AX66" s="284"/>
      <c r="AY66" s="26">
        <v>43989</v>
      </c>
      <c r="AZ66" s="26"/>
      <c r="BA66" s="284">
        <v>273809</v>
      </c>
      <c r="BB66" s="284"/>
      <c r="BC66" s="284"/>
      <c r="BD66" s="284">
        <v>145266</v>
      </c>
      <c r="BE66" s="26">
        <v>909108</v>
      </c>
      <c r="BF66" s="284">
        <v>57242</v>
      </c>
      <c r="BG66" s="284">
        <v>655635</v>
      </c>
      <c r="BH66" s="284">
        <v>1654902</v>
      </c>
      <c r="BI66" s="284"/>
      <c r="BJ66" s="284">
        <v>60030</v>
      </c>
      <c r="BK66" s="284">
        <v>43114</v>
      </c>
      <c r="BL66" s="284">
        <v>58302</v>
      </c>
      <c r="BM66" s="284"/>
      <c r="BN66" s="284">
        <v>464489</v>
      </c>
      <c r="BO66" s="284">
        <v>242892</v>
      </c>
      <c r="BP66" s="284">
        <v>1980</v>
      </c>
      <c r="BQ66" s="284"/>
      <c r="BR66" s="284">
        <v>97286</v>
      </c>
      <c r="BS66" s="284">
        <v>219</v>
      </c>
      <c r="BT66" s="284">
        <v>41618</v>
      </c>
      <c r="BU66" s="284"/>
      <c r="BV66" s="284">
        <v>663903</v>
      </c>
      <c r="BW66" s="284">
        <v>113649</v>
      </c>
      <c r="BX66" s="284">
        <v>791937</v>
      </c>
      <c r="BY66" s="284">
        <v>27928</v>
      </c>
      <c r="BZ66" s="284"/>
      <c r="CA66" s="284">
        <v>55875</v>
      </c>
      <c r="CB66" s="284">
        <v>86628</v>
      </c>
      <c r="CC66" s="284">
        <v>2923206</v>
      </c>
      <c r="CD66" s="25" t="s">
        <v>248</v>
      </c>
      <c r="CE66" s="28">
        <f t="shared" si="6"/>
        <v>17348332</v>
      </c>
    </row>
    <row r="67" spans="1:83" x14ac:dyDescent="0.25">
      <c r="A67" s="35" t="s">
        <v>16</v>
      </c>
      <c r="B67" s="16"/>
      <c r="C67" s="28">
        <f t="shared" ref="C67:AH67" si="10">ROUND(C51+C52,0)</f>
        <v>54916</v>
      </c>
      <c r="D67" s="28">
        <f t="shared" si="10"/>
        <v>0</v>
      </c>
      <c r="E67" s="28">
        <f t="shared" si="10"/>
        <v>215455</v>
      </c>
      <c r="F67" s="28">
        <f t="shared" si="10"/>
        <v>154128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32735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145242</v>
      </c>
      <c r="Q67" s="28">
        <f t="shared" si="10"/>
        <v>22415</v>
      </c>
      <c r="R67" s="28">
        <f t="shared" si="10"/>
        <v>3682</v>
      </c>
      <c r="S67" s="28">
        <f t="shared" si="10"/>
        <v>32455</v>
      </c>
      <c r="T67" s="28">
        <f t="shared" si="10"/>
        <v>0</v>
      </c>
      <c r="U67" s="28">
        <f t="shared" si="10"/>
        <v>90553</v>
      </c>
      <c r="V67" s="28">
        <f t="shared" si="10"/>
        <v>1001</v>
      </c>
      <c r="W67" s="28">
        <f t="shared" si="10"/>
        <v>37091</v>
      </c>
      <c r="X67" s="28">
        <f t="shared" si="10"/>
        <v>21147</v>
      </c>
      <c r="Y67" s="28">
        <f t="shared" si="10"/>
        <v>126750</v>
      </c>
      <c r="Z67" s="28">
        <f t="shared" si="10"/>
        <v>0</v>
      </c>
      <c r="AA67" s="28">
        <f t="shared" si="10"/>
        <v>28332</v>
      </c>
      <c r="AB67" s="28">
        <f t="shared" si="10"/>
        <v>37311</v>
      </c>
      <c r="AC67" s="28">
        <f t="shared" si="10"/>
        <v>27064</v>
      </c>
      <c r="AD67" s="28">
        <f t="shared" si="10"/>
        <v>0</v>
      </c>
      <c r="AE67" s="28">
        <f t="shared" si="10"/>
        <v>54389</v>
      </c>
      <c r="AF67" s="28">
        <f t="shared" si="10"/>
        <v>0</v>
      </c>
      <c r="AG67" s="28">
        <f t="shared" si="10"/>
        <v>83468</v>
      </c>
      <c r="AH67" s="28">
        <f t="shared" si="10"/>
        <v>0</v>
      </c>
      <c r="AI67" s="28">
        <f t="shared" ref="AI67:BN67" si="11">ROUND(AI51+AI52,0)</f>
        <v>168831</v>
      </c>
      <c r="AJ67" s="28">
        <f t="shared" si="11"/>
        <v>62168</v>
      </c>
      <c r="AK67" s="28">
        <f t="shared" si="11"/>
        <v>0</v>
      </c>
      <c r="AL67" s="28">
        <f t="shared" si="11"/>
        <v>1334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659381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9306</v>
      </c>
      <c r="AX67" s="28">
        <f t="shared" si="11"/>
        <v>0</v>
      </c>
      <c r="AY67" s="28">
        <f t="shared" si="11"/>
        <v>69372</v>
      </c>
      <c r="AZ67" s="28">
        <f t="shared" si="11"/>
        <v>0</v>
      </c>
      <c r="BA67" s="28">
        <f t="shared" si="11"/>
        <v>11408</v>
      </c>
      <c r="BB67" s="28">
        <f t="shared" si="11"/>
        <v>0</v>
      </c>
      <c r="BC67" s="28">
        <f t="shared" si="11"/>
        <v>0</v>
      </c>
      <c r="BD67" s="28">
        <f t="shared" si="11"/>
        <v>68599</v>
      </c>
      <c r="BE67" s="28">
        <f t="shared" si="11"/>
        <v>194028</v>
      </c>
      <c r="BF67" s="28">
        <f t="shared" si="11"/>
        <v>19706</v>
      </c>
      <c r="BG67" s="28">
        <f t="shared" si="11"/>
        <v>9566</v>
      </c>
      <c r="BH67" s="28">
        <f t="shared" si="11"/>
        <v>38332</v>
      </c>
      <c r="BI67" s="28">
        <f t="shared" si="11"/>
        <v>0</v>
      </c>
      <c r="BJ67" s="28">
        <f t="shared" si="11"/>
        <v>4283</v>
      </c>
      <c r="BK67" s="28">
        <f t="shared" si="11"/>
        <v>35970</v>
      </c>
      <c r="BL67" s="28">
        <f t="shared" si="11"/>
        <v>39066</v>
      </c>
      <c r="BM67" s="28">
        <f t="shared" si="11"/>
        <v>0</v>
      </c>
      <c r="BN67" s="28">
        <f t="shared" si="11"/>
        <v>11414</v>
      </c>
      <c r="BO67" s="28">
        <f t="shared" ref="BO67:CC67" si="12">ROUND(BO51+BO52,0)</f>
        <v>1648</v>
      </c>
      <c r="BP67" s="28">
        <f t="shared" si="12"/>
        <v>1734</v>
      </c>
      <c r="BQ67" s="28">
        <f t="shared" si="12"/>
        <v>0</v>
      </c>
      <c r="BR67" s="28">
        <f t="shared" si="12"/>
        <v>12542</v>
      </c>
      <c r="BS67" s="28">
        <f t="shared" si="12"/>
        <v>3869</v>
      </c>
      <c r="BT67" s="28">
        <f t="shared" si="12"/>
        <v>5757</v>
      </c>
      <c r="BU67" s="28">
        <f t="shared" si="12"/>
        <v>0</v>
      </c>
      <c r="BV67" s="28">
        <f t="shared" si="12"/>
        <v>4723</v>
      </c>
      <c r="BW67" s="28">
        <f t="shared" si="12"/>
        <v>54816</v>
      </c>
      <c r="BX67" s="28">
        <f t="shared" si="12"/>
        <v>3549</v>
      </c>
      <c r="BY67" s="28">
        <f t="shared" si="12"/>
        <v>5891</v>
      </c>
      <c r="BZ67" s="28">
        <f t="shared" si="12"/>
        <v>0</v>
      </c>
      <c r="CA67" s="28">
        <f t="shared" si="12"/>
        <v>1681</v>
      </c>
      <c r="CB67" s="28">
        <f t="shared" si="12"/>
        <v>2061</v>
      </c>
      <c r="CC67" s="28">
        <f t="shared" si="12"/>
        <v>742836</v>
      </c>
      <c r="CD67" s="25" t="s">
        <v>248</v>
      </c>
      <c r="CE67" s="28">
        <f t="shared" si="6"/>
        <v>3412005</v>
      </c>
    </row>
    <row r="68" spans="1:83" x14ac:dyDescent="0.25">
      <c r="A68" s="35" t="s">
        <v>268</v>
      </c>
      <c r="B68" s="28"/>
      <c r="C68" s="20">
        <v>7551</v>
      </c>
      <c r="D68" s="20"/>
      <c r="E68" s="20"/>
      <c r="F68" s="20">
        <v>2171</v>
      </c>
      <c r="G68" s="20"/>
      <c r="H68" s="20"/>
      <c r="I68" s="20"/>
      <c r="J68" s="20">
        <v>10781</v>
      </c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>
        <v>4356</v>
      </c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>
        <v>328057</v>
      </c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248</v>
      </c>
      <c r="CE68" s="28">
        <f t="shared" si="6"/>
        <v>352916</v>
      </c>
    </row>
    <row r="69" spans="1:83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16250</v>
      </c>
      <c r="F69" s="28">
        <f t="shared" si="13"/>
        <v>9737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158</v>
      </c>
      <c r="P69" s="28">
        <f t="shared" si="13"/>
        <v>0</v>
      </c>
      <c r="Q69" s="28">
        <f t="shared" si="13"/>
        <v>0</v>
      </c>
      <c r="R69" s="28">
        <f t="shared" si="13"/>
        <v>99</v>
      </c>
      <c r="S69" s="28">
        <f t="shared" si="13"/>
        <v>108635</v>
      </c>
      <c r="T69" s="28">
        <f t="shared" si="13"/>
        <v>0</v>
      </c>
      <c r="U69" s="28">
        <f t="shared" si="13"/>
        <v>39004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14760</v>
      </c>
      <c r="Z69" s="28">
        <f t="shared" si="13"/>
        <v>0</v>
      </c>
      <c r="AA69" s="28">
        <f t="shared" si="13"/>
        <v>816</v>
      </c>
      <c r="AB69" s="28">
        <f t="shared" si="13"/>
        <v>704</v>
      </c>
      <c r="AC69" s="28">
        <f t="shared" si="13"/>
        <v>0</v>
      </c>
      <c r="AD69" s="28">
        <f t="shared" si="13"/>
        <v>0</v>
      </c>
      <c r="AE69" s="28">
        <f t="shared" si="13"/>
        <v>22728</v>
      </c>
      <c r="AF69" s="28">
        <f t="shared" si="13"/>
        <v>0</v>
      </c>
      <c r="AG69" s="28">
        <f t="shared" si="13"/>
        <v>27269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188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220572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49744</v>
      </c>
      <c r="AX69" s="28">
        <f t="shared" si="14"/>
        <v>0</v>
      </c>
      <c r="AY69" s="28">
        <f t="shared" si="14"/>
        <v>213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173164</v>
      </c>
      <c r="BE69" s="28">
        <f t="shared" si="14"/>
        <v>2502</v>
      </c>
      <c r="BF69" s="28">
        <f t="shared" si="14"/>
        <v>1136</v>
      </c>
      <c r="BG69" s="28">
        <f t="shared" si="14"/>
        <v>0</v>
      </c>
      <c r="BH69" s="28">
        <f t="shared" si="14"/>
        <v>31</v>
      </c>
      <c r="BI69" s="28">
        <f t="shared" si="14"/>
        <v>0</v>
      </c>
      <c r="BJ69" s="28">
        <f t="shared" si="14"/>
        <v>0</v>
      </c>
      <c r="BK69" s="28">
        <f t="shared" si="14"/>
        <v>25046</v>
      </c>
      <c r="BL69" s="28">
        <f t="shared" si="14"/>
        <v>0</v>
      </c>
      <c r="BM69" s="28">
        <f t="shared" si="14"/>
        <v>0</v>
      </c>
      <c r="BN69" s="28">
        <f t="shared" si="14"/>
        <v>407465</v>
      </c>
      <c r="BO69" s="28">
        <f t="shared" ref="BO69:CD69" si="15">SUM(BO70:BO83)</f>
        <v>0</v>
      </c>
      <c r="BP69" s="28">
        <f t="shared" si="15"/>
        <v>220295</v>
      </c>
      <c r="BQ69" s="28">
        <f t="shared" si="15"/>
        <v>0</v>
      </c>
      <c r="BR69" s="28">
        <f t="shared" si="15"/>
        <v>191422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119</v>
      </c>
      <c r="BX69" s="28">
        <f t="shared" si="15"/>
        <v>97920</v>
      </c>
      <c r="BY69" s="28">
        <f t="shared" si="15"/>
        <v>0</v>
      </c>
      <c r="BZ69" s="28">
        <f t="shared" si="15"/>
        <v>0</v>
      </c>
      <c r="CA69" s="28">
        <f t="shared" si="15"/>
        <v>79679</v>
      </c>
      <c r="CB69" s="28">
        <f t="shared" si="15"/>
        <v>0</v>
      </c>
      <c r="CC69" s="28">
        <f t="shared" si="15"/>
        <v>233752</v>
      </c>
      <c r="CD69" s="28">
        <f t="shared" si="15"/>
        <v>12185482</v>
      </c>
      <c r="CE69" s="28">
        <f>SUM(CE70:CE84)</f>
        <v>17034914.420000002</v>
      </c>
    </row>
    <row r="70" spans="1:83" x14ac:dyDescent="0.25">
      <c r="A70" s="29" t="s">
        <v>270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25">
      <c r="A72" s="29" t="s">
        <v>272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25">
      <c r="A73" s="29" t="s">
        <v>273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25">
      <c r="A74" s="29" t="s">
        <v>274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25">
      <c r="A75" s="29" t="s">
        <v>275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25">
      <c r="A76" s="29" t="s">
        <v>276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25">
      <c r="A77" s="29" t="s">
        <v>277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25">
      <c r="A78" s="29" t="s">
        <v>278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25">
      <c r="A79" s="29" t="s">
        <v>279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25">
      <c r="A80" s="29" t="s">
        <v>280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25">
      <c r="A81" s="29" t="s">
        <v>281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25">
      <c r="A82" s="29" t="s">
        <v>282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25">
      <c r="A83" s="29" t="s">
        <v>283</v>
      </c>
      <c r="B83" s="16"/>
      <c r="C83" s="20"/>
      <c r="D83" s="20"/>
      <c r="E83" s="26">
        <v>16250</v>
      </c>
      <c r="F83" s="26">
        <v>9737</v>
      </c>
      <c r="G83" s="20"/>
      <c r="H83" s="20"/>
      <c r="I83" s="26"/>
      <c r="J83" s="26"/>
      <c r="K83" s="26"/>
      <c r="L83" s="26"/>
      <c r="M83" s="20"/>
      <c r="N83" s="20"/>
      <c r="O83" s="20">
        <v>158</v>
      </c>
      <c r="P83" s="26"/>
      <c r="Q83" s="26"/>
      <c r="R83" s="27">
        <v>99</v>
      </c>
      <c r="S83" s="26">
        <v>108635</v>
      </c>
      <c r="T83" s="20"/>
      <c r="U83" s="26">
        <v>39004</v>
      </c>
      <c r="V83" s="26"/>
      <c r="W83" s="20"/>
      <c r="X83" s="26"/>
      <c r="Y83" s="26">
        <v>14760</v>
      </c>
      <c r="Z83" s="26"/>
      <c r="AA83" s="26">
        <v>816</v>
      </c>
      <c r="AB83" s="26">
        <v>704</v>
      </c>
      <c r="AC83" s="26"/>
      <c r="AD83" s="26"/>
      <c r="AE83" s="26">
        <v>22728</v>
      </c>
      <c r="AF83" s="26"/>
      <c r="AG83" s="26">
        <v>27269</v>
      </c>
      <c r="AH83" s="26"/>
      <c r="AI83" s="26"/>
      <c r="AJ83" s="26">
        <v>188</v>
      </c>
      <c r="AK83" s="26"/>
      <c r="AL83" s="26"/>
      <c r="AM83" s="26"/>
      <c r="AN83" s="26"/>
      <c r="AO83" s="20"/>
      <c r="AP83" s="26">
        <v>220572</v>
      </c>
      <c r="AQ83" s="20"/>
      <c r="AR83" s="20"/>
      <c r="AS83" s="20"/>
      <c r="AT83" s="20"/>
      <c r="AU83" s="26"/>
      <c r="AV83" s="26"/>
      <c r="AW83" s="26">
        <v>49744</v>
      </c>
      <c r="AX83" s="26"/>
      <c r="AY83" s="26">
        <v>213</v>
      </c>
      <c r="AZ83" s="26"/>
      <c r="BA83" s="26"/>
      <c r="BB83" s="26"/>
      <c r="BC83" s="26"/>
      <c r="BD83" s="26">
        <v>173164</v>
      </c>
      <c r="BE83" s="26">
        <v>2502</v>
      </c>
      <c r="BF83" s="26">
        <v>1136</v>
      </c>
      <c r="BG83" s="26"/>
      <c r="BH83" s="27">
        <v>31</v>
      </c>
      <c r="BI83" s="26"/>
      <c r="BJ83" s="26"/>
      <c r="BK83" s="26">
        <v>25046</v>
      </c>
      <c r="BL83" s="26"/>
      <c r="BM83" s="26"/>
      <c r="BN83" s="26">
        <v>407465</v>
      </c>
      <c r="BO83" s="26"/>
      <c r="BP83" s="26">
        <v>220295</v>
      </c>
      <c r="BQ83" s="26"/>
      <c r="BR83" s="26">
        <v>191422</v>
      </c>
      <c r="BS83" s="26"/>
      <c r="BT83" s="26"/>
      <c r="BU83" s="26"/>
      <c r="BV83" s="26"/>
      <c r="BW83" s="26">
        <v>119</v>
      </c>
      <c r="BX83" s="26">
        <v>97920</v>
      </c>
      <c r="BY83" s="26"/>
      <c r="BZ83" s="26"/>
      <c r="CA83" s="26">
        <v>79679</v>
      </c>
      <c r="CB83" s="26"/>
      <c r="CC83" s="26">
        <v>233752</v>
      </c>
      <c r="CD83" s="31">
        <v>12185482</v>
      </c>
      <c r="CE83" s="28">
        <f t="shared" si="16"/>
        <v>14128890</v>
      </c>
    </row>
    <row r="84" spans="1:84" x14ac:dyDescent="0.25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>
        <v>634592</v>
      </c>
      <c r="T84" s="20"/>
      <c r="U84" s="20"/>
      <c r="V84" s="20"/>
      <c r="W84" s="20">
        <f>307321-307321</f>
        <v>0</v>
      </c>
      <c r="X84" s="20"/>
      <c r="Y84" s="20">
        <v>49686</v>
      </c>
      <c r="Z84" s="20"/>
      <c r="AA84" s="20"/>
      <c r="AB84" s="20">
        <f>2347+307321</f>
        <v>309668</v>
      </c>
      <c r="AC84" s="20"/>
      <c r="AD84" s="20"/>
      <c r="AE84" s="20"/>
      <c r="AF84" s="20"/>
      <c r="AG84" s="20">
        <v>504096</v>
      </c>
      <c r="AH84" s="20"/>
      <c r="AI84" s="20"/>
      <c r="AJ84" s="20"/>
      <c r="AK84" s="20"/>
      <c r="AL84" s="20"/>
      <c r="AM84" s="20"/>
      <c r="AN84" s="20"/>
      <c r="AO84" s="20"/>
      <c r="AP84" s="20">
        <v>149535</v>
      </c>
      <c r="AQ84" s="20"/>
      <c r="AR84" s="20"/>
      <c r="AS84" s="20"/>
      <c r="AT84" s="20"/>
      <c r="AU84" s="20"/>
      <c r="AV84" s="20"/>
      <c r="AW84" s="20">
        <v>41725</v>
      </c>
      <c r="AX84" s="20"/>
      <c r="AY84" s="20">
        <v>345542</v>
      </c>
      <c r="AZ84" s="20"/>
      <c r="BA84" s="20"/>
      <c r="BB84" s="20"/>
      <c r="BC84" s="20"/>
      <c r="BD84" s="20">
        <v>3279</v>
      </c>
      <c r="BE84" s="20"/>
      <c r="BF84" s="20"/>
      <c r="BG84" s="20"/>
      <c r="BH84" s="20">
        <v>780</v>
      </c>
      <c r="BI84" s="20"/>
      <c r="BJ84" s="20"/>
      <c r="BK84" s="20"/>
      <c r="BL84" s="20"/>
      <c r="BM84" s="20"/>
      <c r="BN84" s="20"/>
      <c r="BO84" s="20"/>
      <c r="BP84" s="20">
        <v>46338</v>
      </c>
      <c r="BQ84" s="20"/>
      <c r="BR84" s="20"/>
      <c r="BS84" s="20"/>
      <c r="BT84" s="20"/>
      <c r="BU84" s="20"/>
      <c r="BV84" s="20"/>
      <c r="BW84" s="20">
        <v>10880</v>
      </c>
      <c r="BX84" s="20"/>
      <c r="BY84" s="20"/>
      <c r="BZ84" s="20"/>
      <c r="CA84" s="20"/>
      <c r="CB84" s="20"/>
      <c r="CC84" s="20"/>
      <c r="CD84" s="31">
        <v>809903.41999999993</v>
      </c>
      <c r="CE84" s="28">
        <f t="shared" si="16"/>
        <v>2906024.42</v>
      </c>
    </row>
    <row r="85" spans="1:84" x14ac:dyDescent="0.25">
      <c r="A85" s="35" t="s">
        <v>285</v>
      </c>
      <c r="B85" s="28"/>
      <c r="C85" s="28">
        <f t="shared" ref="C85:AH85" si="17">SUM(C61:C69)-C84</f>
        <v>6660791</v>
      </c>
      <c r="D85" s="28">
        <f t="shared" si="17"/>
        <v>103</v>
      </c>
      <c r="E85" s="28">
        <f t="shared" si="17"/>
        <v>9292172</v>
      </c>
      <c r="F85" s="28">
        <f t="shared" si="17"/>
        <v>6222263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1981205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847724</v>
      </c>
      <c r="P85" s="28">
        <f t="shared" si="17"/>
        <v>9870031</v>
      </c>
      <c r="Q85" s="28">
        <f t="shared" si="17"/>
        <v>1147056</v>
      </c>
      <c r="R85" s="28">
        <f t="shared" si="17"/>
        <v>1507462</v>
      </c>
      <c r="S85" s="28">
        <f t="shared" si="17"/>
        <v>1308352</v>
      </c>
      <c r="T85" s="28">
        <f t="shared" si="17"/>
        <v>125951</v>
      </c>
      <c r="U85" s="28">
        <f t="shared" si="17"/>
        <v>6108817</v>
      </c>
      <c r="V85" s="28">
        <f t="shared" si="17"/>
        <v>115135</v>
      </c>
      <c r="W85" s="28">
        <f t="shared" si="17"/>
        <v>712010</v>
      </c>
      <c r="X85" s="28">
        <f t="shared" si="17"/>
        <v>1434904</v>
      </c>
      <c r="Y85" s="28">
        <f t="shared" si="17"/>
        <v>6350118</v>
      </c>
      <c r="Z85" s="28">
        <f t="shared" si="17"/>
        <v>8501525</v>
      </c>
      <c r="AA85" s="28">
        <f t="shared" si="17"/>
        <v>358131</v>
      </c>
      <c r="AB85" s="28">
        <f t="shared" si="17"/>
        <v>7096541</v>
      </c>
      <c r="AC85" s="28">
        <f t="shared" si="17"/>
        <v>2579298</v>
      </c>
      <c r="AD85" s="28">
        <f t="shared" si="17"/>
        <v>0</v>
      </c>
      <c r="AE85" s="28">
        <f t="shared" si="17"/>
        <v>2288705</v>
      </c>
      <c r="AF85" s="28">
        <f t="shared" si="17"/>
        <v>0</v>
      </c>
      <c r="AG85" s="28">
        <f t="shared" si="17"/>
        <v>11175844</v>
      </c>
      <c r="AH85" s="28">
        <f t="shared" si="17"/>
        <v>0</v>
      </c>
      <c r="AI85" s="28">
        <f t="shared" ref="AI85:BN85" si="18">SUM(AI61:AI69)-AI84</f>
        <v>3204042</v>
      </c>
      <c r="AJ85" s="28">
        <f t="shared" si="18"/>
        <v>1989873</v>
      </c>
      <c r="AK85" s="28">
        <f t="shared" si="18"/>
        <v>0</v>
      </c>
      <c r="AL85" s="28">
        <f t="shared" si="18"/>
        <v>424284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36006840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3214346</v>
      </c>
      <c r="AX85" s="28">
        <f t="shared" si="18"/>
        <v>0</v>
      </c>
      <c r="AY85" s="28">
        <f t="shared" si="18"/>
        <v>1361302</v>
      </c>
      <c r="AZ85" s="28">
        <f t="shared" si="18"/>
        <v>0</v>
      </c>
      <c r="BA85" s="28">
        <f t="shared" si="18"/>
        <v>336110</v>
      </c>
      <c r="BB85" s="28">
        <f t="shared" si="18"/>
        <v>0</v>
      </c>
      <c r="BC85" s="28">
        <f t="shared" si="18"/>
        <v>0</v>
      </c>
      <c r="BD85" s="28">
        <f t="shared" si="18"/>
        <v>495546.73</v>
      </c>
      <c r="BE85" s="28">
        <f t="shared" si="18"/>
        <v>3183886</v>
      </c>
      <c r="BF85" s="28">
        <f t="shared" si="18"/>
        <v>2234089</v>
      </c>
      <c r="BG85" s="28">
        <f t="shared" si="18"/>
        <v>665201</v>
      </c>
      <c r="BH85" s="28">
        <f t="shared" si="18"/>
        <v>3565019</v>
      </c>
      <c r="BI85" s="28">
        <f t="shared" si="18"/>
        <v>0</v>
      </c>
      <c r="BJ85" s="28">
        <f t="shared" si="18"/>
        <v>807066</v>
      </c>
      <c r="BK85" s="28">
        <f t="shared" si="18"/>
        <v>105833</v>
      </c>
      <c r="BL85" s="28">
        <f t="shared" si="18"/>
        <v>121595</v>
      </c>
      <c r="BM85" s="28">
        <f t="shared" si="18"/>
        <v>0</v>
      </c>
      <c r="BN85" s="28">
        <f t="shared" si="18"/>
        <v>2548746</v>
      </c>
      <c r="BO85" s="28">
        <f t="shared" ref="BO85:CD85" si="19">SUM(BO61:BO69)-BO84</f>
        <v>358897</v>
      </c>
      <c r="BP85" s="28">
        <f t="shared" si="19"/>
        <v>278893</v>
      </c>
      <c r="BQ85" s="28">
        <f t="shared" si="19"/>
        <v>0</v>
      </c>
      <c r="BR85" s="28">
        <f t="shared" si="19"/>
        <v>1095002</v>
      </c>
      <c r="BS85" s="28">
        <f t="shared" si="19"/>
        <v>44478</v>
      </c>
      <c r="BT85" s="28">
        <f t="shared" si="19"/>
        <v>47458</v>
      </c>
      <c r="BU85" s="28">
        <f t="shared" si="19"/>
        <v>0</v>
      </c>
      <c r="BV85" s="28">
        <f t="shared" si="19"/>
        <v>1221041</v>
      </c>
      <c r="BW85" s="28">
        <f t="shared" si="19"/>
        <v>322085</v>
      </c>
      <c r="BX85" s="28">
        <f t="shared" si="19"/>
        <v>2136077</v>
      </c>
      <c r="BY85" s="28">
        <f t="shared" si="19"/>
        <v>1357838</v>
      </c>
      <c r="BZ85" s="28">
        <f t="shared" si="19"/>
        <v>0</v>
      </c>
      <c r="CA85" s="28">
        <f t="shared" si="19"/>
        <v>354630</v>
      </c>
      <c r="CB85" s="28">
        <f t="shared" si="19"/>
        <v>401785</v>
      </c>
      <c r="CC85" s="28">
        <f t="shared" si="19"/>
        <v>4282830</v>
      </c>
      <c r="CD85" s="28">
        <f t="shared" si="19"/>
        <v>11375578.58</v>
      </c>
      <c r="CE85" s="28">
        <f t="shared" si="16"/>
        <v>169224509.31000003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 x14ac:dyDescent="0.25">
      <c r="A87" s="35" t="s">
        <v>287</v>
      </c>
      <c r="B87" s="16"/>
      <c r="C87" s="20">
        <v>15600620</v>
      </c>
      <c r="D87" s="20"/>
      <c r="E87" s="20">
        <v>24151165</v>
      </c>
      <c r="F87" s="20">
        <v>10422346</v>
      </c>
      <c r="G87" s="20"/>
      <c r="H87" s="20"/>
      <c r="I87" s="20"/>
      <c r="J87" s="20">
        <v>5089082</v>
      </c>
      <c r="K87" s="20"/>
      <c r="L87" s="20"/>
      <c r="M87" s="20"/>
      <c r="N87" s="20"/>
      <c r="O87" s="20">
        <v>12597693</v>
      </c>
      <c r="P87" s="20">
        <v>27747704</v>
      </c>
      <c r="Q87" s="20">
        <v>1084927</v>
      </c>
      <c r="R87" s="20">
        <v>2816446</v>
      </c>
      <c r="S87" s="20">
        <v>3140267</v>
      </c>
      <c r="T87" s="20">
        <v>3194907</v>
      </c>
      <c r="U87" s="20">
        <v>27036346</v>
      </c>
      <c r="V87" s="20">
        <v>169819</v>
      </c>
      <c r="W87" s="20">
        <v>1526817</v>
      </c>
      <c r="X87" s="20">
        <v>11907616</v>
      </c>
      <c r="Y87" s="20">
        <v>12554377</v>
      </c>
      <c r="Z87" s="20">
        <v>877817</v>
      </c>
      <c r="AA87" s="20">
        <v>779944</v>
      </c>
      <c r="AB87" s="20">
        <v>22431393</v>
      </c>
      <c r="AC87" s="20">
        <v>15433104</v>
      </c>
      <c r="AD87" s="20"/>
      <c r="AE87" s="20">
        <v>2957544</v>
      </c>
      <c r="AF87" s="20"/>
      <c r="AG87" s="20">
        <v>12909337</v>
      </c>
      <c r="AH87" s="20"/>
      <c r="AI87" s="20">
        <v>27419</v>
      </c>
      <c r="AJ87" s="20">
        <v>917470</v>
      </c>
      <c r="AK87" s="20"/>
      <c r="AL87" s="20">
        <v>884651</v>
      </c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216258811</v>
      </c>
    </row>
    <row r="88" spans="1:84" x14ac:dyDescent="0.25">
      <c r="A88" s="35" t="s">
        <v>288</v>
      </c>
      <c r="B88" s="16"/>
      <c r="C88" s="20">
        <v>174273</v>
      </c>
      <c r="D88" s="20"/>
      <c r="E88" s="20">
        <v>4761999</v>
      </c>
      <c r="F88" s="20">
        <v>443269</v>
      </c>
      <c r="G88" s="20"/>
      <c r="H88" s="20"/>
      <c r="I88" s="20"/>
      <c r="J88" s="20"/>
      <c r="K88" s="20"/>
      <c r="L88" s="20"/>
      <c r="M88" s="20"/>
      <c r="N88" s="20"/>
      <c r="O88" s="20">
        <v>1570813</v>
      </c>
      <c r="P88" s="20">
        <v>32112925</v>
      </c>
      <c r="Q88" s="20">
        <v>2129457</v>
      </c>
      <c r="R88" s="20">
        <v>5167410</v>
      </c>
      <c r="S88" s="20">
        <v>4187959</v>
      </c>
      <c r="T88" s="20">
        <v>5342957</v>
      </c>
      <c r="U88" s="20">
        <v>38184860</v>
      </c>
      <c r="V88" s="20">
        <v>177243</v>
      </c>
      <c r="W88" s="20">
        <v>8079063</v>
      </c>
      <c r="X88" s="20">
        <v>40329889</v>
      </c>
      <c r="Y88" s="20">
        <v>31684485</v>
      </c>
      <c r="Z88" s="20">
        <v>52091664</v>
      </c>
      <c r="AA88" s="20">
        <v>2742367</v>
      </c>
      <c r="AB88" s="20">
        <v>14903985</v>
      </c>
      <c r="AC88" s="20">
        <v>4440721</v>
      </c>
      <c r="AD88" s="20"/>
      <c r="AE88" s="20">
        <v>6147672</v>
      </c>
      <c r="AF88" s="20"/>
      <c r="AG88" s="20">
        <v>40745036</v>
      </c>
      <c r="AH88" s="20"/>
      <c r="AI88" s="20">
        <v>11414217</v>
      </c>
      <c r="AJ88" s="20">
        <v>19831725</v>
      </c>
      <c r="AK88" s="20"/>
      <c r="AL88" s="20">
        <v>1285205</v>
      </c>
      <c r="AM88" s="20"/>
      <c r="AN88" s="20"/>
      <c r="AO88" s="20"/>
      <c r="AP88" s="20">
        <v>61689541</v>
      </c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389638735</v>
      </c>
    </row>
    <row r="89" spans="1:84" x14ac:dyDescent="0.25">
      <c r="A89" s="22" t="s">
        <v>289</v>
      </c>
      <c r="B89" s="16"/>
      <c r="C89" s="28">
        <f t="shared" ref="C89:AV89" si="21">C87+C88</f>
        <v>15774893</v>
      </c>
      <c r="D89" s="28">
        <f t="shared" si="21"/>
        <v>0</v>
      </c>
      <c r="E89" s="28">
        <f t="shared" si="21"/>
        <v>28913164</v>
      </c>
      <c r="F89" s="28">
        <f t="shared" si="21"/>
        <v>10865615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5089082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14168506</v>
      </c>
      <c r="P89" s="28">
        <f t="shared" si="21"/>
        <v>59860629</v>
      </c>
      <c r="Q89" s="28">
        <f t="shared" si="21"/>
        <v>3214384</v>
      </c>
      <c r="R89" s="28">
        <f t="shared" si="21"/>
        <v>7983856</v>
      </c>
      <c r="S89" s="28">
        <f t="shared" si="21"/>
        <v>7328226</v>
      </c>
      <c r="T89" s="28">
        <f t="shared" si="21"/>
        <v>8537864</v>
      </c>
      <c r="U89" s="28">
        <f t="shared" si="21"/>
        <v>65221206</v>
      </c>
      <c r="V89" s="28">
        <f t="shared" si="21"/>
        <v>347062</v>
      </c>
      <c r="W89" s="28">
        <f t="shared" si="21"/>
        <v>9605880</v>
      </c>
      <c r="X89" s="28">
        <f t="shared" si="21"/>
        <v>52237505</v>
      </c>
      <c r="Y89" s="28">
        <f t="shared" si="21"/>
        <v>44238862</v>
      </c>
      <c r="Z89" s="28">
        <f t="shared" si="21"/>
        <v>52969481</v>
      </c>
      <c r="AA89" s="28">
        <f t="shared" si="21"/>
        <v>3522311</v>
      </c>
      <c r="AB89" s="28">
        <f t="shared" si="21"/>
        <v>37335378</v>
      </c>
      <c r="AC89" s="28">
        <f t="shared" si="21"/>
        <v>19873825</v>
      </c>
      <c r="AD89" s="28">
        <f t="shared" si="21"/>
        <v>0</v>
      </c>
      <c r="AE89" s="28">
        <f t="shared" si="21"/>
        <v>9105216</v>
      </c>
      <c r="AF89" s="28">
        <f t="shared" si="21"/>
        <v>0</v>
      </c>
      <c r="AG89" s="28">
        <f t="shared" si="21"/>
        <v>53654373</v>
      </c>
      <c r="AH89" s="28">
        <f t="shared" si="21"/>
        <v>0</v>
      </c>
      <c r="AI89" s="28">
        <f t="shared" si="21"/>
        <v>11441636</v>
      </c>
      <c r="AJ89" s="28">
        <f t="shared" si="21"/>
        <v>20749195</v>
      </c>
      <c r="AK89" s="28">
        <f t="shared" si="21"/>
        <v>0</v>
      </c>
      <c r="AL89" s="28">
        <f t="shared" si="21"/>
        <v>2169856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61689541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605897546</v>
      </c>
    </row>
    <row r="90" spans="1:84" x14ac:dyDescent="0.25">
      <c r="A90" s="35" t="s">
        <v>290</v>
      </c>
      <c r="B90" s="28"/>
      <c r="C90" s="20">
        <v>8232</v>
      </c>
      <c r="D90" s="20"/>
      <c r="E90" s="20">
        <v>32297</v>
      </c>
      <c r="F90" s="20">
        <v>23104</v>
      </c>
      <c r="G90" s="20"/>
      <c r="H90" s="20"/>
      <c r="I90" s="20"/>
      <c r="J90" s="20">
        <v>4907</v>
      </c>
      <c r="K90" s="20"/>
      <c r="L90" s="20"/>
      <c r="M90" s="20"/>
      <c r="N90" s="20"/>
      <c r="O90" s="20"/>
      <c r="P90" s="20">
        <v>21772</v>
      </c>
      <c r="Q90" s="20">
        <v>3360</v>
      </c>
      <c r="R90" s="20">
        <v>552</v>
      </c>
      <c r="S90" s="20">
        <v>4865</v>
      </c>
      <c r="T90" s="20"/>
      <c r="U90" s="20">
        <v>13574</v>
      </c>
      <c r="V90" s="20">
        <v>150</v>
      </c>
      <c r="W90" s="20">
        <v>5560</v>
      </c>
      <c r="X90" s="20">
        <v>3170</v>
      </c>
      <c r="Y90" s="20">
        <v>19000</v>
      </c>
      <c r="Z90" s="20"/>
      <c r="AA90" s="20">
        <v>4247</v>
      </c>
      <c r="AB90" s="20">
        <v>5593</v>
      </c>
      <c r="AC90" s="20">
        <v>4057</v>
      </c>
      <c r="AD90" s="20"/>
      <c r="AE90" s="20">
        <v>8153</v>
      </c>
      <c r="AF90" s="20"/>
      <c r="AG90" s="20">
        <v>12512</v>
      </c>
      <c r="AH90" s="20"/>
      <c r="AI90" s="20">
        <v>25308</v>
      </c>
      <c r="AJ90" s="20">
        <v>9319</v>
      </c>
      <c r="AK90" s="20"/>
      <c r="AL90" s="20">
        <v>200</v>
      </c>
      <c r="AM90" s="20"/>
      <c r="AN90" s="20"/>
      <c r="AO90" s="20"/>
      <c r="AP90" s="20">
        <v>98842</v>
      </c>
      <c r="AQ90" s="20"/>
      <c r="AR90" s="20"/>
      <c r="AS90" s="20"/>
      <c r="AT90" s="20"/>
      <c r="AU90" s="20"/>
      <c r="AV90" s="20"/>
      <c r="AW90" s="20">
        <v>1395</v>
      </c>
      <c r="AX90" s="20"/>
      <c r="AY90" s="20">
        <v>10399</v>
      </c>
      <c r="AZ90" s="20"/>
      <c r="BA90" s="20">
        <v>1710</v>
      </c>
      <c r="BB90" s="20"/>
      <c r="BC90" s="20"/>
      <c r="BD90" s="20">
        <v>10283</v>
      </c>
      <c r="BE90" s="20">
        <v>29085</v>
      </c>
      <c r="BF90" s="20">
        <v>2954</v>
      </c>
      <c r="BG90" s="20">
        <v>1434</v>
      </c>
      <c r="BH90" s="20">
        <v>5746</v>
      </c>
      <c r="BI90" s="20"/>
      <c r="BJ90" s="20">
        <v>642</v>
      </c>
      <c r="BK90" s="20">
        <v>5392</v>
      </c>
      <c r="BL90" s="20">
        <v>5856</v>
      </c>
      <c r="BM90" s="20"/>
      <c r="BN90" s="20">
        <v>1711</v>
      </c>
      <c r="BO90" s="20">
        <v>247</v>
      </c>
      <c r="BP90" s="20">
        <v>260</v>
      </c>
      <c r="BQ90" s="20"/>
      <c r="BR90" s="20">
        <v>1880</v>
      </c>
      <c r="BS90" s="20">
        <v>580</v>
      </c>
      <c r="BT90" s="20">
        <v>863</v>
      </c>
      <c r="BU90" s="20"/>
      <c r="BV90" s="20">
        <v>708</v>
      </c>
      <c r="BW90" s="20">
        <v>8217</v>
      </c>
      <c r="BX90" s="20">
        <v>532</v>
      </c>
      <c r="BY90" s="20">
        <v>883</v>
      </c>
      <c r="BZ90" s="20"/>
      <c r="CA90" s="20">
        <v>252</v>
      </c>
      <c r="CB90" s="20">
        <v>309</v>
      </c>
      <c r="CC90" s="20">
        <v>111352</v>
      </c>
      <c r="CD90" s="236" t="s">
        <v>248</v>
      </c>
      <c r="CE90" s="28">
        <f t="shared" si="20"/>
        <v>511464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8562</v>
      </c>
      <c r="D91" s="20"/>
      <c r="E91" s="20">
        <v>34031</v>
      </c>
      <c r="F91" s="20">
        <v>8088</v>
      </c>
      <c r="G91" s="20"/>
      <c r="H91" s="20"/>
      <c r="I91" s="20"/>
      <c r="J91" s="20">
        <v>539</v>
      </c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>
        <v>1429</v>
      </c>
      <c r="AH91" s="20"/>
      <c r="AI91" s="20">
        <v>2017</v>
      </c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54666</v>
      </c>
      <c r="CF91" s="28">
        <f>AY59-CE91</f>
        <v>187014</v>
      </c>
    </row>
    <row r="92" spans="1:84" x14ac:dyDescent="0.25">
      <c r="A92" s="22" t="s">
        <v>292</v>
      </c>
      <c r="B92" s="16"/>
      <c r="C92" s="20">
        <v>1176.3333958988314</v>
      </c>
      <c r="D92" s="20">
        <v>0</v>
      </c>
      <c r="E92" s="20">
        <v>4615.1651709602238</v>
      </c>
      <c r="F92" s="20">
        <v>3301.5071402874883</v>
      </c>
      <c r="G92" s="20">
        <v>0</v>
      </c>
      <c r="H92" s="20">
        <v>0</v>
      </c>
      <c r="I92" s="20">
        <v>0</v>
      </c>
      <c r="J92" s="20">
        <v>701.19873343969471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3111.1674800181436</v>
      </c>
      <c r="Q92" s="20">
        <v>480.13607995870677</v>
      </c>
      <c r="R92" s="20">
        <v>78.879498850358971</v>
      </c>
      <c r="S92" s="20">
        <v>695.19703244021093</v>
      </c>
      <c r="T92" s="20">
        <v>0</v>
      </c>
      <c r="U92" s="20">
        <v>1939.6926039760374</v>
      </c>
      <c r="V92" s="20">
        <v>21.434646426727983</v>
      </c>
      <c r="W92" s="20">
        <v>794.51089421738379</v>
      </c>
      <c r="X92" s="20">
        <v>452.98552781818466</v>
      </c>
      <c r="Y92" s="20">
        <v>2715.0552140522109</v>
      </c>
      <c r="Z92" s="20">
        <v>0</v>
      </c>
      <c r="AA92" s="20">
        <v>606.88628916209154</v>
      </c>
      <c r="AB92" s="20">
        <v>799.22651643126392</v>
      </c>
      <c r="AC92" s="20">
        <v>579.73573702156943</v>
      </c>
      <c r="AD92" s="20">
        <v>0</v>
      </c>
      <c r="AE92" s="20">
        <v>1165.0444821140882</v>
      </c>
      <c r="AF92" s="20">
        <v>0</v>
      </c>
      <c r="AG92" s="20">
        <v>1787.9353072748033</v>
      </c>
      <c r="AH92" s="20">
        <v>0</v>
      </c>
      <c r="AI92" s="20">
        <v>3616.4535451175452</v>
      </c>
      <c r="AJ92" s="20">
        <v>1331.6631336711869</v>
      </c>
      <c r="AK92" s="20">
        <v>0</v>
      </c>
      <c r="AL92" s="20">
        <v>28.579528568970641</v>
      </c>
      <c r="AM92" s="20">
        <v>0</v>
      </c>
      <c r="AN92" s="20">
        <v>0</v>
      </c>
      <c r="AO92" s="20">
        <v>0</v>
      </c>
      <c r="AP92" s="20">
        <v>14124.288814070982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199.34221176857022</v>
      </c>
      <c r="AX92" s="286" t="s">
        <v>248</v>
      </c>
      <c r="AY92" s="286" t="s">
        <v>248</v>
      </c>
      <c r="AZ92" s="25" t="s">
        <v>248</v>
      </c>
      <c r="BA92" s="20">
        <v>244</v>
      </c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821</v>
      </c>
      <c r="BI92" s="20"/>
      <c r="BJ92" s="25" t="s">
        <v>248</v>
      </c>
      <c r="BK92" s="20">
        <v>771</v>
      </c>
      <c r="BL92" s="20">
        <v>837</v>
      </c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83</v>
      </c>
      <c r="BT92" s="20">
        <v>123.32066577510831</v>
      </c>
      <c r="BU92" s="20">
        <v>0</v>
      </c>
      <c r="BV92" s="20">
        <v>101.17153113415607</v>
      </c>
      <c r="BW92" s="20">
        <v>1174.1899312561588</v>
      </c>
      <c r="BX92" s="20">
        <v>76.021545993461913</v>
      </c>
      <c r="BY92" s="20">
        <v>126.17861863200538</v>
      </c>
      <c r="BZ92" s="20">
        <v>0</v>
      </c>
      <c r="CA92" s="20">
        <v>36.010205996903004</v>
      </c>
      <c r="CB92" s="20">
        <v>44.155371639059645</v>
      </c>
      <c r="CC92" s="25" t="s">
        <v>248</v>
      </c>
      <c r="CD92" s="25" t="s">
        <v>248</v>
      </c>
      <c r="CE92" s="28">
        <f t="shared" si="20"/>
        <v>48759.466853972117</v>
      </c>
      <c r="CF92" s="16"/>
    </row>
    <row r="93" spans="1:84" x14ac:dyDescent="0.25">
      <c r="A93" s="22" t="s">
        <v>293</v>
      </c>
      <c r="B93" s="16"/>
      <c r="C93" s="20">
        <v>62410</v>
      </c>
      <c r="D93" s="20"/>
      <c r="E93" s="20">
        <v>122046</v>
      </c>
      <c r="F93" s="20">
        <v>69501</v>
      </c>
      <c r="G93" s="20"/>
      <c r="H93" s="20"/>
      <c r="I93" s="20"/>
      <c r="J93" s="20">
        <v>13080</v>
      </c>
      <c r="K93" s="20"/>
      <c r="L93" s="20"/>
      <c r="M93" s="20"/>
      <c r="N93" s="20"/>
      <c r="O93" s="20"/>
      <c r="P93" s="20">
        <v>46780</v>
      </c>
      <c r="Q93" s="20"/>
      <c r="R93" s="20"/>
      <c r="S93" s="20"/>
      <c r="T93" s="20"/>
      <c r="U93" s="20"/>
      <c r="V93" s="20"/>
      <c r="W93" s="20"/>
      <c r="X93" s="20">
        <v>6500</v>
      </c>
      <c r="Y93" s="20">
        <v>65429</v>
      </c>
      <c r="Z93" s="20"/>
      <c r="AA93" s="20"/>
      <c r="AB93" s="20"/>
      <c r="AC93" s="20"/>
      <c r="AD93" s="20"/>
      <c r="AE93" s="20">
        <v>16341</v>
      </c>
      <c r="AF93" s="20"/>
      <c r="AG93" s="20">
        <v>73770</v>
      </c>
      <c r="AH93" s="20"/>
      <c r="AI93" s="20">
        <v>53054</v>
      </c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528911</v>
      </c>
      <c r="CF93" s="28">
        <f>BA59</f>
        <v>0</v>
      </c>
    </row>
    <row r="94" spans="1:84" x14ac:dyDescent="0.25">
      <c r="A94" s="22" t="s">
        <v>294</v>
      </c>
      <c r="B94" s="16"/>
      <c r="C94" s="280">
        <v>19.309999999999999</v>
      </c>
      <c r="D94" s="280"/>
      <c r="E94" s="280">
        <v>45.800000000000004</v>
      </c>
      <c r="F94" s="280">
        <v>29.479999999999997</v>
      </c>
      <c r="G94" s="280"/>
      <c r="H94" s="280"/>
      <c r="I94" s="280"/>
      <c r="J94" s="280">
        <v>13.83</v>
      </c>
      <c r="K94" s="280"/>
      <c r="L94" s="280"/>
      <c r="M94" s="280"/>
      <c r="N94" s="280"/>
      <c r="O94" s="280"/>
      <c r="P94" s="281">
        <v>9.25</v>
      </c>
      <c r="Q94" s="281">
        <v>5.68</v>
      </c>
      <c r="R94" s="281">
        <v>1.1499999999999999</v>
      </c>
      <c r="S94" s="282"/>
      <c r="T94" s="282"/>
      <c r="U94" s="283"/>
      <c r="V94" s="281"/>
      <c r="W94" s="281"/>
      <c r="X94" s="281"/>
      <c r="Y94" s="281">
        <v>0.69</v>
      </c>
      <c r="Z94" s="281"/>
      <c r="AA94" s="281">
        <v>0.91</v>
      </c>
      <c r="AB94" s="282"/>
      <c r="AC94" s="281"/>
      <c r="AD94" s="281"/>
      <c r="AE94" s="281">
        <v>0.7</v>
      </c>
      <c r="AF94" s="281"/>
      <c r="AG94" s="281">
        <v>11.77</v>
      </c>
      <c r="AH94" s="281"/>
      <c r="AI94" s="281">
        <v>19.309999999999999</v>
      </c>
      <c r="AJ94" s="281">
        <v>6.54</v>
      </c>
      <c r="AK94" s="281"/>
      <c r="AL94" s="281">
        <v>0.52</v>
      </c>
      <c r="AM94" s="281"/>
      <c r="AN94" s="281"/>
      <c r="AO94" s="281"/>
      <c r="AP94" s="281">
        <v>3.12</v>
      </c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168.06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1370</v>
      </c>
      <c r="D96" s="38"/>
      <c r="E96" s="39"/>
      <c r="F96" s="12"/>
    </row>
    <row r="97" spans="1:6" x14ac:dyDescent="0.25">
      <c r="A97" s="28" t="s">
        <v>297</v>
      </c>
      <c r="B97" s="36" t="s">
        <v>298</v>
      </c>
      <c r="C97" s="289" t="s">
        <v>1349</v>
      </c>
      <c r="D97" s="38"/>
      <c r="E97" s="39"/>
      <c r="F97" s="12"/>
    </row>
    <row r="98" spans="1:6" x14ac:dyDescent="0.25">
      <c r="A98" s="28" t="s">
        <v>299</v>
      </c>
      <c r="B98" s="36" t="s">
        <v>298</v>
      </c>
      <c r="C98" s="37" t="s">
        <v>1350</v>
      </c>
      <c r="D98" s="38"/>
      <c r="E98" s="39"/>
      <c r="F98" s="12"/>
    </row>
    <row r="99" spans="1:6" x14ac:dyDescent="0.25">
      <c r="A99" s="28" t="s">
        <v>300</v>
      </c>
      <c r="B99" s="36" t="s">
        <v>298</v>
      </c>
      <c r="C99" s="295" t="s">
        <v>1351</v>
      </c>
      <c r="D99" s="38"/>
      <c r="E99" s="39"/>
      <c r="F99" s="12"/>
    </row>
    <row r="100" spans="1:6" x14ac:dyDescent="0.25">
      <c r="A100" s="28" t="s">
        <v>301</v>
      </c>
      <c r="B100" s="36" t="s">
        <v>298</v>
      </c>
      <c r="C100" s="37" t="s">
        <v>1352</v>
      </c>
      <c r="D100" s="38"/>
      <c r="E100" s="39"/>
      <c r="F100" s="12"/>
    </row>
    <row r="101" spans="1:6" x14ac:dyDescent="0.25">
      <c r="A101" s="28" t="s">
        <v>302</v>
      </c>
      <c r="B101" s="36" t="s">
        <v>298</v>
      </c>
      <c r="C101" s="37" t="s">
        <v>1353</v>
      </c>
      <c r="D101" s="38"/>
      <c r="E101" s="39"/>
      <c r="F101" s="12"/>
    </row>
    <row r="102" spans="1:6" x14ac:dyDescent="0.25">
      <c r="A102" s="28" t="s">
        <v>303</v>
      </c>
      <c r="B102" s="36" t="s">
        <v>298</v>
      </c>
      <c r="C102" s="290">
        <v>99337</v>
      </c>
      <c r="D102" s="38"/>
      <c r="E102" s="39"/>
      <c r="F102" s="12"/>
    </row>
    <row r="103" spans="1:6" x14ac:dyDescent="0.25">
      <c r="A103" s="28" t="s">
        <v>304</v>
      </c>
      <c r="B103" s="36" t="s">
        <v>298</v>
      </c>
      <c r="C103" s="37" t="s">
        <v>1354</v>
      </c>
      <c r="D103" s="38"/>
      <c r="E103" s="39"/>
      <c r="F103" s="12"/>
    </row>
    <row r="104" spans="1:6" x14ac:dyDescent="0.25">
      <c r="A104" s="28" t="s">
        <v>305</v>
      </c>
      <c r="B104" s="36" t="s">
        <v>298</v>
      </c>
      <c r="C104" s="291" t="s">
        <v>1360</v>
      </c>
      <c r="D104" s="38"/>
      <c r="E104" s="39"/>
      <c r="F104" s="12"/>
    </row>
    <row r="105" spans="1:6" x14ac:dyDescent="0.25">
      <c r="A105" s="28" t="s">
        <v>306</v>
      </c>
      <c r="B105" s="36" t="s">
        <v>298</v>
      </c>
      <c r="C105" s="291" t="s">
        <v>1355</v>
      </c>
      <c r="D105" s="38"/>
      <c r="E105" s="39"/>
      <c r="F105" s="12"/>
    </row>
    <row r="106" spans="1:6" x14ac:dyDescent="0.25">
      <c r="A106" s="28" t="s">
        <v>307</v>
      </c>
      <c r="B106" s="36" t="s">
        <v>298</v>
      </c>
      <c r="C106" s="37" t="s">
        <v>1356</v>
      </c>
      <c r="D106" s="38"/>
      <c r="E106" s="39"/>
      <c r="F106" s="12"/>
    </row>
    <row r="107" spans="1:6" x14ac:dyDescent="0.25">
      <c r="A107" s="28" t="s">
        <v>308</v>
      </c>
      <c r="B107" s="36" t="s">
        <v>298</v>
      </c>
      <c r="C107" s="294" t="s">
        <v>1357</v>
      </c>
      <c r="D107" s="38"/>
      <c r="E107" s="39"/>
      <c r="F107" s="12"/>
    </row>
    <row r="108" spans="1:6" x14ac:dyDescent="0.25">
      <c r="A108" s="28" t="s">
        <v>309</v>
      </c>
      <c r="B108" s="36" t="s">
        <v>298</v>
      </c>
      <c r="C108" s="294" t="s">
        <v>1358</v>
      </c>
      <c r="D108" s="38"/>
      <c r="E108" s="39"/>
      <c r="F108" s="12"/>
    </row>
    <row r="109" spans="1:6" x14ac:dyDescent="0.25">
      <c r="A109" s="40" t="s">
        <v>310</v>
      </c>
      <c r="B109" s="36" t="s">
        <v>298</v>
      </c>
      <c r="C109" s="37"/>
      <c r="D109" s="38"/>
      <c r="E109" s="39"/>
      <c r="F109" s="12"/>
    </row>
    <row r="110" spans="1:6" x14ac:dyDescent="0.25">
      <c r="A110" s="40" t="s">
        <v>311</v>
      </c>
      <c r="B110" s="36" t="s">
        <v>298</v>
      </c>
      <c r="C110" s="37"/>
      <c r="D110" s="38"/>
      <c r="E110" s="39"/>
      <c r="F110" s="12"/>
    </row>
    <row r="111" spans="1:6" x14ac:dyDescent="0.25">
      <c r="A111" s="34" t="s">
        <v>312</v>
      </c>
      <c r="B111" s="34"/>
      <c r="C111" s="34"/>
      <c r="D111" s="34"/>
      <c r="E111" s="34"/>
    </row>
    <row r="112" spans="1:6" x14ac:dyDescent="0.25">
      <c r="A112" s="41" t="s">
        <v>313</v>
      </c>
      <c r="B112" s="41"/>
      <c r="C112" s="41"/>
      <c r="D112" s="41"/>
      <c r="E112" s="41"/>
    </row>
    <row r="113" spans="1:5" x14ac:dyDescent="0.25">
      <c r="A113" s="16" t="s">
        <v>302</v>
      </c>
      <c r="B113" s="42" t="s">
        <v>298</v>
      </c>
      <c r="C113" s="43"/>
      <c r="D113" s="16"/>
      <c r="E113" s="16"/>
    </row>
    <row r="114" spans="1:5" x14ac:dyDescent="0.25">
      <c r="A114" s="16" t="s">
        <v>304</v>
      </c>
      <c r="B114" s="42" t="s">
        <v>298</v>
      </c>
      <c r="C114" s="43"/>
      <c r="D114" s="16"/>
      <c r="E114" s="16"/>
    </row>
    <row r="115" spans="1:5" x14ac:dyDescent="0.25">
      <c r="A115" s="16" t="s">
        <v>314</v>
      </c>
      <c r="B115" s="42" t="s">
        <v>298</v>
      </c>
      <c r="C115" s="43"/>
      <c r="D115" s="16"/>
      <c r="E115" s="16"/>
    </row>
    <row r="116" spans="1:5" x14ac:dyDescent="0.25">
      <c r="A116" s="41" t="s">
        <v>315</v>
      </c>
      <c r="B116" s="41"/>
      <c r="C116" s="41"/>
      <c r="D116" s="41"/>
      <c r="E116" s="41"/>
    </row>
    <row r="117" spans="1:5" x14ac:dyDescent="0.25">
      <c r="A117" s="16" t="s">
        <v>316</v>
      </c>
      <c r="B117" s="42" t="s">
        <v>298</v>
      </c>
      <c r="C117" s="43"/>
      <c r="D117" s="16"/>
      <c r="E117" s="16"/>
    </row>
    <row r="118" spans="1:5" x14ac:dyDescent="0.25">
      <c r="A118" s="16" t="s">
        <v>159</v>
      </c>
      <c r="B118" s="42" t="s">
        <v>298</v>
      </c>
      <c r="C118" s="214"/>
      <c r="D118" s="16"/>
      <c r="E118" s="16"/>
    </row>
    <row r="119" spans="1:5" x14ac:dyDescent="0.25">
      <c r="A119" s="41" t="s">
        <v>317</v>
      </c>
      <c r="B119" s="41"/>
      <c r="C119" s="41"/>
      <c r="D119" s="41"/>
      <c r="E119" s="41"/>
    </row>
    <row r="120" spans="1:5" x14ac:dyDescent="0.25">
      <c r="A120" s="16" t="s">
        <v>318</v>
      </c>
      <c r="B120" s="42" t="s">
        <v>298</v>
      </c>
      <c r="C120" s="43"/>
      <c r="D120" s="16"/>
      <c r="E120" s="16"/>
    </row>
    <row r="121" spans="1:5" x14ac:dyDescent="0.25">
      <c r="A121" s="16" t="s">
        <v>319</v>
      </c>
      <c r="B121" s="42" t="s">
        <v>298</v>
      </c>
      <c r="C121" s="43"/>
      <c r="D121" s="16"/>
      <c r="E121" s="16"/>
    </row>
    <row r="122" spans="1:5" x14ac:dyDescent="0.25">
      <c r="A122" s="16" t="s">
        <v>320</v>
      </c>
      <c r="B122" s="42" t="s">
        <v>298</v>
      </c>
      <c r="C122" s="43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321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25">
      <c r="A127" s="16" t="s">
        <v>324</v>
      </c>
      <c r="B127" s="42" t="s">
        <v>298</v>
      </c>
      <c r="C127" s="215">
        <v>5540</v>
      </c>
      <c r="D127" s="46">
        <v>21003</v>
      </c>
      <c r="E127" s="16"/>
    </row>
    <row r="128" spans="1:5" x14ac:dyDescent="0.25">
      <c r="A128" s="16" t="s">
        <v>325</v>
      </c>
      <c r="B128" s="42" t="s">
        <v>298</v>
      </c>
      <c r="C128" s="215"/>
      <c r="D128" s="46"/>
      <c r="E128" s="16"/>
    </row>
    <row r="129" spans="1:5" x14ac:dyDescent="0.25">
      <c r="A129" s="16" t="s">
        <v>326</v>
      </c>
      <c r="B129" s="42" t="s">
        <v>298</v>
      </c>
      <c r="C129" s="43"/>
      <c r="D129" s="46"/>
      <c r="E129" s="16"/>
    </row>
    <row r="130" spans="1:5" x14ac:dyDescent="0.25">
      <c r="A130" s="16" t="s">
        <v>327</v>
      </c>
      <c r="B130" s="42" t="s">
        <v>298</v>
      </c>
      <c r="C130" s="43">
        <v>1358</v>
      </c>
      <c r="D130" s="46">
        <v>2034</v>
      </c>
      <c r="E130" s="16"/>
    </row>
    <row r="131" spans="1:5" x14ac:dyDescent="0.25">
      <c r="A131" s="22" t="s">
        <v>328</v>
      </c>
      <c r="B131" s="16"/>
      <c r="C131" s="17" t="s">
        <v>194</v>
      </c>
      <c r="D131" s="16"/>
      <c r="E131" s="16"/>
    </row>
    <row r="132" spans="1:5" x14ac:dyDescent="0.25">
      <c r="A132" s="16" t="s">
        <v>329</v>
      </c>
      <c r="B132" s="42" t="s">
        <v>298</v>
      </c>
      <c r="C132" s="43">
        <v>14</v>
      </c>
      <c r="D132" s="16"/>
      <c r="E132" s="16"/>
    </row>
    <row r="133" spans="1:5" x14ac:dyDescent="0.25">
      <c r="A133" s="16" t="s">
        <v>330</v>
      </c>
      <c r="B133" s="42" t="s">
        <v>298</v>
      </c>
      <c r="C133" s="43">
        <v>0</v>
      </c>
      <c r="D133" s="16"/>
      <c r="E133" s="16"/>
    </row>
    <row r="134" spans="1:5" x14ac:dyDescent="0.25">
      <c r="A134" s="16" t="s">
        <v>331</v>
      </c>
      <c r="B134" s="42" t="s">
        <v>298</v>
      </c>
      <c r="C134" s="207">
        <v>70</v>
      </c>
      <c r="D134" s="16"/>
      <c r="E134" s="16"/>
    </row>
    <row r="135" spans="1:5" x14ac:dyDescent="0.25">
      <c r="A135" s="16" t="s">
        <v>332</v>
      </c>
      <c r="B135" s="42" t="s">
        <v>298</v>
      </c>
      <c r="C135" s="43">
        <v>0</v>
      </c>
      <c r="D135" s="16"/>
      <c r="E135" s="16"/>
    </row>
    <row r="136" spans="1:5" x14ac:dyDescent="0.25">
      <c r="A136" s="16" t="s">
        <v>333</v>
      </c>
      <c r="B136" s="42" t="s">
        <v>298</v>
      </c>
      <c r="C136" s="43">
        <v>17</v>
      </c>
      <c r="D136" s="16"/>
      <c r="E136" s="16"/>
    </row>
    <row r="137" spans="1:5" x14ac:dyDescent="0.25">
      <c r="A137" s="16" t="s">
        <v>334</v>
      </c>
      <c r="B137" s="42" t="s">
        <v>298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298</v>
      </c>
      <c r="C138" s="43">
        <v>0</v>
      </c>
      <c r="D138" s="16"/>
      <c r="E138" s="16"/>
    </row>
    <row r="139" spans="1:5" x14ac:dyDescent="0.25">
      <c r="A139" s="16" t="s">
        <v>335</v>
      </c>
      <c r="B139" s="42" t="s">
        <v>298</v>
      </c>
      <c r="C139" s="215">
        <v>0</v>
      </c>
      <c r="D139" s="16"/>
      <c r="E139" s="16"/>
    </row>
    <row r="140" spans="1:5" x14ac:dyDescent="0.25">
      <c r="A140" s="16" t="s">
        <v>336</v>
      </c>
      <c r="B140" s="42"/>
      <c r="C140" s="43">
        <v>0</v>
      </c>
      <c r="D140" s="16"/>
      <c r="E140" s="16"/>
    </row>
    <row r="141" spans="1:5" x14ac:dyDescent="0.25">
      <c r="A141" s="16" t="s">
        <v>326</v>
      </c>
      <c r="B141" s="42" t="s">
        <v>298</v>
      </c>
      <c r="C141" s="43">
        <v>0</v>
      </c>
      <c r="D141" s="16"/>
      <c r="E141" s="16"/>
    </row>
    <row r="142" spans="1:5" x14ac:dyDescent="0.25">
      <c r="A142" s="16" t="s">
        <v>337</v>
      </c>
      <c r="B142" s="42" t="s">
        <v>298</v>
      </c>
      <c r="C142" s="43">
        <v>10</v>
      </c>
      <c r="D142" s="16"/>
      <c r="E142" s="16"/>
    </row>
    <row r="143" spans="1:5" x14ac:dyDescent="0.25">
      <c r="A143" s="16" t="s">
        <v>338</v>
      </c>
      <c r="B143" s="16"/>
      <c r="C143" s="23"/>
      <c r="D143" s="16"/>
      <c r="E143" s="28">
        <f>SUM(C132:C142)</f>
        <v>111</v>
      </c>
    </row>
    <row r="144" spans="1:5" x14ac:dyDescent="0.25">
      <c r="A144" s="16" t="s">
        <v>339</v>
      </c>
      <c r="B144" s="42" t="s">
        <v>298</v>
      </c>
      <c r="C144" s="215">
        <v>111</v>
      </c>
      <c r="D144" s="16"/>
      <c r="E144" s="16"/>
    </row>
    <row r="145" spans="1:6" x14ac:dyDescent="0.25">
      <c r="A145" s="16" t="s">
        <v>340</v>
      </c>
      <c r="B145" s="42" t="s">
        <v>298</v>
      </c>
      <c r="C145" s="43">
        <v>10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341</v>
      </c>
      <c r="B147" s="42" t="s">
        <v>298</v>
      </c>
      <c r="C147" s="215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342</v>
      </c>
      <c r="B152" s="45"/>
      <c r="C152" s="45"/>
      <c r="D152" s="45"/>
      <c r="E152" s="45"/>
    </row>
    <row r="153" spans="1:6" x14ac:dyDescent="0.25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 x14ac:dyDescent="0.25">
      <c r="A154" s="16" t="s">
        <v>323</v>
      </c>
      <c r="B154" s="46">
        <v>1835</v>
      </c>
      <c r="C154" s="46">
        <v>2022</v>
      </c>
      <c r="D154" s="46">
        <v>1683</v>
      </c>
      <c r="E154" s="28">
        <f>SUM(B154:D154)</f>
        <v>5540</v>
      </c>
    </row>
    <row r="155" spans="1:6" x14ac:dyDescent="0.25">
      <c r="A155" s="16" t="s">
        <v>242</v>
      </c>
      <c r="B155" s="46">
        <v>11572</v>
      </c>
      <c r="C155" s="46">
        <v>5402</v>
      </c>
      <c r="D155" s="46">
        <v>4029</v>
      </c>
      <c r="E155" s="28">
        <f>SUM(B155:D155)</f>
        <v>21003</v>
      </c>
    </row>
    <row r="156" spans="1:6" x14ac:dyDescent="0.25">
      <c r="A156" s="16" t="s">
        <v>346</v>
      </c>
      <c r="B156" s="46">
        <v>31588</v>
      </c>
      <c r="C156" s="46">
        <v>24698</v>
      </c>
      <c r="D156" s="46">
        <v>30574</v>
      </c>
      <c r="E156" s="28">
        <f>SUM(B156:D156)</f>
        <v>86860</v>
      </c>
    </row>
    <row r="157" spans="1:6" x14ac:dyDescent="0.25">
      <c r="A157" s="16" t="s">
        <v>287</v>
      </c>
      <c r="B157" s="46">
        <v>114874951</v>
      </c>
      <c r="C157" s="46">
        <v>52106942</v>
      </c>
      <c r="D157" s="46">
        <v>49276918</v>
      </c>
      <c r="E157" s="28">
        <f>SUM(B157:D157)</f>
        <v>216258811</v>
      </c>
      <c r="F157" s="14"/>
    </row>
    <row r="158" spans="1:6" x14ac:dyDescent="0.25">
      <c r="A158" s="16" t="s">
        <v>288</v>
      </c>
      <c r="B158" s="46">
        <v>169510619</v>
      </c>
      <c r="C158" s="46">
        <v>88954903</v>
      </c>
      <c r="D158" s="46">
        <v>131173213</v>
      </c>
      <c r="E158" s="28">
        <f>SUM(B158:D158)</f>
        <v>389638735</v>
      </c>
      <c r="F158" s="14"/>
    </row>
    <row r="159" spans="1:6" x14ac:dyDescent="0.25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 x14ac:dyDescent="0.25">
      <c r="A160" s="16" t="s">
        <v>323</v>
      </c>
      <c r="B160" s="278"/>
      <c r="C160" s="278"/>
      <c r="D160" s="278"/>
      <c r="E160" s="28">
        <f>SUM(B160:D160)</f>
        <v>0</v>
      </c>
    </row>
    <row r="161" spans="1:5" x14ac:dyDescent="0.25">
      <c r="A161" s="16" t="s">
        <v>242</v>
      </c>
      <c r="B161" s="278"/>
      <c r="C161" s="278"/>
      <c r="D161" s="278"/>
      <c r="E161" s="28">
        <f>SUM(B161:D161)</f>
        <v>0</v>
      </c>
    </row>
    <row r="162" spans="1:5" x14ac:dyDescent="0.25">
      <c r="A162" s="16" t="s">
        <v>346</v>
      </c>
      <c r="B162" s="46"/>
      <c r="C162" s="46"/>
      <c r="D162" s="46"/>
      <c r="E162" s="28">
        <f>SUM(B162:D162)</f>
        <v>0</v>
      </c>
    </row>
    <row r="163" spans="1:5" x14ac:dyDescent="0.25">
      <c r="A163" s="16" t="s">
        <v>287</v>
      </c>
      <c r="B163" s="278"/>
      <c r="C163" s="278"/>
      <c r="D163" s="278"/>
      <c r="E163" s="28">
        <f>SUM(B163:D163)</f>
        <v>0</v>
      </c>
    </row>
    <row r="164" spans="1:5" x14ac:dyDescent="0.25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2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 x14ac:dyDescent="0.25">
      <c r="A166" s="16" t="s">
        <v>323</v>
      </c>
      <c r="B166" s="46"/>
      <c r="C166" s="46"/>
      <c r="D166" s="46"/>
      <c r="E166" s="28">
        <f>SUM(B166:D166)</f>
        <v>0</v>
      </c>
    </row>
    <row r="167" spans="1:5" x14ac:dyDescent="0.25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25">
      <c r="A168" s="16" t="s">
        <v>346</v>
      </c>
      <c r="B168" s="46"/>
      <c r="C168" s="46"/>
      <c r="D168" s="46"/>
      <c r="E168" s="28">
        <f>SUM(B168:D168)</f>
        <v>0</v>
      </c>
    </row>
    <row r="169" spans="1:5" x14ac:dyDescent="0.25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25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 x14ac:dyDescent="0.25">
      <c r="A173" s="21" t="s">
        <v>352</v>
      </c>
      <c r="B173" s="278"/>
      <c r="C173" s="278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353</v>
      </c>
      <c r="B179" s="34"/>
      <c r="C179" s="34"/>
      <c r="D179" s="34"/>
      <c r="E179" s="34"/>
    </row>
    <row r="180" spans="1:5" x14ac:dyDescent="0.25">
      <c r="A180" s="41" t="s">
        <v>354</v>
      </c>
      <c r="B180" s="41"/>
      <c r="C180" s="41"/>
      <c r="D180" s="41"/>
      <c r="E180" s="41"/>
    </row>
    <row r="181" spans="1:5" x14ac:dyDescent="0.25">
      <c r="A181" s="16" t="s">
        <v>355</v>
      </c>
      <c r="B181" s="42" t="s">
        <v>298</v>
      </c>
      <c r="C181" s="43">
        <v>4738582</v>
      </c>
      <c r="D181" s="16"/>
      <c r="E181" s="16"/>
    </row>
    <row r="182" spans="1:5" x14ac:dyDescent="0.25">
      <c r="A182" s="16" t="s">
        <v>356</v>
      </c>
      <c r="B182" s="42" t="s">
        <v>298</v>
      </c>
      <c r="C182" s="43">
        <v>423825</v>
      </c>
      <c r="D182" s="16"/>
      <c r="E182" s="16"/>
    </row>
    <row r="183" spans="1:5" x14ac:dyDescent="0.25">
      <c r="A183" s="21" t="s">
        <v>357</v>
      </c>
      <c r="B183" s="42" t="s">
        <v>298</v>
      </c>
      <c r="C183" s="43">
        <v>1234724</v>
      </c>
      <c r="D183" s="16"/>
      <c r="E183" s="16"/>
    </row>
    <row r="184" spans="1:5" x14ac:dyDescent="0.25">
      <c r="A184" s="16" t="s">
        <v>358</v>
      </c>
      <c r="B184" s="42" t="s">
        <v>298</v>
      </c>
      <c r="C184" s="43">
        <v>4485739</v>
      </c>
      <c r="D184" s="16"/>
      <c r="E184" s="16"/>
    </row>
    <row r="185" spans="1:5" x14ac:dyDescent="0.25">
      <c r="A185" s="16" t="s">
        <v>359</v>
      </c>
      <c r="B185" s="42" t="s">
        <v>298</v>
      </c>
      <c r="C185" s="43">
        <v>246536</v>
      </c>
      <c r="D185" s="16"/>
      <c r="E185" s="16"/>
    </row>
    <row r="186" spans="1:5" x14ac:dyDescent="0.25">
      <c r="A186" s="16" t="s">
        <v>360</v>
      </c>
      <c r="B186" s="42" t="s">
        <v>298</v>
      </c>
      <c r="C186" s="43">
        <v>1583744</v>
      </c>
      <c r="D186" s="16"/>
      <c r="E186" s="16"/>
    </row>
    <row r="187" spans="1:5" x14ac:dyDescent="0.25">
      <c r="A187" s="16" t="s">
        <v>361</v>
      </c>
      <c r="B187" s="42" t="s">
        <v>298</v>
      </c>
      <c r="C187" s="43">
        <v>60833</v>
      </c>
      <c r="D187" s="16"/>
      <c r="E187" s="16"/>
    </row>
    <row r="188" spans="1:5" x14ac:dyDescent="0.25">
      <c r="A188" s="16" t="s">
        <v>361</v>
      </c>
      <c r="B188" s="42" t="s">
        <v>298</v>
      </c>
      <c r="C188" s="43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12773983</v>
      </c>
      <c r="E189" s="16"/>
    </row>
    <row r="190" spans="1:5" x14ac:dyDescent="0.25">
      <c r="A190" s="41" t="s">
        <v>362</v>
      </c>
      <c r="B190" s="41"/>
      <c r="C190" s="41"/>
      <c r="D190" s="41"/>
      <c r="E190" s="41"/>
    </row>
    <row r="191" spans="1:5" x14ac:dyDescent="0.25">
      <c r="A191" s="16" t="s">
        <v>363</v>
      </c>
      <c r="B191" s="42" t="s">
        <v>298</v>
      </c>
      <c r="C191" s="43">
        <v>327907</v>
      </c>
      <c r="D191" s="16"/>
      <c r="E191" s="16"/>
    </row>
    <row r="192" spans="1:5" x14ac:dyDescent="0.25">
      <c r="A192" s="16" t="s">
        <v>364</v>
      </c>
      <c r="B192" s="42" t="s">
        <v>298</v>
      </c>
      <c r="C192" s="43">
        <v>25009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352916</v>
      </c>
      <c r="E193" s="16"/>
    </row>
    <row r="194" spans="1:5" x14ac:dyDescent="0.25">
      <c r="A194" s="41" t="s">
        <v>365</v>
      </c>
      <c r="B194" s="41"/>
      <c r="C194" s="41"/>
      <c r="D194" s="41"/>
      <c r="E194" s="41"/>
    </row>
    <row r="195" spans="1:5" x14ac:dyDescent="0.25">
      <c r="A195" s="16" t="s">
        <v>366</v>
      </c>
      <c r="B195" s="42" t="s">
        <v>298</v>
      </c>
      <c r="C195" s="43">
        <v>1301120</v>
      </c>
      <c r="D195" s="16"/>
      <c r="E195" s="16"/>
    </row>
    <row r="196" spans="1:5" x14ac:dyDescent="0.25">
      <c r="A196" s="16" t="s">
        <v>367</v>
      </c>
      <c r="B196" s="42" t="s">
        <v>298</v>
      </c>
      <c r="C196" s="43">
        <v>25009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1326129</v>
      </c>
      <c r="E197" s="16"/>
    </row>
    <row r="198" spans="1:5" x14ac:dyDescent="0.25">
      <c r="A198" s="41" t="s">
        <v>368</v>
      </c>
      <c r="B198" s="41"/>
      <c r="C198" s="41"/>
      <c r="D198" s="41"/>
      <c r="E198" s="41"/>
    </row>
    <row r="199" spans="1:5" x14ac:dyDescent="0.25">
      <c r="A199" s="16" t="s">
        <v>369</v>
      </c>
      <c r="B199" s="42" t="s">
        <v>298</v>
      </c>
      <c r="C199" s="43">
        <v>668783</v>
      </c>
      <c r="D199" s="16"/>
      <c r="E199" s="16"/>
    </row>
    <row r="200" spans="1:5" x14ac:dyDescent="0.25">
      <c r="A200" s="16" t="s">
        <v>370</v>
      </c>
      <c r="B200" s="42" t="s">
        <v>298</v>
      </c>
      <c r="C200" s="43">
        <v>6813192</v>
      </c>
      <c r="D200" s="16"/>
      <c r="E200" s="16"/>
    </row>
    <row r="201" spans="1:5" x14ac:dyDescent="0.25">
      <c r="A201" s="16" t="s">
        <v>159</v>
      </c>
      <c r="B201" s="42" t="s">
        <v>298</v>
      </c>
      <c r="C201" s="43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7481975</v>
      </c>
      <c r="E202" s="16"/>
    </row>
    <row r="203" spans="1:5" x14ac:dyDescent="0.25">
      <c r="A203" s="41" t="s">
        <v>371</v>
      </c>
      <c r="B203" s="41"/>
      <c r="C203" s="41"/>
      <c r="D203" s="41"/>
      <c r="E203" s="41"/>
    </row>
    <row r="204" spans="1:5" x14ac:dyDescent="0.25">
      <c r="A204" s="16" t="s">
        <v>372</v>
      </c>
      <c r="B204" s="42" t="s">
        <v>298</v>
      </c>
      <c r="C204" s="43"/>
      <c r="D204" s="16"/>
      <c r="E204" s="16"/>
    </row>
    <row r="205" spans="1:5" x14ac:dyDescent="0.25">
      <c r="A205" s="16" t="s">
        <v>373</v>
      </c>
      <c r="B205" s="42" t="s">
        <v>298</v>
      </c>
      <c r="C205" s="43">
        <v>3104507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3104507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374</v>
      </c>
      <c r="B208" s="34"/>
      <c r="C208" s="34"/>
      <c r="D208" s="34"/>
      <c r="E208" s="34"/>
    </row>
    <row r="209" spans="1:5" x14ac:dyDescent="0.25">
      <c r="A209" s="45" t="s">
        <v>375</v>
      </c>
      <c r="B209" s="34"/>
      <c r="C209" s="34"/>
      <c r="D209" s="34"/>
      <c r="E209" s="34"/>
    </row>
    <row r="210" spans="1:5" x14ac:dyDescent="0.2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25">
      <c r="A211" s="16" t="s">
        <v>380</v>
      </c>
      <c r="B211" s="43">
        <v>13131162.960000005</v>
      </c>
      <c r="C211" s="43"/>
      <c r="D211" s="46">
        <v>1400000</v>
      </c>
      <c r="E211" s="28">
        <f t="shared" ref="E211:E219" si="22">SUM(B211:C211)-D211</f>
        <v>11731162.960000005</v>
      </c>
    </row>
    <row r="212" spans="1:5" x14ac:dyDescent="0.25">
      <c r="A212" s="16" t="s">
        <v>381</v>
      </c>
      <c r="B212" s="43">
        <v>1013700.79</v>
      </c>
      <c r="C212" s="43"/>
      <c r="D212" s="46">
        <v>597392.6</v>
      </c>
      <c r="E212" s="28">
        <f t="shared" si="22"/>
        <v>416308.19000000006</v>
      </c>
    </row>
    <row r="213" spans="1:5" x14ac:dyDescent="0.25">
      <c r="A213" s="16" t="s">
        <v>382</v>
      </c>
      <c r="B213" s="43">
        <v>18917766.530000009</v>
      </c>
      <c r="C213" s="43">
        <v>30144.45</v>
      </c>
      <c r="D213" s="46">
        <v>2543199.83</v>
      </c>
      <c r="E213" s="28">
        <f t="shared" si="22"/>
        <v>16404711.150000008</v>
      </c>
    </row>
    <row r="214" spans="1:5" x14ac:dyDescent="0.25">
      <c r="A214" s="16" t="s">
        <v>383</v>
      </c>
      <c r="B214" s="43">
        <v>0</v>
      </c>
      <c r="C214" s="43"/>
      <c r="D214" s="46"/>
      <c r="E214" s="28">
        <f t="shared" si="22"/>
        <v>0</v>
      </c>
    </row>
    <row r="215" spans="1:5" x14ac:dyDescent="0.25">
      <c r="A215" s="16" t="s">
        <v>384</v>
      </c>
      <c r="B215" s="43">
        <v>0</v>
      </c>
      <c r="C215" s="43">
        <v>678036.57</v>
      </c>
      <c r="D215" s="46"/>
      <c r="E215" s="28">
        <f t="shared" si="22"/>
        <v>678036.57</v>
      </c>
    </row>
    <row r="216" spans="1:5" x14ac:dyDescent="0.25">
      <c r="A216" s="16" t="s">
        <v>385</v>
      </c>
      <c r="B216" s="43">
        <v>18426324.280000001</v>
      </c>
      <c r="C216" s="43">
        <v>5372709.6799999997</v>
      </c>
      <c r="D216" s="46">
        <v>2283347.96</v>
      </c>
      <c r="E216" s="28">
        <f t="shared" si="22"/>
        <v>21515686</v>
      </c>
    </row>
    <row r="217" spans="1:5" x14ac:dyDescent="0.25">
      <c r="A217" s="16" t="s">
        <v>386</v>
      </c>
      <c r="B217" s="43">
        <v>0</v>
      </c>
      <c r="C217" s="43"/>
      <c r="D217" s="46"/>
      <c r="E217" s="28">
        <f t="shared" si="22"/>
        <v>0</v>
      </c>
    </row>
    <row r="218" spans="1:5" x14ac:dyDescent="0.25">
      <c r="A218" s="16" t="s">
        <v>387</v>
      </c>
      <c r="B218" s="43">
        <v>15814662.359999999</v>
      </c>
      <c r="C218" s="43">
        <v>21703270.620000001</v>
      </c>
      <c r="D218" s="46">
        <v>8888435.9800000004</v>
      </c>
      <c r="E218" s="28">
        <f t="shared" si="22"/>
        <v>28629497.000000004</v>
      </c>
    </row>
    <row r="219" spans="1:5" x14ac:dyDescent="0.25">
      <c r="A219" s="16" t="s">
        <v>388</v>
      </c>
      <c r="B219" s="43">
        <v>18471374.979999997</v>
      </c>
      <c r="C219" s="43">
        <v>8854251.3500000015</v>
      </c>
      <c r="D219" s="46">
        <v>26348928.430000003</v>
      </c>
      <c r="E219" s="28">
        <f t="shared" si="22"/>
        <v>976697.89999999478</v>
      </c>
    </row>
    <row r="220" spans="1:5" x14ac:dyDescent="0.25">
      <c r="A220" s="16" t="s">
        <v>230</v>
      </c>
      <c r="B220" s="28">
        <f>SUM(B211:B219)</f>
        <v>85774991.900000006</v>
      </c>
      <c r="C220" s="237">
        <f>SUM(C211:C219)</f>
        <v>36638412.670000002</v>
      </c>
      <c r="D220" s="28">
        <f>SUM(D211:D219)</f>
        <v>42061304.800000004</v>
      </c>
      <c r="E220" s="28">
        <f>SUM(E211:E219)</f>
        <v>80352099.770000011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389</v>
      </c>
      <c r="B222" s="45"/>
      <c r="C222" s="45"/>
      <c r="D222" s="45"/>
      <c r="E222" s="45"/>
    </row>
    <row r="223" spans="1:5" x14ac:dyDescent="0.2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25">
      <c r="A224" s="16" t="s">
        <v>380</v>
      </c>
      <c r="B224" s="51"/>
      <c r="C224" s="50"/>
      <c r="D224" s="51"/>
      <c r="E224" s="16"/>
    </row>
    <row r="225" spans="1:6" x14ac:dyDescent="0.25">
      <c r="A225" s="16" t="s">
        <v>381</v>
      </c>
      <c r="B225" s="43">
        <v>959348.39</v>
      </c>
      <c r="C225" s="43">
        <v>49503.24</v>
      </c>
      <c r="D225" s="46">
        <v>597392.6</v>
      </c>
      <c r="E225" s="28">
        <f t="shared" ref="E225:E232" si="23">SUM(B225:C225)-D225</f>
        <v>411459.03</v>
      </c>
    </row>
    <row r="226" spans="1:6" x14ac:dyDescent="0.25">
      <c r="A226" s="16" t="s">
        <v>382</v>
      </c>
      <c r="B226" s="43">
        <v>3296124.51</v>
      </c>
      <c r="C226" s="43">
        <v>231671.18</v>
      </c>
      <c r="D226" s="46">
        <v>2543199.83</v>
      </c>
      <c r="E226" s="28">
        <f t="shared" si="23"/>
        <v>984595.85999999987</v>
      </c>
    </row>
    <row r="227" spans="1:6" x14ac:dyDescent="0.25">
      <c r="A227" s="16" t="s">
        <v>383</v>
      </c>
      <c r="B227" s="43">
        <v>0</v>
      </c>
      <c r="C227" s="43"/>
      <c r="D227" s="46"/>
      <c r="E227" s="28">
        <f t="shared" si="23"/>
        <v>0</v>
      </c>
    </row>
    <row r="228" spans="1:6" x14ac:dyDescent="0.25">
      <c r="A228" s="16" t="s">
        <v>384</v>
      </c>
      <c r="B228" s="43">
        <v>0</v>
      </c>
      <c r="C228" s="43"/>
      <c r="D228" s="46"/>
      <c r="E228" s="28">
        <f t="shared" si="23"/>
        <v>0</v>
      </c>
    </row>
    <row r="229" spans="1:6" x14ac:dyDescent="0.25">
      <c r="A229" s="16" t="s">
        <v>385</v>
      </c>
      <c r="B229" s="43">
        <v>9349688.2299999986</v>
      </c>
      <c r="C229" s="43">
        <v>2801816.4699999997</v>
      </c>
      <c r="D229" s="46">
        <v>2283347.96</v>
      </c>
      <c r="E229" s="28">
        <f t="shared" si="23"/>
        <v>9868156.7399999984</v>
      </c>
    </row>
    <row r="230" spans="1:6" x14ac:dyDescent="0.25">
      <c r="A230" s="16" t="s">
        <v>386</v>
      </c>
      <c r="B230" s="43">
        <v>0</v>
      </c>
      <c r="C230" s="43"/>
      <c r="D230" s="46"/>
      <c r="E230" s="28">
        <f t="shared" si="23"/>
        <v>0</v>
      </c>
    </row>
    <row r="231" spans="1:6" x14ac:dyDescent="0.25">
      <c r="A231" s="16" t="s">
        <v>387</v>
      </c>
      <c r="B231" s="43">
        <v>9551207.2400000002</v>
      </c>
      <c r="C231" s="43">
        <v>329015.65999999997</v>
      </c>
      <c r="D231" s="46">
        <v>8888435.9800000004</v>
      </c>
      <c r="E231" s="28">
        <f t="shared" si="23"/>
        <v>991786.91999999993</v>
      </c>
    </row>
    <row r="232" spans="1:6" x14ac:dyDescent="0.25">
      <c r="A232" s="16" t="s">
        <v>388</v>
      </c>
      <c r="B232" s="43"/>
      <c r="C232" s="43"/>
      <c r="D232" s="46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23156368.369999997</v>
      </c>
      <c r="C233" s="237">
        <f>SUM(C224:C232)</f>
        <v>3412006.55</v>
      </c>
      <c r="D233" s="28">
        <f>SUM(D224:D232)</f>
        <v>14312376.370000001</v>
      </c>
      <c r="E233" s="28">
        <f>SUM(E224:E232)</f>
        <v>12255998.549999999</v>
      </c>
    </row>
    <row r="234" spans="1:6" x14ac:dyDescent="0.25">
      <c r="A234" s="16"/>
      <c r="B234" s="16"/>
      <c r="C234" s="23"/>
      <c r="D234" s="16"/>
      <c r="E234" s="16"/>
      <c r="F234" s="11">
        <f>E220-E233</f>
        <v>68096101.220000014</v>
      </c>
    </row>
    <row r="235" spans="1:6" x14ac:dyDescent="0.25">
      <c r="A235" s="34" t="s">
        <v>390</v>
      </c>
      <c r="B235" s="34"/>
      <c r="C235" s="34"/>
      <c r="D235" s="34"/>
      <c r="E235" s="34"/>
    </row>
    <row r="236" spans="1:6" x14ac:dyDescent="0.25">
      <c r="A236" s="34"/>
      <c r="B236" s="356" t="s">
        <v>391</v>
      </c>
      <c r="C236" s="356"/>
      <c r="D236" s="34"/>
      <c r="E236" s="34"/>
    </row>
    <row r="237" spans="1:6" x14ac:dyDescent="0.25">
      <c r="A237" s="52" t="s">
        <v>391</v>
      </c>
      <c r="B237" s="34"/>
      <c r="C237" s="43">
        <v>7312969</v>
      </c>
      <c r="D237" s="36">
        <f>C237</f>
        <v>7312969</v>
      </c>
      <c r="E237" s="34"/>
    </row>
    <row r="238" spans="1:6" x14ac:dyDescent="0.25">
      <c r="A238" s="41" t="s">
        <v>392</v>
      </c>
      <c r="B238" s="41"/>
      <c r="C238" s="41"/>
      <c r="D238" s="41"/>
      <c r="E238" s="41"/>
    </row>
    <row r="239" spans="1:6" x14ac:dyDescent="0.25">
      <c r="A239" s="16" t="s">
        <v>393</v>
      </c>
      <c r="B239" s="42" t="s">
        <v>298</v>
      </c>
      <c r="C239" s="43">
        <v>218481650</v>
      </c>
      <c r="D239" s="16"/>
      <c r="E239" s="16"/>
    </row>
    <row r="240" spans="1:6" x14ac:dyDescent="0.25">
      <c r="A240" s="16" t="s">
        <v>394</v>
      </c>
      <c r="B240" s="42" t="s">
        <v>298</v>
      </c>
      <c r="C240" s="43">
        <v>114353013</v>
      </c>
      <c r="D240" s="16"/>
      <c r="E240" s="16"/>
    </row>
    <row r="241" spans="1:5" x14ac:dyDescent="0.25">
      <c r="A241" s="16" t="s">
        <v>395</v>
      </c>
      <c r="B241" s="42" t="s">
        <v>298</v>
      </c>
      <c r="C241" s="43">
        <v>6874982</v>
      </c>
      <c r="D241" s="16"/>
      <c r="E241" s="16"/>
    </row>
    <row r="242" spans="1:5" x14ac:dyDescent="0.25">
      <c r="A242" s="16" t="s">
        <v>396</v>
      </c>
      <c r="B242" s="42" t="s">
        <v>298</v>
      </c>
      <c r="C242" s="43">
        <v>6605185</v>
      </c>
      <c r="D242" s="16"/>
      <c r="E242" s="16"/>
    </row>
    <row r="243" spans="1:5" x14ac:dyDescent="0.25">
      <c r="A243" s="16" t="s">
        <v>397</v>
      </c>
      <c r="B243" s="42" t="s">
        <v>298</v>
      </c>
      <c r="C243" s="43">
        <v>88682432</v>
      </c>
      <c r="D243" s="16"/>
      <c r="E243" s="16"/>
    </row>
    <row r="244" spans="1:5" x14ac:dyDescent="0.25">
      <c r="A244" s="16" t="s">
        <v>398</v>
      </c>
      <c r="B244" s="42" t="s">
        <v>298</v>
      </c>
      <c r="C244" s="43"/>
      <c r="D244" s="16"/>
      <c r="E244" s="16"/>
    </row>
    <row r="245" spans="1:5" x14ac:dyDescent="0.25">
      <c r="A245" s="16" t="s">
        <v>399</v>
      </c>
      <c r="B245" s="16"/>
      <c r="C245" s="23"/>
      <c r="D245" s="28">
        <f>SUM(C239:C244)</f>
        <v>434997262</v>
      </c>
      <c r="E245" s="16"/>
    </row>
    <row r="246" spans="1:5" x14ac:dyDescent="0.25">
      <c r="A246" s="41" t="s">
        <v>400</v>
      </c>
      <c r="B246" s="41"/>
      <c r="C246" s="41"/>
      <c r="D246" s="41"/>
      <c r="E246" s="41"/>
    </row>
    <row r="247" spans="1:5" x14ac:dyDescent="0.25">
      <c r="A247" s="22" t="s">
        <v>401</v>
      </c>
      <c r="B247" s="42" t="s">
        <v>298</v>
      </c>
      <c r="C247" s="215">
        <v>3528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402</v>
      </c>
      <c r="B249" s="42" t="s">
        <v>298</v>
      </c>
      <c r="C249" s="43">
        <v>1960035</v>
      </c>
      <c r="D249" s="16"/>
      <c r="E249" s="16"/>
    </row>
    <row r="250" spans="1:5" x14ac:dyDescent="0.25">
      <c r="A250" s="22" t="s">
        <v>403</v>
      </c>
      <c r="B250" s="42" t="s">
        <v>298</v>
      </c>
      <c r="C250" s="43">
        <v>5466581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404</v>
      </c>
      <c r="B252" s="16"/>
      <c r="C252" s="23"/>
      <c r="D252" s="28">
        <f>SUM(C249:C251)</f>
        <v>7426616</v>
      </c>
      <c r="E252" s="16"/>
    </row>
    <row r="253" spans="1:5" x14ac:dyDescent="0.25">
      <c r="A253" s="41" t="s">
        <v>405</v>
      </c>
      <c r="B253" s="41"/>
      <c r="C253" s="41"/>
      <c r="D253" s="41"/>
      <c r="E253" s="41"/>
    </row>
    <row r="254" spans="1:5" x14ac:dyDescent="0.25">
      <c r="A254" s="16" t="s">
        <v>406</v>
      </c>
      <c r="B254" s="42" t="s">
        <v>298</v>
      </c>
      <c r="C254" s="43">
        <v>1521592</v>
      </c>
      <c r="D254" s="16"/>
      <c r="E254" s="16"/>
    </row>
    <row r="255" spans="1:5" x14ac:dyDescent="0.25">
      <c r="A255" s="16" t="s">
        <v>405</v>
      </c>
      <c r="B255" s="42" t="s">
        <v>298</v>
      </c>
      <c r="C255" s="43"/>
      <c r="D255" s="16"/>
      <c r="E255" s="16"/>
    </row>
    <row r="256" spans="1:5" x14ac:dyDescent="0.25">
      <c r="A256" s="16" t="s">
        <v>407</v>
      </c>
      <c r="B256" s="16"/>
      <c r="C256" s="23"/>
      <c r="D256" s="28">
        <f>SUM(C254:C255)</f>
        <v>1521592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408</v>
      </c>
      <c r="B258" s="16"/>
      <c r="C258" s="23"/>
      <c r="D258" s="28">
        <f>D237+D245+D252+D256</f>
        <v>451258439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409</v>
      </c>
      <c r="B264" s="34"/>
      <c r="C264" s="34"/>
      <c r="D264" s="34"/>
      <c r="E264" s="34"/>
    </row>
    <row r="265" spans="1:5" x14ac:dyDescent="0.25">
      <c r="A265" s="41" t="s">
        <v>410</v>
      </c>
      <c r="B265" s="41"/>
      <c r="C265" s="41"/>
      <c r="D265" s="41"/>
      <c r="E265" s="41"/>
    </row>
    <row r="266" spans="1:5" x14ac:dyDescent="0.25">
      <c r="A266" s="16" t="s">
        <v>411</v>
      </c>
      <c r="B266" s="42" t="s">
        <v>298</v>
      </c>
      <c r="C266" s="43">
        <v>-1950365</v>
      </c>
      <c r="D266" s="16"/>
      <c r="E266" s="16"/>
    </row>
    <row r="267" spans="1:5" x14ac:dyDescent="0.25">
      <c r="A267" s="16" t="s">
        <v>412</v>
      </c>
      <c r="B267" s="42" t="s">
        <v>298</v>
      </c>
      <c r="C267" s="43"/>
      <c r="D267" s="16"/>
      <c r="E267" s="16"/>
    </row>
    <row r="268" spans="1:5" x14ac:dyDescent="0.25">
      <c r="A268" s="16" t="s">
        <v>413</v>
      </c>
      <c r="B268" s="42" t="s">
        <v>298</v>
      </c>
      <c r="C268" s="43">
        <v>114876924</v>
      </c>
      <c r="D268" s="16"/>
      <c r="E268" s="16"/>
    </row>
    <row r="269" spans="1:5" x14ac:dyDescent="0.25">
      <c r="A269" s="16" t="s">
        <v>414</v>
      </c>
      <c r="B269" s="42" t="s">
        <v>298</v>
      </c>
      <c r="C269" s="43">
        <v>89778752</v>
      </c>
      <c r="D269" s="16"/>
      <c r="E269" s="16"/>
    </row>
    <row r="270" spans="1:5" x14ac:dyDescent="0.25">
      <c r="A270" s="16" t="s">
        <v>415</v>
      </c>
      <c r="B270" s="42" t="s">
        <v>298</v>
      </c>
      <c r="C270" s="43">
        <v>1895104</v>
      </c>
      <c r="D270" s="16"/>
      <c r="E270" s="16"/>
    </row>
    <row r="271" spans="1:5" x14ac:dyDescent="0.25">
      <c r="A271" s="16" t="s">
        <v>416</v>
      </c>
      <c r="B271" s="42" t="s">
        <v>298</v>
      </c>
      <c r="C271" s="43">
        <v>2399245</v>
      </c>
      <c r="D271" s="16"/>
      <c r="E271" s="16"/>
    </row>
    <row r="272" spans="1:5" x14ac:dyDescent="0.25">
      <c r="A272" s="16" t="s">
        <v>417</v>
      </c>
      <c r="B272" s="42" t="s">
        <v>298</v>
      </c>
      <c r="C272" s="43"/>
      <c r="D272" s="16"/>
      <c r="E272" s="16"/>
    </row>
    <row r="273" spans="1:5" x14ac:dyDescent="0.25">
      <c r="A273" s="16" t="s">
        <v>418</v>
      </c>
      <c r="B273" s="42" t="s">
        <v>298</v>
      </c>
      <c r="C273" s="43">
        <v>4793549</v>
      </c>
      <c r="D273" s="16"/>
      <c r="E273" s="16"/>
    </row>
    <row r="274" spans="1:5" x14ac:dyDescent="0.25">
      <c r="A274" s="16" t="s">
        <v>419</v>
      </c>
      <c r="B274" s="42" t="s">
        <v>298</v>
      </c>
      <c r="C274" s="43">
        <v>4267876</v>
      </c>
      <c r="D274" s="16"/>
      <c r="E274" s="16"/>
    </row>
    <row r="275" spans="1:5" x14ac:dyDescent="0.25">
      <c r="A275" s="16" t="s">
        <v>420</v>
      </c>
      <c r="B275" s="42" t="s">
        <v>298</v>
      </c>
      <c r="C275" s="43"/>
      <c r="D275" s="16"/>
      <c r="E275" s="16"/>
    </row>
    <row r="276" spans="1:5" x14ac:dyDescent="0.25">
      <c r="A276" s="16" t="s">
        <v>421</v>
      </c>
      <c r="B276" s="16"/>
      <c r="C276" s="23"/>
      <c r="D276" s="28">
        <f>SUM(C266:C268)-C269+SUM(C270:C275)</f>
        <v>36503581</v>
      </c>
      <c r="E276" s="16"/>
    </row>
    <row r="277" spans="1:5" x14ac:dyDescent="0.25">
      <c r="A277" s="41" t="s">
        <v>422</v>
      </c>
      <c r="B277" s="41"/>
      <c r="C277" s="41"/>
      <c r="D277" s="41"/>
      <c r="E277" s="41"/>
    </row>
    <row r="278" spans="1:5" x14ac:dyDescent="0.25">
      <c r="A278" s="16" t="s">
        <v>411</v>
      </c>
      <c r="B278" s="42" t="s">
        <v>298</v>
      </c>
      <c r="C278" s="43"/>
      <c r="D278" s="16"/>
      <c r="E278" s="16"/>
    </row>
    <row r="279" spans="1:5" x14ac:dyDescent="0.25">
      <c r="A279" s="16" t="s">
        <v>412</v>
      </c>
      <c r="B279" s="42" t="s">
        <v>298</v>
      </c>
      <c r="C279" s="43"/>
      <c r="D279" s="16"/>
      <c r="E279" s="16"/>
    </row>
    <row r="280" spans="1:5" x14ac:dyDescent="0.25">
      <c r="A280" s="16" t="s">
        <v>423</v>
      </c>
      <c r="B280" s="42" t="s">
        <v>298</v>
      </c>
      <c r="C280" s="43"/>
      <c r="D280" s="16"/>
      <c r="E280" s="16"/>
    </row>
    <row r="281" spans="1:5" x14ac:dyDescent="0.25">
      <c r="A281" s="16" t="s">
        <v>424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425</v>
      </c>
      <c r="B282" s="41"/>
      <c r="C282" s="41"/>
      <c r="D282" s="41"/>
      <c r="E282" s="41"/>
    </row>
    <row r="283" spans="1:5" x14ac:dyDescent="0.25">
      <c r="A283" s="16" t="s">
        <v>380</v>
      </c>
      <c r="B283" s="42" t="s">
        <v>298</v>
      </c>
      <c r="C283" s="43">
        <v>11731163</v>
      </c>
      <c r="D283" s="16"/>
      <c r="E283" s="16"/>
    </row>
    <row r="284" spans="1:5" x14ac:dyDescent="0.25">
      <c r="A284" s="16" t="s">
        <v>381</v>
      </c>
      <c r="B284" s="42" t="s">
        <v>298</v>
      </c>
      <c r="C284" s="43">
        <v>416308</v>
      </c>
      <c r="D284" s="16"/>
      <c r="E284" s="16"/>
    </row>
    <row r="285" spans="1:5" x14ac:dyDescent="0.25">
      <c r="A285" s="16" t="s">
        <v>382</v>
      </c>
      <c r="B285" s="42" t="s">
        <v>298</v>
      </c>
      <c r="C285" s="43">
        <v>16404711</v>
      </c>
      <c r="D285" s="16"/>
      <c r="E285" s="16"/>
    </row>
    <row r="286" spans="1:5" x14ac:dyDescent="0.25">
      <c r="A286" s="16" t="s">
        <v>426</v>
      </c>
      <c r="B286" s="42" t="s">
        <v>298</v>
      </c>
      <c r="C286" s="43"/>
      <c r="D286" s="16"/>
      <c r="E286" s="16"/>
    </row>
    <row r="287" spans="1:5" x14ac:dyDescent="0.25">
      <c r="A287" s="16" t="s">
        <v>427</v>
      </c>
      <c r="B287" s="42" t="s">
        <v>298</v>
      </c>
      <c r="C287" s="43"/>
      <c r="D287" s="16"/>
      <c r="E287" s="16"/>
    </row>
    <row r="288" spans="1:5" x14ac:dyDescent="0.25">
      <c r="A288" s="16" t="s">
        <v>428</v>
      </c>
      <c r="B288" s="42" t="s">
        <v>298</v>
      </c>
      <c r="C288" s="43">
        <v>22193721</v>
      </c>
      <c r="D288" s="16"/>
      <c r="E288" s="16"/>
    </row>
    <row r="289" spans="1:5" x14ac:dyDescent="0.25">
      <c r="A289" s="16" t="s">
        <v>387</v>
      </c>
      <c r="B289" s="42" t="s">
        <v>298</v>
      </c>
      <c r="C289" s="43">
        <v>28629497</v>
      </c>
      <c r="D289" s="16"/>
      <c r="E289" s="16"/>
    </row>
    <row r="290" spans="1:5" x14ac:dyDescent="0.25">
      <c r="A290" s="16" t="s">
        <v>388</v>
      </c>
      <c r="B290" s="42" t="s">
        <v>298</v>
      </c>
      <c r="C290" s="43">
        <v>976699</v>
      </c>
      <c r="D290" s="16"/>
      <c r="E290" s="16"/>
    </row>
    <row r="291" spans="1:5" x14ac:dyDescent="0.25">
      <c r="A291" s="16" t="s">
        <v>429</v>
      </c>
      <c r="B291" s="16"/>
      <c r="C291" s="23"/>
      <c r="D291" s="28">
        <f>SUM(C283:C290)</f>
        <v>80352099</v>
      </c>
      <c r="E291" s="16"/>
    </row>
    <row r="292" spans="1:5" x14ac:dyDescent="0.25">
      <c r="A292" s="16" t="s">
        <v>430</v>
      </c>
      <c r="B292" s="42" t="s">
        <v>298</v>
      </c>
      <c r="C292" s="43">
        <v>12255298</v>
      </c>
      <c r="D292" s="16"/>
      <c r="E292" s="16"/>
    </row>
    <row r="293" spans="1:5" x14ac:dyDescent="0.25">
      <c r="A293" s="16" t="s">
        <v>431</v>
      </c>
      <c r="B293" s="16"/>
      <c r="C293" s="23"/>
      <c r="D293" s="28">
        <f>D291-C292</f>
        <v>68096801</v>
      </c>
      <c r="E293" s="16"/>
    </row>
    <row r="294" spans="1:5" x14ac:dyDescent="0.25">
      <c r="A294" s="41" t="s">
        <v>432</v>
      </c>
      <c r="B294" s="41"/>
      <c r="C294" s="41"/>
      <c r="D294" s="41"/>
      <c r="E294" s="41"/>
    </row>
    <row r="295" spans="1:5" x14ac:dyDescent="0.25">
      <c r="A295" s="16" t="s">
        <v>433</v>
      </c>
      <c r="B295" s="42" t="s">
        <v>298</v>
      </c>
      <c r="C295" s="43"/>
      <c r="D295" s="16"/>
      <c r="E295" s="16"/>
    </row>
    <row r="296" spans="1:5" x14ac:dyDescent="0.25">
      <c r="A296" s="16" t="s">
        <v>434</v>
      </c>
      <c r="B296" s="42" t="s">
        <v>298</v>
      </c>
      <c r="C296" s="43"/>
      <c r="D296" s="16"/>
      <c r="E296" s="16"/>
    </row>
    <row r="297" spans="1:5" x14ac:dyDescent="0.25">
      <c r="A297" s="16" t="s">
        <v>435</v>
      </c>
      <c r="B297" s="42" t="s">
        <v>298</v>
      </c>
      <c r="C297" s="43">
        <v>159756</v>
      </c>
      <c r="D297" s="16"/>
      <c r="E297" s="16"/>
    </row>
    <row r="298" spans="1:5" x14ac:dyDescent="0.25">
      <c r="A298" s="16" t="s">
        <v>423</v>
      </c>
      <c r="B298" s="42" t="s">
        <v>298</v>
      </c>
      <c r="C298" s="43">
        <v>131150</v>
      </c>
      <c r="D298" s="16"/>
      <c r="E298" s="16"/>
    </row>
    <row r="299" spans="1:5" x14ac:dyDescent="0.25">
      <c r="A299" s="16" t="s">
        <v>436</v>
      </c>
      <c r="B299" s="16"/>
      <c r="C299" s="23"/>
      <c r="D299" s="28">
        <f>C295-C296+C297+C298</f>
        <v>290906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437</v>
      </c>
      <c r="B301" s="41"/>
      <c r="C301" s="41"/>
      <c r="D301" s="41"/>
      <c r="E301" s="41"/>
    </row>
    <row r="302" spans="1:5" x14ac:dyDescent="0.25">
      <c r="A302" s="16" t="s">
        <v>438</v>
      </c>
      <c r="B302" s="42" t="s">
        <v>298</v>
      </c>
      <c r="C302" s="43">
        <v>22280144</v>
      </c>
      <c r="D302" s="16"/>
      <c r="E302" s="16"/>
    </row>
    <row r="303" spans="1:5" x14ac:dyDescent="0.25">
      <c r="A303" s="16" t="s">
        <v>439</v>
      </c>
      <c r="B303" s="42" t="s">
        <v>298</v>
      </c>
      <c r="C303" s="43"/>
      <c r="D303" s="16"/>
      <c r="E303" s="16"/>
    </row>
    <row r="304" spans="1:5" x14ac:dyDescent="0.25">
      <c r="A304" s="16" t="s">
        <v>440</v>
      </c>
      <c r="B304" s="42" t="s">
        <v>298</v>
      </c>
      <c r="C304" s="43"/>
      <c r="D304" s="16"/>
      <c r="E304" s="16"/>
    </row>
    <row r="305" spans="1:6" x14ac:dyDescent="0.25">
      <c r="A305" s="16" t="s">
        <v>441</v>
      </c>
      <c r="B305" s="42" t="s">
        <v>298</v>
      </c>
      <c r="C305" s="43"/>
      <c r="D305" s="16"/>
      <c r="E305" s="16"/>
    </row>
    <row r="306" spans="1:6" x14ac:dyDescent="0.25">
      <c r="A306" s="16" t="s">
        <v>442</v>
      </c>
      <c r="B306" s="16"/>
      <c r="C306" s="23"/>
      <c r="D306" s="28">
        <f>SUM(C302:C305)</f>
        <v>22280144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443</v>
      </c>
      <c r="B308" s="16"/>
      <c r="C308" s="23"/>
      <c r="D308" s="28">
        <f>D276+D281+D293+D299+D306</f>
        <v>127171432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127171432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444</v>
      </c>
      <c r="B312" s="34"/>
      <c r="C312" s="34"/>
      <c r="D312" s="34"/>
      <c r="E312" s="34"/>
    </row>
    <row r="313" spans="1:6" x14ac:dyDescent="0.25">
      <c r="A313" s="41" t="s">
        <v>445</v>
      </c>
      <c r="B313" s="41"/>
      <c r="C313" s="41"/>
      <c r="D313" s="41"/>
      <c r="E313" s="41"/>
    </row>
    <row r="314" spans="1:6" x14ac:dyDescent="0.25">
      <c r="A314" s="16" t="s">
        <v>446</v>
      </c>
      <c r="B314" s="42" t="s">
        <v>298</v>
      </c>
      <c r="C314" s="43"/>
      <c r="D314" s="16"/>
      <c r="E314" s="16"/>
    </row>
    <row r="315" spans="1:6" x14ac:dyDescent="0.25">
      <c r="A315" s="16" t="s">
        <v>447</v>
      </c>
      <c r="B315" s="42" t="s">
        <v>298</v>
      </c>
      <c r="C315" s="43">
        <v>9395430</v>
      </c>
      <c r="D315" s="16"/>
      <c r="E315" s="16"/>
    </row>
    <row r="316" spans="1:6" x14ac:dyDescent="0.25">
      <c r="A316" s="16" t="s">
        <v>448</v>
      </c>
      <c r="B316" s="42" t="s">
        <v>298</v>
      </c>
      <c r="C316" s="43">
        <v>7781435</v>
      </c>
      <c r="D316" s="16"/>
      <c r="E316" s="16"/>
    </row>
    <row r="317" spans="1:6" x14ac:dyDescent="0.25">
      <c r="A317" s="16" t="s">
        <v>449</v>
      </c>
      <c r="B317" s="42" t="s">
        <v>298</v>
      </c>
      <c r="C317" s="43"/>
      <c r="D317" s="16"/>
      <c r="E317" s="16"/>
    </row>
    <row r="318" spans="1:6" x14ac:dyDescent="0.25">
      <c r="A318" s="16" t="s">
        <v>450</v>
      </c>
      <c r="B318" s="42" t="s">
        <v>298</v>
      </c>
      <c r="C318" s="43"/>
      <c r="D318" s="16"/>
      <c r="E318" s="16"/>
    </row>
    <row r="319" spans="1:6" x14ac:dyDescent="0.25">
      <c r="A319" s="16" t="s">
        <v>451</v>
      </c>
      <c r="B319" s="42" t="s">
        <v>298</v>
      </c>
      <c r="C319" s="43">
        <v>142007</v>
      </c>
      <c r="D319" s="16"/>
      <c r="E319" s="16"/>
    </row>
    <row r="320" spans="1:6" x14ac:dyDescent="0.25">
      <c r="A320" s="16" t="s">
        <v>452</v>
      </c>
      <c r="B320" s="42" t="s">
        <v>298</v>
      </c>
      <c r="C320" s="43"/>
      <c r="D320" s="16"/>
      <c r="E320" s="16"/>
    </row>
    <row r="321" spans="1:5" x14ac:dyDescent="0.25">
      <c r="A321" s="16" t="s">
        <v>453</v>
      </c>
      <c r="B321" s="42" t="s">
        <v>298</v>
      </c>
      <c r="C321" s="43"/>
      <c r="D321" s="16"/>
      <c r="E321" s="16"/>
    </row>
    <row r="322" spans="1:5" x14ac:dyDescent="0.25">
      <c r="A322" s="16" t="s">
        <v>454</v>
      </c>
      <c r="B322" s="42" t="s">
        <v>298</v>
      </c>
      <c r="C322" s="43"/>
      <c r="D322" s="16"/>
      <c r="E322" s="16"/>
    </row>
    <row r="323" spans="1:5" x14ac:dyDescent="0.25">
      <c r="A323" s="16" t="s">
        <v>455</v>
      </c>
      <c r="B323" s="42" t="s">
        <v>298</v>
      </c>
      <c r="C323" s="43">
        <v>445038</v>
      </c>
      <c r="D323" s="16"/>
      <c r="E323" s="16"/>
    </row>
    <row r="324" spans="1:5" x14ac:dyDescent="0.25">
      <c r="A324" s="16" t="s">
        <v>456</v>
      </c>
      <c r="B324" s="16"/>
      <c r="C324" s="23"/>
      <c r="D324" s="28">
        <f>SUM(C314:C323)</f>
        <v>17763910</v>
      </c>
      <c r="E324" s="16"/>
    </row>
    <row r="325" spans="1:5" x14ac:dyDescent="0.25">
      <c r="A325" s="41" t="s">
        <v>457</v>
      </c>
      <c r="B325" s="41"/>
      <c r="C325" s="41"/>
      <c r="D325" s="41"/>
      <c r="E325" s="41"/>
    </row>
    <row r="326" spans="1:5" x14ac:dyDescent="0.25">
      <c r="A326" s="16" t="s">
        <v>458</v>
      </c>
      <c r="B326" s="42" t="s">
        <v>298</v>
      </c>
      <c r="C326" s="43"/>
      <c r="D326" s="16"/>
      <c r="E326" s="16"/>
    </row>
    <row r="327" spans="1:5" x14ac:dyDescent="0.25">
      <c r="A327" s="16" t="s">
        <v>459</v>
      </c>
      <c r="B327" s="42" t="s">
        <v>298</v>
      </c>
      <c r="C327" s="43"/>
      <c r="D327" s="16"/>
      <c r="E327" s="16"/>
    </row>
    <row r="328" spans="1:5" x14ac:dyDescent="0.25">
      <c r="A328" s="16" t="s">
        <v>460</v>
      </c>
      <c r="B328" s="42" t="s">
        <v>298</v>
      </c>
      <c r="C328" s="43">
        <v>445871</v>
      </c>
      <c r="D328" s="16"/>
      <c r="E328" s="16"/>
    </row>
    <row r="329" spans="1:5" x14ac:dyDescent="0.25">
      <c r="A329" s="16" t="s">
        <v>461</v>
      </c>
      <c r="B329" s="16"/>
      <c r="C329" s="23"/>
      <c r="D329" s="28">
        <f>SUM(C326:C328)</f>
        <v>445871</v>
      </c>
      <c r="E329" s="16"/>
    </row>
    <row r="330" spans="1:5" x14ac:dyDescent="0.25">
      <c r="A330" s="41" t="s">
        <v>462</v>
      </c>
      <c r="B330" s="41"/>
      <c r="C330" s="41"/>
      <c r="D330" s="41"/>
      <c r="E330" s="41"/>
    </row>
    <row r="331" spans="1:5" x14ac:dyDescent="0.25">
      <c r="A331" s="16" t="s">
        <v>463</v>
      </c>
      <c r="B331" s="42" t="s">
        <v>298</v>
      </c>
      <c r="C331" s="43"/>
      <c r="D331" s="16"/>
      <c r="E331" s="16"/>
    </row>
    <row r="332" spans="1:5" x14ac:dyDescent="0.25">
      <c r="A332" s="16" t="s">
        <v>464</v>
      </c>
      <c r="B332" s="42" t="s">
        <v>298</v>
      </c>
      <c r="C332" s="43"/>
      <c r="D332" s="16"/>
      <c r="E332" s="16"/>
    </row>
    <row r="333" spans="1:5" x14ac:dyDescent="0.25">
      <c r="A333" s="16" t="s">
        <v>465</v>
      </c>
      <c r="B333" s="42" t="s">
        <v>298</v>
      </c>
      <c r="C333" s="43"/>
      <c r="D333" s="16"/>
      <c r="E333" s="16"/>
    </row>
    <row r="334" spans="1:5" x14ac:dyDescent="0.25">
      <c r="A334" s="22" t="s">
        <v>466</v>
      </c>
      <c r="B334" s="42" t="s">
        <v>298</v>
      </c>
      <c r="C334" s="43">
        <v>34531393</v>
      </c>
      <c r="D334" s="16"/>
      <c r="E334" s="16"/>
    </row>
    <row r="335" spans="1:5" x14ac:dyDescent="0.25">
      <c r="A335" s="16" t="s">
        <v>467</v>
      </c>
      <c r="B335" s="42" t="s">
        <v>298</v>
      </c>
      <c r="C335" s="43"/>
      <c r="D335" s="16"/>
      <c r="E335" s="16"/>
    </row>
    <row r="336" spans="1:5" x14ac:dyDescent="0.25">
      <c r="A336" s="22" t="s">
        <v>468</v>
      </c>
      <c r="B336" s="42" t="s">
        <v>298</v>
      </c>
      <c r="C336" s="43">
        <v>68728203</v>
      </c>
      <c r="D336" s="16"/>
      <c r="E336" s="16"/>
    </row>
    <row r="337" spans="1:5" x14ac:dyDescent="0.25">
      <c r="A337" s="22" t="s">
        <v>469</v>
      </c>
      <c r="B337" s="42" t="s">
        <v>298</v>
      </c>
      <c r="C337" s="240">
        <v>0</v>
      </c>
      <c r="D337" s="16"/>
      <c r="E337" s="16"/>
    </row>
    <row r="338" spans="1:5" x14ac:dyDescent="0.25">
      <c r="A338" s="16" t="s">
        <v>470</v>
      </c>
      <c r="B338" s="42" t="s">
        <v>298</v>
      </c>
      <c r="C338" s="43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103259596</v>
      </c>
      <c r="E339" s="16"/>
    </row>
    <row r="340" spans="1:5" x14ac:dyDescent="0.25">
      <c r="A340" s="16" t="s">
        <v>471</v>
      </c>
      <c r="B340" s="16"/>
      <c r="C340" s="23"/>
      <c r="D340" s="28">
        <f>C323</f>
        <v>445038</v>
      </c>
      <c r="E340" s="16"/>
    </row>
    <row r="341" spans="1:5" x14ac:dyDescent="0.25">
      <c r="A341" s="16" t="s">
        <v>472</v>
      </c>
      <c r="B341" s="16"/>
      <c r="C341" s="23"/>
      <c r="D341" s="28">
        <f>D339-D340</f>
        <v>102814558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473</v>
      </c>
      <c r="B343" s="42" t="s">
        <v>298</v>
      </c>
      <c r="C343" s="292">
        <v>22400097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474</v>
      </c>
      <c r="B345" s="42" t="s">
        <v>298</v>
      </c>
      <c r="C345" s="214"/>
      <c r="D345" s="16"/>
      <c r="E345" s="16"/>
    </row>
    <row r="346" spans="1:5" x14ac:dyDescent="0.25">
      <c r="A346" s="16" t="s">
        <v>475</v>
      </c>
      <c r="B346" s="42" t="s">
        <v>298</v>
      </c>
      <c r="C346" s="214"/>
      <c r="D346" s="16"/>
      <c r="E346" s="16"/>
    </row>
    <row r="347" spans="1:5" x14ac:dyDescent="0.25">
      <c r="A347" s="16" t="s">
        <v>476</v>
      </c>
      <c r="B347" s="42" t="s">
        <v>298</v>
      </c>
      <c r="C347" s="214"/>
      <c r="D347" s="16"/>
      <c r="E347" s="16"/>
    </row>
    <row r="348" spans="1:5" x14ac:dyDescent="0.25">
      <c r="A348" s="16" t="s">
        <v>477</v>
      </c>
      <c r="B348" s="42" t="s">
        <v>298</v>
      </c>
      <c r="C348" s="214">
        <v>-16253006</v>
      </c>
      <c r="D348" s="16"/>
      <c r="E348" s="16"/>
    </row>
    <row r="349" spans="1:5" x14ac:dyDescent="0.25">
      <c r="A349" s="16" t="s">
        <v>478</v>
      </c>
      <c r="B349" s="42" t="s">
        <v>298</v>
      </c>
      <c r="C349" s="214"/>
      <c r="D349" s="16"/>
      <c r="E349" s="16"/>
    </row>
    <row r="350" spans="1:5" x14ac:dyDescent="0.25">
      <c r="A350" s="16" t="s">
        <v>479</v>
      </c>
      <c r="B350" s="16"/>
      <c r="C350" s="23"/>
      <c r="D350" s="28">
        <f>D324+D329+D341+C343+C347+C348</f>
        <v>127171430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480</v>
      </c>
      <c r="B352" s="16"/>
      <c r="C352" s="23"/>
      <c r="D352" s="28">
        <f>D308</f>
        <v>127171432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481</v>
      </c>
      <c r="B356" s="34"/>
      <c r="C356" s="34"/>
      <c r="D356" s="34"/>
      <c r="E356" s="34"/>
    </row>
    <row r="357" spans="1:5" x14ac:dyDescent="0.25">
      <c r="A357" s="41" t="s">
        <v>482</v>
      </c>
      <c r="B357" s="41"/>
      <c r="C357" s="41"/>
      <c r="D357" s="41"/>
      <c r="E357" s="41"/>
    </row>
    <row r="358" spans="1:5" x14ac:dyDescent="0.25">
      <c r="A358" s="16" t="s">
        <v>483</v>
      </c>
      <c r="B358" s="42" t="s">
        <v>298</v>
      </c>
      <c r="C358" s="43">
        <v>216258812</v>
      </c>
      <c r="D358" s="16"/>
      <c r="E358" s="16"/>
    </row>
    <row r="359" spans="1:5" x14ac:dyDescent="0.25">
      <c r="A359" s="16" t="s">
        <v>484</v>
      </c>
      <c r="B359" s="42" t="s">
        <v>298</v>
      </c>
      <c r="C359" s="43">
        <v>389638737</v>
      </c>
      <c r="D359" s="16"/>
      <c r="E359" s="16"/>
    </row>
    <row r="360" spans="1:5" x14ac:dyDescent="0.25">
      <c r="A360" s="16" t="s">
        <v>485</v>
      </c>
      <c r="B360" s="16"/>
      <c r="C360" s="23"/>
      <c r="D360" s="28">
        <f>SUM(C358:C359)</f>
        <v>605897549</v>
      </c>
      <c r="E360" s="16"/>
    </row>
    <row r="361" spans="1:5" x14ac:dyDescent="0.25">
      <c r="A361" s="41" t="s">
        <v>486</v>
      </c>
      <c r="B361" s="41"/>
      <c r="C361" s="41"/>
      <c r="D361" s="41"/>
      <c r="E361" s="41"/>
    </row>
    <row r="362" spans="1:5" x14ac:dyDescent="0.25">
      <c r="A362" s="16" t="s">
        <v>391</v>
      </c>
      <c r="B362" s="41"/>
      <c r="C362" s="43">
        <v>7312969</v>
      </c>
      <c r="D362" s="16"/>
      <c r="E362" s="41"/>
    </row>
    <row r="363" spans="1:5" x14ac:dyDescent="0.25">
      <c r="A363" s="16" t="s">
        <v>487</v>
      </c>
      <c r="B363" s="42" t="s">
        <v>298</v>
      </c>
      <c r="C363" s="43">
        <v>434997265</v>
      </c>
      <c r="D363" s="16"/>
      <c r="E363" s="16"/>
    </row>
    <row r="364" spans="1:5" x14ac:dyDescent="0.25">
      <c r="A364" s="16" t="s">
        <v>488</v>
      </c>
      <c r="B364" s="42" t="s">
        <v>298</v>
      </c>
      <c r="C364" s="43">
        <v>7426616</v>
      </c>
      <c r="D364" s="16"/>
      <c r="E364" s="16"/>
    </row>
    <row r="365" spans="1:5" x14ac:dyDescent="0.25">
      <c r="A365" s="16" t="s">
        <v>489</v>
      </c>
      <c r="B365" s="42" t="s">
        <v>298</v>
      </c>
      <c r="C365" s="43">
        <v>1521592</v>
      </c>
      <c r="D365" s="16"/>
      <c r="E365" s="16"/>
    </row>
    <row r="366" spans="1:5" x14ac:dyDescent="0.25">
      <c r="A366" s="16" t="s">
        <v>408</v>
      </c>
      <c r="B366" s="16"/>
      <c r="C366" s="23"/>
      <c r="D366" s="28">
        <f>SUM(C362:C365)</f>
        <v>451258442</v>
      </c>
      <c r="E366" s="16"/>
    </row>
    <row r="367" spans="1:5" x14ac:dyDescent="0.25">
      <c r="A367" s="16" t="s">
        <v>490</v>
      </c>
      <c r="B367" s="16"/>
      <c r="C367" s="23"/>
      <c r="D367" s="28">
        <f>D360-D366</f>
        <v>154639107</v>
      </c>
      <c r="E367" s="16"/>
    </row>
    <row r="368" spans="1:5" x14ac:dyDescent="0.25">
      <c r="A368" s="54" t="s">
        <v>491</v>
      </c>
      <c r="B368" s="41"/>
      <c r="C368" s="41"/>
      <c r="D368" s="41"/>
      <c r="E368" s="41"/>
    </row>
    <row r="369" spans="1:6" x14ac:dyDescent="0.25">
      <c r="A369" s="28" t="s">
        <v>492</v>
      </c>
      <c r="B369" s="16"/>
      <c r="C369" s="16"/>
      <c r="D369" s="16"/>
      <c r="E369" s="16"/>
    </row>
    <row r="370" spans="1:6" x14ac:dyDescent="0.25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 x14ac:dyDescent="0.25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 x14ac:dyDescent="0.25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 x14ac:dyDescent="0.25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 x14ac:dyDescent="0.25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 x14ac:dyDescent="0.25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 x14ac:dyDescent="0.25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 x14ac:dyDescent="0.25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 x14ac:dyDescent="0.25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 x14ac:dyDescent="0.25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 x14ac:dyDescent="0.25">
      <c r="A380" s="55" t="s">
        <v>503</v>
      </c>
      <c r="B380" s="36" t="s">
        <v>298</v>
      </c>
      <c r="C380" s="215">
        <v>2906028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504</v>
      </c>
      <c r="B381" s="42"/>
      <c r="C381" s="42"/>
      <c r="D381" s="28">
        <f>SUM(C370:C380)</f>
        <v>2906028</v>
      </c>
      <c r="E381" s="28"/>
      <c r="F381" s="56"/>
    </row>
    <row r="382" spans="1:6" x14ac:dyDescent="0.25">
      <c r="A382" s="52" t="s">
        <v>505</v>
      </c>
      <c r="B382" s="42" t="s">
        <v>298</v>
      </c>
      <c r="C382" s="43"/>
      <c r="D382" s="28">
        <v>0</v>
      </c>
      <c r="E382" s="16"/>
    </row>
    <row r="383" spans="1:6" x14ac:dyDescent="0.25">
      <c r="A383" s="16" t="s">
        <v>506</v>
      </c>
      <c r="B383" s="16"/>
      <c r="C383" s="23"/>
      <c r="D383" s="28">
        <f>D381+C382</f>
        <v>2906028</v>
      </c>
      <c r="E383" s="16"/>
    </row>
    <row r="384" spans="1:6" x14ac:dyDescent="0.25">
      <c r="A384" s="16" t="s">
        <v>507</v>
      </c>
      <c r="B384" s="16"/>
      <c r="C384" s="23"/>
      <c r="D384" s="28">
        <f>D367+D383</f>
        <v>157545135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508</v>
      </c>
      <c r="B388" s="41"/>
      <c r="C388" s="41"/>
      <c r="D388" s="41"/>
      <c r="E388" s="41"/>
    </row>
    <row r="389" spans="1:5" x14ac:dyDescent="0.25">
      <c r="A389" s="16" t="s">
        <v>509</v>
      </c>
      <c r="B389" s="42" t="s">
        <v>298</v>
      </c>
      <c r="C389" s="43">
        <v>71815673</v>
      </c>
      <c r="D389" s="16"/>
      <c r="E389" s="16"/>
    </row>
    <row r="390" spans="1:5" x14ac:dyDescent="0.25">
      <c r="A390" s="16" t="s">
        <v>11</v>
      </c>
      <c r="B390" s="42" t="s">
        <v>298</v>
      </c>
      <c r="C390" s="43">
        <v>12773983</v>
      </c>
      <c r="D390" s="16"/>
      <c r="E390" s="16"/>
    </row>
    <row r="391" spans="1:5" x14ac:dyDescent="0.25">
      <c r="A391" s="16" t="s">
        <v>264</v>
      </c>
      <c r="B391" s="42" t="s">
        <v>298</v>
      </c>
      <c r="C391" s="43">
        <v>19229953</v>
      </c>
      <c r="D391" s="16"/>
      <c r="E391" s="16"/>
    </row>
    <row r="392" spans="1:5" x14ac:dyDescent="0.25">
      <c r="A392" s="16" t="s">
        <v>510</v>
      </c>
      <c r="B392" s="42" t="s">
        <v>298</v>
      </c>
      <c r="C392" s="43">
        <v>30553680</v>
      </c>
      <c r="D392" s="16"/>
      <c r="E392" s="16"/>
    </row>
    <row r="393" spans="1:5" x14ac:dyDescent="0.25">
      <c r="A393" s="16" t="s">
        <v>511</v>
      </c>
      <c r="B393" s="42" t="s">
        <v>298</v>
      </c>
      <c r="C393" s="43">
        <v>2515501</v>
      </c>
      <c r="D393" s="16"/>
      <c r="E393" s="16"/>
    </row>
    <row r="394" spans="1:5" x14ac:dyDescent="0.25">
      <c r="A394" s="16" t="s">
        <v>512</v>
      </c>
      <c r="B394" s="42" t="s">
        <v>298</v>
      </c>
      <c r="C394" s="43">
        <v>17348361</v>
      </c>
      <c r="D394" s="16"/>
      <c r="E394" s="16"/>
    </row>
    <row r="395" spans="1:5" x14ac:dyDescent="0.25">
      <c r="A395" s="16" t="s">
        <v>16</v>
      </c>
      <c r="B395" s="42" t="s">
        <v>298</v>
      </c>
      <c r="C395" s="43">
        <v>3412007</v>
      </c>
      <c r="D395" s="16"/>
      <c r="E395" s="16"/>
    </row>
    <row r="396" spans="1:5" x14ac:dyDescent="0.25">
      <c r="A396" s="16" t="s">
        <v>513</v>
      </c>
      <c r="B396" s="42" t="s">
        <v>298</v>
      </c>
      <c r="C396" s="43">
        <v>352918</v>
      </c>
      <c r="D396" s="16"/>
      <c r="E396" s="16"/>
    </row>
    <row r="397" spans="1:5" x14ac:dyDescent="0.25">
      <c r="A397" s="16" t="s">
        <v>514</v>
      </c>
      <c r="B397" s="42" t="s">
        <v>298</v>
      </c>
      <c r="C397" s="215">
        <v>1599004</v>
      </c>
      <c r="D397" s="16"/>
      <c r="E397" s="16"/>
    </row>
    <row r="398" spans="1:5" x14ac:dyDescent="0.25">
      <c r="A398" s="16" t="s">
        <v>515</v>
      </c>
      <c r="B398" s="42" t="s">
        <v>298</v>
      </c>
      <c r="C398" s="215">
        <v>7481975</v>
      </c>
      <c r="D398" s="16"/>
      <c r="E398" s="16"/>
    </row>
    <row r="399" spans="1:5" x14ac:dyDescent="0.25">
      <c r="A399" s="16" t="s">
        <v>516</v>
      </c>
      <c r="B399" s="42" t="s">
        <v>298</v>
      </c>
      <c r="C399" s="215">
        <v>3104507</v>
      </c>
      <c r="D399" s="16"/>
      <c r="E399" s="16"/>
    </row>
    <row r="400" spans="1:5" x14ac:dyDescent="0.25">
      <c r="A400" s="28" t="s">
        <v>517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241"/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241"/>
      <c r="D402" s="28">
        <v>0</v>
      </c>
      <c r="E402" s="28"/>
    </row>
    <row r="403" spans="1:9" x14ac:dyDescent="0.25">
      <c r="A403" s="29" t="s">
        <v>518</v>
      </c>
      <c r="B403" s="36" t="s">
        <v>298</v>
      </c>
      <c r="C403" s="241"/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241"/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241"/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241"/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241"/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241"/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241"/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241"/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241"/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241"/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241"/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215">
        <v>1943456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519</v>
      </c>
      <c r="B415" s="42"/>
      <c r="C415" s="42"/>
      <c r="D415" s="28">
        <f>SUM(C401:C414)</f>
        <v>1943456</v>
      </c>
      <c r="E415" s="28"/>
      <c r="F415" s="56"/>
      <c r="G415" s="56"/>
      <c r="H415" s="56"/>
      <c r="I415" s="56"/>
    </row>
    <row r="416" spans="1:9" x14ac:dyDescent="0.25">
      <c r="A416" s="28" t="s">
        <v>520</v>
      </c>
      <c r="B416" s="16"/>
      <c r="C416" s="23"/>
      <c r="D416" s="28">
        <f>SUM(C389:C399,D415)</f>
        <v>172131018</v>
      </c>
      <c r="E416" s="28"/>
    </row>
    <row r="417" spans="1:13" x14ac:dyDescent="0.25">
      <c r="A417" s="28" t="s">
        <v>521</v>
      </c>
      <c r="B417" s="16"/>
      <c r="C417" s="23"/>
      <c r="D417" s="28">
        <f>D384-D416</f>
        <v>-14585883</v>
      </c>
      <c r="E417" s="28"/>
    </row>
    <row r="418" spans="1:13" x14ac:dyDescent="0.25">
      <c r="A418" s="28" t="s">
        <v>522</v>
      </c>
      <c r="B418" s="16"/>
      <c r="C418" s="215">
        <v>-2875528</v>
      </c>
      <c r="D418" s="28">
        <v>0</v>
      </c>
      <c r="E418" s="28"/>
    </row>
    <row r="419" spans="1:13" x14ac:dyDescent="0.25">
      <c r="A419" s="55" t="s">
        <v>523</v>
      </c>
      <c r="B419" s="42" t="s">
        <v>298</v>
      </c>
      <c r="C419" s="241"/>
      <c r="D419" s="28">
        <v>0</v>
      </c>
      <c r="E419" s="28"/>
    </row>
    <row r="420" spans="1:13" x14ac:dyDescent="0.25">
      <c r="A420" s="57" t="s">
        <v>524</v>
      </c>
      <c r="B420" s="16"/>
      <c r="C420" s="16"/>
      <c r="D420" s="28">
        <f>SUM(C418:C419)</f>
        <v>-2875528</v>
      </c>
      <c r="E420" s="28"/>
      <c r="F420" s="11">
        <f>D420-C399</f>
        <v>-5980035</v>
      </c>
    </row>
    <row r="421" spans="1:13" x14ac:dyDescent="0.25">
      <c r="A421" s="28" t="s">
        <v>525</v>
      </c>
      <c r="B421" s="16"/>
      <c r="C421" s="23"/>
      <c r="D421" s="28">
        <f>D417+D420</f>
        <v>-17461411</v>
      </c>
      <c r="E421" s="28"/>
      <c r="F421" s="59"/>
    </row>
    <row r="422" spans="1:13" x14ac:dyDescent="0.25">
      <c r="A422" s="28" t="s">
        <v>526</v>
      </c>
      <c r="B422" s="42" t="s">
        <v>298</v>
      </c>
      <c r="C422" s="43">
        <v>1208405</v>
      </c>
      <c r="D422" s="28">
        <v>0</v>
      </c>
      <c r="E422" s="16"/>
    </row>
    <row r="423" spans="1:13" x14ac:dyDescent="0.25">
      <c r="A423" s="16" t="s">
        <v>527</v>
      </c>
      <c r="B423" s="42" t="s">
        <v>298</v>
      </c>
      <c r="C423" s="43"/>
      <c r="D423" s="28">
        <v>0</v>
      </c>
      <c r="E423" s="16"/>
    </row>
    <row r="424" spans="1:13" x14ac:dyDescent="0.25">
      <c r="A424" s="16" t="s">
        <v>528</v>
      </c>
      <c r="B424" s="16"/>
      <c r="C424" s="23"/>
      <c r="D424" s="28">
        <f>D421+C422-C423</f>
        <v>-16253006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529</v>
      </c>
      <c r="D612" s="229">
        <f>CE90-(BE90+CD90)</f>
        <v>482379</v>
      </c>
      <c r="E612" s="231">
        <f>SUM(C624:D647)+SUM(C668:D713)</f>
        <v>156747617.10888502</v>
      </c>
      <c r="F612" s="231">
        <f>CE64-(AX64+BD64+BE64+BG64+BJ64+BN64+BP64+BQ64+CB64+CC64+CD64)</f>
        <v>30562263</v>
      </c>
      <c r="G612" s="229">
        <f>CE91-(AX91+AY91+BD91+BE91+BG91+BJ91+BN91+BP91+BQ91+CB91+CC91+CD91)</f>
        <v>54666</v>
      </c>
      <c r="H612" s="234">
        <f>CE60-(AX60+AY60+AZ60+BD60+BE60+BG60+BJ60+BN60+BO60+BP60+BQ60+BR60+CB60+CC60+CD60)</f>
        <v>651.94000000000005</v>
      </c>
      <c r="I612" s="229">
        <f>CE92-(AX92+AY92+AZ92+BD92+BE92+BF92+BG92+BJ92+BN92+BO92+BP92+BQ92+BR92+CB92+CC92+CD92)</f>
        <v>48715.311482333054</v>
      </c>
      <c r="J612" s="229">
        <f>CE93-(AX93+AY93+AZ93+BA93+BD93+BE93+BF93+BG93+BJ93+BN93+BO93+BP93+BQ93+BR93+CB93+CC93+CD93)</f>
        <v>528911</v>
      </c>
      <c r="K612" s="229">
        <f>CE89-(AW89+AX89+AY89+AZ89+BA89+BB89+BC89+BD89+BE89+BF89+BG89+BH89+BI89+BJ89+BK89+BL89+BM89+BN89+BO89+BP89+BQ89+BR89+BS89+BT89+BU89+BV89+BW89+BX89+CB89+CC89+CD89)</f>
        <v>605897546</v>
      </c>
      <c r="L612" s="235">
        <f>CE94-(AW94+AX94+AY94+AZ94+BA94+BB94+BC94+BD94+BE94+BF94+BG94+BH94+BI94+BJ94+BK94+BL94+BM94+BN94+BO94+BP94+BQ94+BR94+BS94+BT94+BU94+BV94+BW94+BX94+BY94+BZ94+CA94+CB94+CC94+CD94)</f>
        <v>168.06</v>
      </c>
    </row>
    <row r="613" spans="1:14" s="212" customFormat="1" ht="12.6" customHeight="1" x14ac:dyDescent="0.2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" customHeight="1" x14ac:dyDescent="0.2">
      <c r="A614" s="224">
        <v>8430</v>
      </c>
      <c r="B614" s="223" t="s">
        <v>167</v>
      </c>
      <c r="C614" s="229">
        <f>BE85</f>
        <v>3183886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" customHeight="1" x14ac:dyDescent="0.2">
      <c r="A615" s="224"/>
      <c r="B615" s="223" t="s">
        <v>541</v>
      </c>
      <c r="C615" s="229">
        <f>CD69-CD84</f>
        <v>11375578.58</v>
      </c>
      <c r="D615" s="229">
        <f>SUM(C614:C615)</f>
        <v>14559464.58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" customHeight="1" x14ac:dyDescent="0.2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" customHeight="1" x14ac:dyDescent="0.2">
      <c r="A617" s="224">
        <v>8510</v>
      </c>
      <c r="B617" s="228" t="s">
        <v>172</v>
      </c>
      <c r="C617" s="229">
        <f>BJ85</f>
        <v>807066</v>
      </c>
      <c r="D617" s="229">
        <f>(D615/D612)*BJ90</f>
        <v>19377.245403220288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" customHeight="1" x14ac:dyDescent="0.2">
      <c r="A618" s="224">
        <v>8470</v>
      </c>
      <c r="B618" s="228" t="s">
        <v>546</v>
      </c>
      <c r="C618" s="229">
        <f>BG85</f>
        <v>665201</v>
      </c>
      <c r="D618" s="229">
        <f>(D615/D612)*BG90</f>
        <v>43281.884592239709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" customHeight="1" x14ac:dyDescent="0.2">
      <c r="A619" s="224">
        <v>8610</v>
      </c>
      <c r="B619" s="228" t="s">
        <v>548</v>
      </c>
      <c r="C619" s="229">
        <f>BN85</f>
        <v>2548746</v>
      </c>
      <c r="D619" s="229">
        <f>(D615/D612)*BN90</f>
        <v>51642.471783348774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" customHeight="1" x14ac:dyDescent="0.2">
      <c r="A620" s="224">
        <v>8790</v>
      </c>
      <c r="B620" s="228" t="s">
        <v>550</v>
      </c>
      <c r="C620" s="229">
        <f>CC85</f>
        <v>4282830</v>
      </c>
      <c r="D620" s="229">
        <f>(D615/D612)*CC90</f>
        <v>3360895.685575367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" customHeight="1" x14ac:dyDescent="0.2">
      <c r="A621" s="224">
        <v>8630</v>
      </c>
      <c r="B621" s="228" t="s">
        <v>552</v>
      </c>
      <c r="C621" s="229">
        <f>BP85</f>
        <v>278893</v>
      </c>
      <c r="D621" s="229">
        <f>(D615/D612)*BP90</f>
        <v>7847.4825620518304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" customHeight="1" x14ac:dyDescent="0.2">
      <c r="A622" s="224">
        <v>8770</v>
      </c>
      <c r="B622" s="223" t="s">
        <v>554</v>
      </c>
      <c r="C622" s="229">
        <f>CB85</f>
        <v>401785</v>
      </c>
      <c r="D622" s="229">
        <f>(D615/D612)*CB90</f>
        <v>9326.4311987462133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" customHeight="1" x14ac:dyDescent="0.2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12476892.201114973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" customHeight="1" x14ac:dyDescent="0.2">
      <c r="A624" s="224">
        <v>8420</v>
      </c>
      <c r="B624" s="228" t="s">
        <v>166</v>
      </c>
      <c r="C624" s="229">
        <f>BD85</f>
        <v>495546.73</v>
      </c>
      <c r="D624" s="229">
        <f>(D615/D612)*BD90</f>
        <v>310367.93532914988</v>
      </c>
      <c r="E624" s="231">
        <f>(E623/E612)*SUM(C624:D624)</f>
        <v>64149.685896816627</v>
      </c>
      <c r="F624" s="231">
        <f>SUM(C624:E624)</f>
        <v>870064.35122596659</v>
      </c>
      <c r="G624" s="229"/>
      <c r="H624" s="231"/>
      <c r="I624" s="229"/>
      <c r="J624" s="229"/>
      <c r="N624" s="225" t="s">
        <v>558</v>
      </c>
    </row>
    <row r="625" spans="1:14" s="212" customFormat="1" ht="12.6" customHeight="1" x14ac:dyDescent="0.2">
      <c r="A625" s="224">
        <v>8320</v>
      </c>
      <c r="B625" s="228" t="s">
        <v>162</v>
      </c>
      <c r="C625" s="229">
        <f>AY85</f>
        <v>1361302</v>
      </c>
      <c r="D625" s="229">
        <f>(D615/D612)*AY90</f>
        <v>313869.11985683459</v>
      </c>
      <c r="E625" s="231">
        <f>(E623/E612)*SUM(C625:D625)</f>
        <v>133341.29007113329</v>
      </c>
      <c r="F625" s="231">
        <f>(F624/F612)*AY64</f>
        <v>11109.523280187686</v>
      </c>
      <c r="G625" s="229">
        <f>SUM(C625:F625)</f>
        <v>1819621.9332081557</v>
      </c>
      <c r="H625" s="231"/>
      <c r="I625" s="229"/>
      <c r="J625" s="229"/>
      <c r="N625" s="225" t="s">
        <v>559</v>
      </c>
    </row>
    <row r="626" spans="1:14" s="212" customFormat="1" ht="12.6" customHeight="1" x14ac:dyDescent="0.2">
      <c r="A626" s="224">
        <v>8650</v>
      </c>
      <c r="B626" s="228" t="s">
        <v>179</v>
      </c>
      <c r="C626" s="229">
        <f>BR85</f>
        <v>1095002</v>
      </c>
      <c r="D626" s="229">
        <f>(D615/D612)*BR90</f>
        <v>56743.335448682468</v>
      </c>
      <c r="E626" s="231">
        <f>(E623/E612)*SUM(C626:D626)</f>
        <v>91677.326000738671</v>
      </c>
      <c r="F626" s="231">
        <f>(F624/F612)*BR64</f>
        <v>492.79118891560751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" customHeight="1" x14ac:dyDescent="0.2">
      <c r="A627" s="224">
        <v>8620</v>
      </c>
      <c r="B627" s="223" t="s">
        <v>561</v>
      </c>
      <c r="C627" s="229">
        <f>BO85</f>
        <v>358897</v>
      </c>
      <c r="D627" s="229">
        <f>(D615/D612)*BO90</f>
        <v>7455.108433949239</v>
      </c>
      <c r="E627" s="231">
        <f>(E623/E612)*SUM(C627:D627)</f>
        <v>29161.118037324668</v>
      </c>
      <c r="F627" s="231">
        <f>(F624/F612)*BO64</f>
        <v>312.61352082508876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" customHeight="1" x14ac:dyDescent="0.2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1639741.2926304357</v>
      </c>
      <c r="I628" s="229"/>
      <c r="J628" s="229"/>
      <c r="N628" s="225" t="s">
        <v>563</v>
      </c>
    </row>
    <row r="629" spans="1:14" s="212" customFormat="1" ht="12.6" customHeight="1" x14ac:dyDescent="0.2">
      <c r="A629" s="224">
        <v>8460</v>
      </c>
      <c r="B629" s="228" t="s">
        <v>168</v>
      </c>
      <c r="C629" s="229">
        <f>BF85</f>
        <v>2234089</v>
      </c>
      <c r="D629" s="229">
        <f>(D615/D612)*BF90</f>
        <v>89159.474955004262</v>
      </c>
      <c r="E629" s="231">
        <f>(E623/E612)*SUM(C629:D629)</f>
        <v>184927.34571066895</v>
      </c>
      <c r="F629" s="231">
        <f>(F624/F612)*BF64</f>
        <v>3593.5893574128904</v>
      </c>
      <c r="G629" s="229">
        <f>(G625/G612)*BF91</f>
        <v>0</v>
      </c>
      <c r="H629" s="231">
        <f>(H628/H612)*BF60</f>
        <v>86974.650886830786</v>
      </c>
      <c r="I629" s="229">
        <f>SUM(C629:H629)</f>
        <v>2598744.0609099171</v>
      </c>
      <c r="J629" s="229"/>
      <c r="N629" s="225" t="s">
        <v>564</v>
      </c>
    </row>
    <row r="630" spans="1:14" s="212" customFormat="1" ht="12.6" customHeight="1" x14ac:dyDescent="0.2">
      <c r="A630" s="224">
        <v>8350</v>
      </c>
      <c r="B630" s="228" t="s">
        <v>565</v>
      </c>
      <c r="C630" s="229">
        <f>BA85</f>
        <v>336110</v>
      </c>
      <c r="D630" s="229">
        <f>(D615/D612)*BA90</f>
        <v>51612.289158110114</v>
      </c>
      <c r="E630" s="231">
        <f>(E623/E612)*SUM(C630:D630)</f>
        <v>30862.154685482979</v>
      </c>
      <c r="F630" s="231">
        <f>(F624/F612)*BA64</f>
        <v>1448.8516451462747</v>
      </c>
      <c r="G630" s="229">
        <f>(G625/G612)*BA91</f>
        <v>0</v>
      </c>
      <c r="H630" s="231">
        <f>(H628/H612)*BA60</f>
        <v>0</v>
      </c>
      <c r="I630" s="229">
        <f>(I629/I612)*BA92</f>
        <v>13016.309073420955</v>
      </c>
      <c r="J630" s="229">
        <f>SUM(C630:I630)</f>
        <v>433049.60456216027</v>
      </c>
      <c r="N630" s="225" t="s">
        <v>566</v>
      </c>
    </row>
    <row r="631" spans="1:14" s="212" customFormat="1" ht="12.6" customHeight="1" x14ac:dyDescent="0.2">
      <c r="A631" s="224">
        <v>8200</v>
      </c>
      <c r="B631" s="228" t="s">
        <v>567</v>
      </c>
      <c r="C631" s="229">
        <f>AW85</f>
        <v>3214346</v>
      </c>
      <c r="D631" s="229">
        <f>(D615/D612)*AW90</f>
        <v>42104.762207931934</v>
      </c>
      <c r="E631" s="231">
        <f>(E623/E612)*SUM(C631:D631)</f>
        <v>259208.94918666023</v>
      </c>
      <c r="F631" s="231">
        <f>(F624/F612)*AW64</f>
        <v>1125.9894340837729</v>
      </c>
      <c r="G631" s="229">
        <f>(G625/G612)*AW91</f>
        <v>0</v>
      </c>
      <c r="H631" s="231">
        <f>(H628/H612)*AW60</f>
        <v>108605.13086446947</v>
      </c>
      <c r="I631" s="229">
        <f>(I629/I612)*AW92</f>
        <v>10634.015736717385</v>
      </c>
      <c r="J631" s="229">
        <f>(J630/J612)*AW93</f>
        <v>0</v>
      </c>
      <c r="N631" s="225" t="s">
        <v>568</v>
      </c>
    </row>
    <row r="632" spans="1:14" s="212" customFormat="1" ht="12.6" customHeight="1" x14ac:dyDescent="0.2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" customHeight="1" x14ac:dyDescent="0.2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" customHeight="1" x14ac:dyDescent="0.2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" customHeight="1" x14ac:dyDescent="0.2">
      <c r="A635" s="224">
        <v>8530</v>
      </c>
      <c r="B635" s="228" t="s">
        <v>575</v>
      </c>
      <c r="C635" s="229">
        <f>BK85</f>
        <v>105833</v>
      </c>
      <c r="D635" s="229">
        <f>(D615/D612)*BK90</f>
        <v>162744.71528685949</v>
      </c>
      <c r="E635" s="231">
        <f>(E623/E612)*SUM(C635:D635)</f>
        <v>21378.41239990338</v>
      </c>
      <c r="F635" s="231">
        <f>(F624/F612)*BK64</f>
        <v>26.902811873209075</v>
      </c>
      <c r="G635" s="229">
        <f>(G625/G612)*BK91</f>
        <v>0</v>
      </c>
      <c r="H635" s="231">
        <f>(H628/H612)*BK60</f>
        <v>0</v>
      </c>
      <c r="I635" s="229">
        <f>(I629/I612)*BK92</f>
        <v>41129.402850850638</v>
      </c>
      <c r="J635" s="229">
        <f>(J630/J612)*BK93</f>
        <v>0</v>
      </c>
      <c r="N635" s="225" t="s">
        <v>576</v>
      </c>
    </row>
    <row r="636" spans="1:14" s="212" customFormat="1" ht="12.6" customHeight="1" x14ac:dyDescent="0.2">
      <c r="A636" s="224">
        <v>8480</v>
      </c>
      <c r="B636" s="228" t="s">
        <v>577</v>
      </c>
      <c r="C636" s="229">
        <f>BH85</f>
        <v>3565019</v>
      </c>
      <c r="D636" s="229">
        <f>(D615/D612)*BH90</f>
        <v>173429.36462134545</v>
      </c>
      <c r="E636" s="231">
        <f>(E623/E612)*SUM(C636:D636)</f>
        <v>297575.2876192918</v>
      </c>
      <c r="F636" s="231">
        <f>(F624/F612)*BH64</f>
        <v>1311.604601716919</v>
      </c>
      <c r="G636" s="229">
        <f>(G625/G612)*BH91</f>
        <v>0</v>
      </c>
      <c r="H636" s="231">
        <f>(H628/H612)*BH60</f>
        <v>37450.912426399955</v>
      </c>
      <c r="I636" s="229">
        <f>(I629/I612)*BH92</f>
        <v>43796.679300322146</v>
      </c>
      <c r="J636" s="229">
        <f>(J630/J612)*BH93</f>
        <v>0</v>
      </c>
      <c r="N636" s="225" t="s">
        <v>578</v>
      </c>
    </row>
    <row r="637" spans="1:14" s="212" customFormat="1" ht="12.6" customHeight="1" x14ac:dyDescent="0.2">
      <c r="A637" s="224">
        <v>8560</v>
      </c>
      <c r="B637" s="228" t="s">
        <v>174</v>
      </c>
      <c r="C637" s="229">
        <f>BL85</f>
        <v>121595</v>
      </c>
      <c r="D637" s="229">
        <f>(D615/D612)*BL90</f>
        <v>176749.45339759815</v>
      </c>
      <c r="E637" s="231">
        <f>(E623/E612)*SUM(C637:D637)</f>
        <v>23747.803331878538</v>
      </c>
      <c r="F637" s="231">
        <f>(F624/F612)*BL64</f>
        <v>805.06308673278249</v>
      </c>
      <c r="G637" s="229">
        <f>(G625/G612)*BL91</f>
        <v>0</v>
      </c>
      <c r="H637" s="231">
        <f>(H628/H612)*BL60</f>
        <v>51460.420970056621</v>
      </c>
      <c r="I637" s="229">
        <f>(I629/I612)*BL92</f>
        <v>44650.207764153027</v>
      </c>
      <c r="J637" s="229">
        <f>(J630/J612)*BL93</f>
        <v>0</v>
      </c>
      <c r="N637" s="225" t="s">
        <v>579</v>
      </c>
    </row>
    <row r="638" spans="1:14" s="212" customFormat="1" ht="12.6" customHeight="1" x14ac:dyDescent="0.2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581</v>
      </c>
    </row>
    <row r="639" spans="1:14" s="212" customFormat="1" ht="12.6" customHeight="1" x14ac:dyDescent="0.2">
      <c r="A639" s="224">
        <v>8660</v>
      </c>
      <c r="B639" s="228" t="s">
        <v>582</v>
      </c>
      <c r="C639" s="229">
        <f>BS85</f>
        <v>44478</v>
      </c>
      <c r="D639" s="229">
        <f>(D615/D612)*BS90</f>
        <v>17505.922638423315</v>
      </c>
      <c r="E639" s="231">
        <f>(E623/E612)*SUM(C639:D639)</f>
        <v>4933.8339888423125</v>
      </c>
      <c r="F639" s="231">
        <f>(F624/F612)*BS64</f>
        <v>1149.8461074697509</v>
      </c>
      <c r="G639" s="229">
        <f>(G625/G612)*BS91</f>
        <v>0</v>
      </c>
      <c r="H639" s="231">
        <f>(H628/H612)*BS60</f>
        <v>0</v>
      </c>
      <c r="I639" s="229">
        <f>(I629/I612)*BS92</f>
        <v>4427.6789061227018</v>
      </c>
      <c r="J639" s="229">
        <f>(J630/J612)*BS93</f>
        <v>0</v>
      </c>
      <c r="N639" s="225" t="s">
        <v>583</v>
      </c>
    </row>
    <row r="640" spans="1:14" s="212" customFormat="1" ht="12.6" customHeight="1" x14ac:dyDescent="0.2">
      <c r="A640" s="224">
        <v>8670</v>
      </c>
      <c r="B640" s="228" t="s">
        <v>584</v>
      </c>
      <c r="C640" s="229">
        <f>BT85</f>
        <v>47458</v>
      </c>
      <c r="D640" s="229">
        <f>(D615/D612)*BT90</f>
        <v>26047.605580964344</v>
      </c>
      <c r="E640" s="231">
        <f>(E623/E612)*SUM(C640:D640)</f>
        <v>5850.9439181731677</v>
      </c>
      <c r="F640" s="231">
        <f>(F624/F612)*BT64</f>
        <v>2.3628924714035486</v>
      </c>
      <c r="G640" s="229">
        <f>(G625/G612)*BT91</f>
        <v>0</v>
      </c>
      <c r="H640" s="231">
        <f>(H628/H612)*BT60</f>
        <v>0</v>
      </c>
      <c r="I640" s="229">
        <f>(I629/I612)*BT92</f>
        <v>6578.6061511018661</v>
      </c>
      <c r="J640" s="229">
        <f>(J630/J612)*BT93</f>
        <v>0</v>
      </c>
      <c r="N640" s="225" t="s">
        <v>585</v>
      </c>
    </row>
    <row r="641" spans="1:14" s="212" customFormat="1" ht="12.6" customHeight="1" x14ac:dyDescent="0.2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" customHeight="1" x14ac:dyDescent="0.2">
      <c r="A642" s="224">
        <v>8690</v>
      </c>
      <c r="B642" s="228" t="s">
        <v>588</v>
      </c>
      <c r="C642" s="229">
        <f>BV85</f>
        <v>1221041</v>
      </c>
      <c r="D642" s="229">
        <f>(D615/D612)*BV90</f>
        <v>21369.298668971907</v>
      </c>
      <c r="E642" s="231">
        <f>(E623/E612)*SUM(C642:D642)</f>
        <v>98894.130909050626</v>
      </c>
      <c r="F642" s="231">
        <f>(F624/F612)*BV64</f>
        <v>0</v>
      </c>
      <c r="G642" s="229">
        <f>(G625/G612)*BV91</f>
        <v>0</v>
      </c>
      <c r="H642" s="231">
        <f>(H628/H612)*BV60</f>
        <v>16474.377192271302</v>
      </c>
      <c r="I642" s="229">
        <f>(I629/I612)*BV92</f>
        <v>5397.0488470221571</v>
      </c>
      <c r="J642" s="229">
        <f>(J630/J612)*BV93</f>
        <v>0</v>
      </c>
      <c r="N642" s="225" t="s">
        <v>589</v>
      </c>
    </row>
    <row r="643" spans="1:14" s="212" customFormat="1" ht="12.6" customHeight="1" x14ac:dyDescent="0.2">
      <c r="A643" s="224">
        <v>8700</v>
      </c>
      <c r="B643" s="228" t="s">
        <v>590</v>
      </c>
      <c r="C643" s="229">
        <f>BW85</f>
        <v>322085</v>
      </c>
      <c r="D643" s="229">
        <f>(D615/D612)*BW90</f>
        <v>248010.63158607652</v>
      </c>
      <c r="E643" s="231">
        <f>(E623/E612)*SUM(C643:D643)</f>
        <v>45378.818962746707</v>
      </c>
      <c r="F643" s="231">
        <f>(F624/F612)*BW64</f>
        <v>1776.4681097355763</v>
      </c>
      <c r="G643" s="229">
        <f>(G625/G612)*BW91</f>
        <v>0</v>
      </c>
      <c r="H643" s="231">
        <f>(H628/H612)*BW60</f>
        <v>5105.7993435588915</v>
      </c>
      <c r="I643" s="229">
        <f>(I629/I612)*BW92</f>
        <v>62637.783016922411</v>
      </c>
      <c r="J643" s="229">
        <f>(J630/J612)*BW93</f>
        <v>0</v>
      </c>
      <c r="N643" s="225" t="s">
        <v>591</v>
      </c>
    </row>
    <row r="644" spans="1:14" s="212" customFormat="1" ht="12.6" customHeight="1" x14ac:dyDescent="0.2">
      <c r="A644" s="224">
        <v>8710</v>
      </c>
      <c r="B644" s="228" t="s">
        <v>592</v>
      </c>
      <c r="C644" s="229">
        <f>BX85</f>
        <v>2136077</v>
      </c>
      <c r="D644" s="229">
        <f>(D615/D612)*BX90</f>
        <v>16057.156626967591</v>
      </c>
      <c r="E644" s="231">
        <f>(E623/E612)*SUM(C644:D644)</f>
        <v>171306.88408436478</v>
      </c>
      <c r="F644" s="231">
        <f>(F624/F612)*BX64</f>
        <v>848.96164324970141</v>
      </c>
      <c r="G644" s="229">
        <f>(G625/G612)*BX91</f>
        <v>0</v>
      </c>
      <c r="H644" s="231">
        <f>(H628/H612)*BX60</f>
        <v>24648.68648614638</v>
      </c>
      <c r="I644" s="229">
        <f>(I629/I612)*BX92</f>
        <v>4055.4095856155195</v>
      </c>
      <c r="J644" s="229">
        <f>(J630/J612)*BX93</f>
        <v>0</v>
      </c>
      <c r="K644" s="231">
        <f>SUM(C631:J644)</f>
        <v>13064325.333145108</v>
      </c>
      <c r="L644" s="231"/>
      <c r="N644" s="225" t="s">
        <v>593</v>
      </c>
    </row>
    <row r="645" spans="1:14" s="212" customFormat="1" ht="12.6" customHeight="1" x14ac:dyDescent="0.2">
      <c r="A645" s="224">
        <v>8720</v>
      </c>
      <c r="B645" s="228" t="s">
        <v>594</v>
      </c>
      <c r="C645" s="229">
        <f>BY85</f>
        <v>1357838</v>
      </c>
      <c r="D645" s="229">
        <f>(D615/D612)*BY90</f>
        <v>26651.258085737561</v>
      </c>
      <c r="E645" s="231">
        <f>(E623/E612)*SUM(C645:D645)</f>
        <v>110203.41836991302</v>
      </c>
      <c r="F645" s="231">
        <f>(F624/F612)*BY64</f>
        <v>806.99895044429388</v>
      </c>
      <c r="G645" s="229">
        <f>(G625/G612)*BY91</f>
        <v>0</v>
      </c>
      <c r="H645" s="231">
        <f>(H628/H612)*BY60</f>
        <v>17203.777098494</v>
      </c>
      <c r="I645" s="229">
        <f>(I629/I612)*BY92</f>
        <v>6731.0651580798931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" customHeight="1" x14ac:dyDescent="0.2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" customHeight="1" x14ac:dyDescent="0.2">
      <c r="A647" s="224">
        <v>8740</v>
      </c>
      <c r="B647" s="228" t="s">
        <v>598</v>
      </c>
      <c r="C647" s="229">
        <f>CA85</f>
        <v>354630</v>
      </c>
      <c r="D647" s="229">
        <f>(D615/D612)*CA90</f>
        <v>7606.0215601425434</v>
      </c>
      <c r="E647" s="231">
        <f>(E623/E612)*SUM(C647:D647)</f>
        <v>28833.483249873731</v>
      </c>
      <c r="F647" s="231">
        <f>(F624/F612)*CA64</f>
        <v>178.58342738692119</v>
      </c>
      <c r="G647" s="229">
        <f>(G625/G612)*CA91</f>
        <v>0</v>
      </c>
      <c r="H647" s="231">
        <f>(H628/H612)*CA60</f>
        <v>5206.4062271758157</v>
      </c>
      <c r="I647" s="229">
        <f>(I629/I612)*CA92</f>
        <v>1920.9834879231403</v>
      </c>
      <c r="J647" s="229">
        <f>(J630/J612)*CA93</f>
        <v>0</v>
      </c>
      <c r="K647" s="231">
        <v>0</v>
      </c>
      <c r="L647" s="231">
        <f>SUM(C645:K647)</f>
        <v>1917809.9956151706</v>
      </c>
      <c r="N647" s="225" t="s">
        <v>599</v>
      </c>
    </row>
    <row r="648" spans="1:14" s="212" customFormat="1" ht="12.6" customHeight="1" x14ac:dyDescent="0.2">
      <c r="A648" s="224"/>
      <c r="B648" s="224"/>
      <c r="C648" s="212">
        <f>SUM(C614:C647)</f>
        <v>41915332.310000002</v>
      </c>
      <c r="L648" s="227"/>
    </row>
    <row r="666" spans="1:14" s="212" customFormat="1" ht="12.6" customHeight="1" x14ac:dyDescent="0.2">
      <c r="C666" s="222" t="s">
        <v>600</v>
      </c>
      <c r="M666" s="222" t="s">
        <v>601</v>
      </c>
    </row>
    <row r="667" spans="1:14" s="212" customFormat="1" ht="12.6" customHeight="1" x14ac:dyDescent="0.2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" customHeight="1" x14ac:dyDescent="0.2">
      <c r="A668" s="224">
        <v>6010</v>
      </c>
      <c r="B668" s="223" t="s">
        <v>329</v>
      </c>
      <c r="C668" s="229">
        <f>C85</f>
        <v>6660791</v>
      </c>
      <c r="D668" s="229">
        <f>(D615/D612)*C90</f>
        <v>248463.37096465641</v>
      </c>
      <c r="E668" s="231">
        <f>(E623/E612)*SUM(C668:D668)</f>
        <v>549967.0334173264</v>
      </c>
      <c r="F668" s="231">
        <f>(F624/F612)*C64</f>
        <v>14896.670540167717</v>
      </c>
      <c r="G668" s="229">
        <f>(G625/G612)*C91</f>
        <v>284996.21322445816</v>
      </c>
      <c r="H668" s="231">
        <f>(H628/H612)*C60</f>
        <v>88031.023164808488</v>
      </c>
      <c r="I668" s="229">
        <f>(I629/I612)*C92</f>
        <v>62752.127272155914</v>
      </c>
      <c r="J668" s="229">
        <f>(J630/J612)*C93</f>
        <v>51098.626840289624</v>
      </c>
      <c r="K668" s="229">
        <f>(K644/K612)*C89</f>
        <v>340137.26513352379</v>
      </c>
      <c r="L668" s="229">
        <f>(L647/L612)*C94</f>
        <v>220355.29581892741</v>
      </c>
      <c r="M668" s="212">
        <f t="shared" ref="M668:M713" si="24">ROUND(SUM(D668:L668),0)</f>
        <v>1860698</v>
      </c>
      <c r="N668" s="223" t="s">
        <v>603</v>
      </c>
    </row>
    <row r="669" spans="1:14" s="212" customFormat="1" ht="12.6" customHeight="1" x14ac:dyDescent="0.2">
      <c r="A669" s="224">
        <v>6030</v>
      </c>
      <c r="B669" s="223" t="s">
        <v>330</v>
      </c>
      <c r="C669" s="229">
        <f>D85</f>
        <v>103</v>
      </c>
      <c r="D669" s="229">
        <f>(D615/D612)*D90</f>
        <v>0</v>
      </c>
      <c r="E669" s="231">
        <f>(E623/E612)*SUM(C669:D669)</f>
        <v>8.1986566712662121</v>
      </c>
      <c r="F669" s="231">
        <f>(F624/F612)*D64</f>
        <v>2.9322641512598251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11</v>
      </c>
      <c r="N669" s="223" t="s">
        <v>604</v>
      </c>
    </row>
    <row r="670" spans="1:14" s="212" customFormat="1" ht="12.6" customHeight="1" x14ac:dyDescent="0.2">
      <c r="A670" s="224">
        <v>6070</v>
      </c>
      <c r="B670" s="223" t="s">
        <v>605</v>
      </c>
      <c r="C670" s="229">
        <f>E85</f>
        <v>9292172</v>
      </c>
      <c r="D670" s="229">
        <f>(D615/D612)*E90</f>
        <v>974808.24733303068</v>
      </c>
      <c r="E670" s="231">
        <f>(E623/E612)*SUM(C670:D670)</f>
        <v>817237.34076267364</v>
      </c>
      <c r="F670" s="231">
        <f>(F624/F612)*E64</f>
        <v>16517.643244134546</v>
      </c>
      <c r="G670" s="229">
        <f>(G625/G612)*E91</f>
        <v>1132761.7533568717</v>
      </c>
      <c r="H670" s="231">
        <f>(H628/H612)*E60</f>
        <v>145879.98124453978</v>
      </c>
      <c r="I670" s="229">
        <f>(I629/I612)*E92</f>
        <v>246198.42741846695</v>
      </c>
      <c r="J670" s="229">
        <f>(J630/J612)*E93</f>
        <v>99926.021652779789</v>
      </c>
      <c r="K670" s="229">
        <f>(K644/K612)*E89</f>
        <v>623423.85012164933</v>
      </c>
      <c r="L670" s="229">
        <f>(L647/L612)*E94</f>
        <v>522644.87563474244</v>
      </c>
      <c r="M670" s="212">
        <f t="shared" si="24"/>
        <v>4579398</v>
      </c>
      <c r="N670" s="223" t="s">
        <v>606</v>
      </c>
    </row>
    <row r="671" spans="1:14" s="212" customFormat="1" ht="12.6" customHeight="1" x14ac:dyDescent="0.2">
      <c r="A671" s="224">
        <v>6100</v>
      </c>
      <c r="B671" s="223" t="s">
        <v>607</v>
      </c>
      <c r="C671" s="229">
        <f>F85</f>
        <v>6222263</v>
      </c>
      <c r="D671" s="229">
        <f>(D615/D612)*F90</f>
        <v>697339.37351402116</v>
      </c>
      <c r="E671" s="231">
        <f>(E623/E612)*SUM(C671:D671)</f>
        <v>550790.72002058488</v>
      </c>
      <c r="F671" s="231">
        <f>(F624/F612)*F64</f>
        <v>16971.973376075861</v>
      </c>
      <c r="G671" s="229">
        <f>(G625/G612)*F91</f>
        <v>269218.56722254347</v>
      </c>
      <c r="H671" s="231">
        <f>(H628/H612)*F60</f>
        <v>103750.84872995286</v>
      </c>
      <c r="I671" s="229">
        <f>(I629/I612)*F92</f>
        <v>176120.6448610168</v>
      </c>
      <c r="J671" s="229">
        <f>(J630/J612)*F93</f>
        <v>56904.433007962973</v>
      </c>
      <c r="K671" s="229">
        <f>(K644/K612)*F89</f>
        <v>234283.71717600833</v>
      </c>
      <c r="L671" s="229">
        <f>(L647/L612)*F94</f>
        <v>336409.84571424028</v>
      </c>
      <c r="M671" s="212">
        <f t="shared" si="24"/>
        <v>2441790</v>
      </c>
      <c r="N671" s="223" t="s">
        <v>608</v>
      </c>
    </row>
    <row r="672" spans="1:14" s="212" customFormat="1" ht="12.6" customHeight="1" x14ac:dyDescent="0.2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" customHeight="1" x14ac:dyDescent="0.2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" customHeight="1" x14ac:dyDescent="0.2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" customHeight="1" x14ac:dyDescent="0.2">
      <c r="A675" s="224">
        <v>6170</v>
      </c>
      <c r="B675" s="223" t="s">
        <v>125</v>
      </c>
      <c r="C675" s="229">
        <f>J85</f>
        <v>1981205</v>
      </c>
      <c r="D675" s="229">
        <f>(D615/D612)*J90</f>
        <v>148106.14204610896</v>
      </c>
      <c r="E675" s="231">
        <f>(E623/E612)*SUM(C675:D675)</f>
        <v>169490.20388289134</v>
      </c>
      <c r="F675" s="231">
        <f>(F624/F612)*J64</f>
        <v>5147.7747633325762</v>
      </c>
      <c r="G675" s="229">
        <f>(G625/G612)*J91</f>
        <v>17941.247246902934</v>
      </c>
      <c r="H675" s="231">
        <f>(H628/H612)*J60</f>
        <v>28094.472250026025</v>
      </c>
      <c r="I675" s="229">
        <f>(I629/I612)*J92</f>
        <v>37405.817362058937</v>
      </c>
      <c r="J675" s="229">
        <f>(J630/J612)*J93</f>
        <v>10709.342077727741</v>
      </c>
      <c r="K675" s="229">
        <f>(K644/K612)*J89</f>
        <v>109730.47066121106</v>
      </c>
      <c r="L675" s="229">
        <f>(L647/L612)*J94</f>
        <v>157820.49410542549</v>
      </c>
      <c r="M675" s="212">
        <f t="shared" si="24"/>
        <v>684446</v>
      </c>
      <c r="N675" s="223" t="s">
        <v>615</v>
      </c>
    </row>
    <row r="676" spans="1:14" s="212" customFormat="1" ht="12.6" customHeight="1" x14ac:dyDescent="0.2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" customHeight="1" x14ac:dyDescent="0.2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" customHeight="1" x14ac:dyDescent="0.2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" customHeight="1" x14ac:dyDescent="0.2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" customHeight="1" x14ac:dyDescent="0.2">
      <c r="A680" s="224">
        <v>7010</v>
      </c>
      <c r="B680" s="223" t="s">
        <v>622</v>
      </c>
      <c r="C680" s="229">
        <f>O85</f>
        <v>847724</v>
      </c>
      <c r="D680" s="229">
        <f>(D615/D612)*O90</f>
        <v>0</v>
      </c>
      <c r="E680" s="231">
        <f>(E623/E612)*SUM(C680:D680)</f>
        <v>67477.650757208539</v>
      </c>
      <c r="F680" s="231">
        <f>(F624/F612)*O64</f>
        <v>32.027156991915568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305500.44820385933</v>
      </c>
      <c r="L680" s="229">
        <f>(L647/L612)*O94</f>
        <v>0</v>
      </c>
      <c r="M680" s="212">
        <f t="shared" si="24"/>
        <v>373010</v>
      </c>
      <c r="N680" s="223" t="s">
        <v>623</v>
      </c>
    </row>
    <row r="681" spans="1:14" s="212" customFormat="1" ht="12.6" customHeight="1" x14ac:dyDescent="0.2">
      <c r="A681" s="224">
        <v>7020</v>
      </c>
      <c r="B681" s="223" t="s">
        <v>624</v>
      </c>
      <c r="C681" s="229">
        <f>P85</f>
        <v>9870031</v>
      </c>
      <c r="D681" s="229">
        <f>(D615/D612)*P90</f>
        <v>657136.11669612478</v>
      </c>
      <c r="E681" s="231">
        <f>(E623/E612)*SUM(C681:D681)</f>
        <v>837947.85350325226</v>
      </c>
      <c r="F681" s="231">
        <f>(F624/F612)*P64</f>
        <v>194052.1456538405</v>
      </c>
      <c r="G681" s="229">
        <f>(G625/G612)*P91</f>
        <v>0</v>
      </c>
      <c r="H681" s="231">
        <f>(H628/H612)*P60</f>
        <v>46807.352602773884</v>
      </c>
      <c r="I681" s="229">
        <f>(I629/I612)*P92</f>
        <v>165966.87499628021</v>
      </c>
      <c r="J681" s="229">
        <f>(J630/J612)*P93</f>
        <v>38301.454311628724</v>
      </c>
      <c r="K681" s="229">
        <f>(K644/K612)*P89</f>
        <v>1290711.1723187286</v>
      </c>
      <c r="L681" s="229">
        <f>(L647/L612)*P94</f>
        <v>105556.00654195125</v>
      </c>
      <c r="M681" s="212">
        <f t="shared" si="24"/>
        <v>3336479</v>
      </c>
      <c r="N681" s="223" t="s">
        <v>625</v>
      </c>
    </row>
    <row r="682" spans="1:14" s="212" customFormat="1" ht="12.6" customHeight="1" x14ac:dyDescent="0.2">
      <c r="A682" s="224">
        <v>7030</v>
      </c>
      <c r="B682" s="223" t="s">
        <v>626</v>
      </c>
      <c r="C682" s="229">
        <f>Q85</f>
        <v>1147056</v>
      </c>
      <c r="D682" s="229">
        <f>(D615/D612)*Q90</f>
        <v>101413.62080190057</v>
      </c>
      <c r="E682" s="231">
        <f>(E623/E612)*SUM(C682:D682)</f>
        <v>99376.444519035926</v>
      </c>
      <c r="F682" s="231">
        <f>(F624/F612)*Q64</f>
        <v>481.57456682243884</v>
      </c>
      <c r="G682" s="229">
        <f>(G625/G612)*Q91</f>
        <v>0</v>
      </c>
      <c r="H682" s="231">
        <f>(H628/H612)*Q60</f>
        <v>11293.122685999719</v>
      </c>
      <c r="I682" s="229">
        <f>(I629/I612)*Q92</f>
        <v>25613.113172308542</v>
      </c>
      <c r="J682" s="229">
        <f>(J630/J612)*Q93</f>
        <v>0</v>
      </c>
      <c r="K682" s="229">
        <f>(K644/K612)*Q89</f>
        <v>69308.348579540718</v>
      </c>
      <c r="L682" s="229">
        <f>(L647/L612)*Q94</f>
        <v>64817.093746841412</v>
      </c>
      <c r="M682" s="212">
        <f t="shared" si="24"/>
        <v>372303</v>
      </c>
      <c r="N682" s="223" t="s">
        <v>627</v>
      </c>
    </row>
    <row r="683" spans="1:14" s="212" customFormat="1" ht="12.6" customHeight="1" x14ac:dyDescent="0.2">
      <c r="A683" s="224">
        <v>7040</v>
      </c>
      <c r="B683" s="223" t="s">
        <v>133</v>
      </c>
      <c r="C683" s="229">
        <f>R85</f>
        <v>1507462</v>
      </c>
      <c r="D683" s="229">
        <f>(D615/D612)*R90</f>
        <v>16660.809131740811</v>
      </c>
      <c r="E683" s="231">
        <f>(E623/E612)*SUM(C683:D683)</f>
        <v>121318.05472734901</v>
      </c>
      <c r="F683" s="231">
        <f>(F624/F612)*R64</f>
        <v>5983.868606617526</v>
      </c>
      <c r="G683" s="229">
        <f>(G625/G612)*R91</f>
        <v>0</v>
      </c>
      <c r="H683" s="231">
        <f>(H628/H612)*R60</f>
        <v>6438.8405514831356</v>
      </c>
      <c r="I683" s="229">
        <f>(I629/I612)*R92</f>
        <v>4207.8685925935461</v>
      </c>
      <c r="J683" s="229">
        <f>(J630/J612)*R93</f>
        <v>0</v>
      </c>
      <c r="K683" s="229">
        <f>(K644/K612)*R89</f>
        <v>172147.40823027294</v>
      </c>
      <c r="L683" s="229">
        <f>(L647/L612)*R94</f>
        <v>13123.179191702046</v>
      </c>
      <c r="M683" s="212">
        <f t="shared" si="24"/>
        <v>339880</v>
      </c>
      <c r="N683" s="223" t="s">
        <v>628</v>
      </c>
    </row>
    <row r="684" spans="1:14" s="212" customFormat="1" ht="12.6" customHeight="1" x14ac:dyDescent="0.2">
      <c r="A684" s="224">
        <v>7050</v>
      </c>
      <c r="B684" s="223" t="s">
        <v>629</v>
      </c>
      <c r="C684" s="229">
        <f>S85</f>
        <v>1308352</v>
      </c>
      <c r="D684" s="229">
        <f>(D615/D612)*S90</f>
        <v>146838.47178608523</v>
      </c>
      <c r="E684" s="231">
        <f>(E623/E612)*SUM(C684:D684)</f>
        <v>115831.13659681569</v>
      </c>
      <c r="F684" s="231">
        <f>(F624/F612)*S64</f>
        <v>34296.38782198276</v>
      </c>
      <c r="G684" s="229">
        <f>(G625/G612)*S91</f>
        <v>0</v>
      </c>
      <c r="H684" s="231">
        <f>(H628/H612)*S60</f>
        <v>22259.27300024443</v>
      </c>
      <c r="I684" s="229">
        <f>(I629/I612)*S92</f>
        <v>37085.653447405079</v>
      </c>
      <c r="J684" s="229">
        <f>(J630/J612)*S93</f>
        <v>0</v>
      </c>
      <c r="K684" s="229">
        <f>(K644/K612)*S89</f>
        <v>158010.75480641186</v>
      </c>
      <c r="L684" s="229">
        <f>(L647/L612)*S94</f>
        <v>0</v>
      </c>
      <c r="M684" s="212">
        <f t="shared" si="24"/>
        <v>514322</v>
      </c>
      <c r="N684" s="223" t="s">
        <v>630</v>
      </c>
    </row>
    <row r="685" spans="1:14" s="212" customFormat="1" ht="12.6" customHeight="1" x14ac:dyDescent="0.2">
      <c r="A685" s="224">
        <v>7060</v>
      </c>
      <c r="B685" s="223" t="s">
        <v>631</v>
      </c>
      <c r="C685" s="229">
        <f>T85</f>
        <v>125951</v>
      </c>
      <c r="D685" s="229">
        <f>(D615/D612)*T90</f>
        <v>0</v>
      </c>
      <c r="E685" s="231">
        <f>(E623/E612)*SUM(C685:D685)</f>
        <v>10025.524334006319</v>
      </c>
      <c r="F685" s="231">
        <f>(F624/F612)*T64</f>
        <v>3585.6466224788956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184092.89438869525</v>
      </c>
      <c r="L685" s="229">
        <f>(L647/L612)*T94</f>
        <v>0</v>
      </c>
      <c r="M685" s="212">
        <f t="shared" si="24"/>
        <v>197704</v>
      </c>
      <c r="N685" s="223" t="s">
        <v>632</v>
      </c>
    </row>
    <row r="686" spans="1:14" s="212" customFormat="1" ht="12.6" customHeight="1" x14ac:dyDescent="0.2">
      <c r="A686" s="224">
        <v>7070</v>
      </c>
      <c r="B686" s="223" t="s">
        <v>136</v>
      </c>
      <c r="C686" s="229">
        <f>U85</f>
        <v>6108817</v>
      </c>
      <c r="D686" s="229">
        <f>(D615/D612)*U90</f>
        <v>409698.95498958288</v>
      </c>
      <c r="E686" s="231">
        <f>(E623/E612)*SUM(C686:D686)</f>
        <v>518864.79923427763</v>
      </c>
      <c r="F686" s="231">
        <f>(F624/F612)*U64</f>
        <v>59815.541107389101</v>
      </c>
      <c r="G686" s="229">
        <f>(G625/G612)*U91</f>
        <v>0</v>
      </c>
      <c r="H686" s="231">
        <f>(H628/H612)*U60</f>
        <v>53774.379293245867</v>
      </c>
      <c r="I686" s="229">
        <f>(I629/I612)*U92</f>
        <v>103473.92803598694</v>
      </c>
      <c r="J686" s="229">
        <f>(J630/J612)*U93</f>
        <v>0</v>
      </c>
      <c r="K686" s="229">
        <f>(K644/K612)*U89</f>
        <v>1406295.6013426001</v>
      </c>
      <c r="L686" s="229">
        <f>(L647/L612)*U94</f>
        <v>0</v>
      </c>
      <c r="M686" s="212">
        <f t="shared" si="24"/>
        <v>2551923</v>
      </c>
      <c r="N686" s="223" t="s">
        <v>633</v>
      </c>
    </row>
    <row r="687" spans="1:14" s="212" customFormat="1" ht="12.6" customHeight="1" x14ac:dyDescent="0.2">
      <c r="A687" s="224">
        <v>7110</v>
      </c>
      <c r="B687" s="223" t="s">
        <v>634</v>
      </c>
      <c r="C687" s="229">
        <f>V85</f>
        <v>115135</v>
      </c>
      <c r="D687" s="229">
        <f>(D615/D612)*V90</f>
        <v>4527.3937857991332</v>
      </c>
      <c r="E687" s="231">
        <f>(E623/E612)*SUM(C687:D687)</f>
        <v>9524.960030209968</v>
      </c>
      <c r="F687" s="231">
        <f>(F624/F612)*V64</f>
        <v>0</v>
      </c>
      <c r="G687" s="229">
        <f>(G625/G612)*V91</f>
        <v>0</v>
      </c>
      <c r="H687" s="231">
        <f>(H628/H612)*V60</f>
        <v>2213.3514395723278</v>
      </c>
      <c r="I687" s="229">
        <f>(I629/I612)*V92</f>
        <v>1143.4425523352029</v>
      </c>
      <c r="J687" s="229">
        <f>(J630/J612)*V93</f>
        <v>0</v>
      </c>
      <c r="K687" s="229">
        <f>(K644/K612)*V89</f>
        <v>7483.3293329958587</v>
      </c>
      <c r="L687" s="229">
        <f>(L647/L612)*V94</f>
        <v>0</v>
      </c>
      <c r="M687" s="212">
        <f t="shared" si="24"/>
        <v>24892</v>
      </c>
      <c r="N687" s="223" t="s">
        <v>635</v>
      </c>
    </row>
    <row r="688" spans="1:14" s="212" customFormat="1" ht="12.6" customHeight="1" x14ac:dyDescent="0.2">
      <c r="A688" s="224">
        <v>7120</v>
      </c>
      <c r="B688" s="223" t="s">
        <v>636</v>
      </c>
      <c r="C688" s="229">
        <f>W85</f>
        <v>712010</v>
      </c>
      <c r="D688" s="229">
        <f>(D615/D612)*W90</f>
        <v>167815.39632695453</v>
      </c>
      <c r="E688" s="231">
        <f>(E623/E612)*SUM(C688:D688)</f>
        <v>70032.877234421598</v>
      </c>
      <c r="F688" s="231">
        <f>(F624/F612)*W64</f>
        <v>185.10273312127558</v>
      </c>
      <c r="G688" s="229">
        <f>(G625/G612)*W91</f>
        <v>0</v>
      </c>
      <c r="H688" s="231">
        <f>(H628/H612)*W60</f>
        <v>7570.6679921735295</v>
      </c>
      <c r="I688" s="229">
        <f>(I629/I612)*W92</f>
        <v>42383.603939891516</v>
      </c>
      <c r="J688" s="229">
        <f>(J630/J612)*W93</f>
        <v>0</v>
      </c>
      <c r="K688" s="229">
        <f>(K644/K612)*W89</f>
        <v>207121.38918475161</v>
      </c>
      <c r="L688" s="229">
        <f>(L647/L612)*W94</f>
        <v>0</v>
      </c>
      <c r="M688" s="212">
        <f t="shared" si="24"/>
        <v>495109</v>
      </c>
      <c r="N688" s="223" t="s">
        <v>637</v>
      </c>
    </row>
    <row r="689" spans="1:14" s="212" customFormat="1" ht="12.6" customHeight="1" x14ac:dyDescent="0.2">
      <c r="A689" s="224">
        <v>7130</v>
      </c>
      <c r="B689" s="223" t="s">
        <v>638</v>
      </c>
      <c r="C689" s="229">
        <f>X85</f>
        <v>1434904</v>
      </c>
      <c r="D689" s="229">
        <f>(D615/D612)*X90</f>
        <v>95678.922006555003</v>
      </c>
      <c r="E689" s="231">
        <f>(E623/E612)*SUM(C689:D689)</f>
        <v>121832.2707226716</v>
      </c>
      <c r="F689" s="231">
        <f>(F624/F612)*X64</f>
        <v>3714.2392163744357</v>
      </c>
      <c r="G689" s="229">
        <f>(G625/G612)*X91</f>
        <v>0</v>
      </c>
      <c r="H689" s="231">
        <f>(H628/H612)*X60</f>
        <v>16323.466866845918</v>
      </c>
      <c r="I689" s="229">
        <f>(I629/I612)*X92</f>
        <v>24164.752606017286</v>
      </c>
      <c r="J689" s="229">
        <f>(J630/J612)*X93</f>
        <v>5321.9207572806044</v>
      </c>
      <c r="K689" s="229">
        <f>(K644/K612)*X89</f>
        <v>1126341.8451141808</v>
      </c>
      <c r="L689" s="229">
        <f>(L647/L612)*X94</f>
        <v>0</v>
      </c>
      <c r="M689" s="212">
        <f t="shared" si="24"/>
        <v>1393377</v>
      </c>
      <c r="N689" s="223" t="s">
        <v>639</v>
      </c>
    </row>
    <row r="690" spans="1:14" s="212" customFormat="1" ht="12.6" customHeight="1" x14ac:dyDescent="0.2">
      <c r="A690" s="224">
        <v>7140</v>
      </c>
      <c r="B690" s="223" t="s">
        <v>640</v>
      </c>
      <c r="C690" s="229">
        <f>Y85</f>
        <v>6350118</v>
      </c>
      <c r="D690" s="229">
        <f>(D615/D612)*Y90</f>
        <v>573469.87953455688</v>
      </c>
      <c r="E690" s="231">
        <f>(E623/E612)*SUM(C690:D690)</f>
        <v>551107.9607538241</v>
      </c>
      <c r="F690" s="231">
        <f>(F624/F612)*Y64</f>
        <v>9725.039103449164</v>
      </c>
      <c r="G690" s="229">
        <f>(G625/G612)*Y91</f>
        <v>0</v>
      </c>
      <c r="H690" s="231">
        <f>(H628/H612)*Y60</f>
        <v>69292.991091156393</v>
      </c>
      <c r="I690" s="229">
        <f>(I629/I612)*Y92</f>
        <v>144836.05662912567</v>
      </c>
      <c r="J690" s="229">
        <f>(J630/J612)*Y93</f>
        <v>53570.454342786565</v>
      </c>
      <c r="K690" s="229">
        <f>(K644/K612)*Y89</f>
        <v>953875.60050641047</v>
      </c>
      <c r="L690" s="229">
        <f>(L647/L612)*Y94</f>
        <v>7873.9075150212275</v>
      </c>
      <c r="M690" s="212">
        <f t="shared" si="24"/>
        <v>2363752</v>
      </c>
      <c r="N690" s="223" t="s">
        <v>641</v>
      </c>
    </row>
    <row r="691" spans="1:14" s="212" customFormat="1" ht="12.6" customHeight="1" x14ac:dyDescent="0.2">
      <c r="A691" s="224">
        <v>7150</v>
      </c>
      <c r="B691" s="223" t="s">
        <v>642</v>
      </c>
      <c r="C691" s="229">
        <f>Z85</f>
        <v>8501525</v>
      </c>
      <c r="D691" s="229">
        <f>(D615/D612)*Z90</f>
        <v>0</v>
      </c>
      <c r="E691" s="231">
        <f>(E623/E612)*SUM(C691:D691)</f>
        <v>676709.55977850966</v>
      </c>
      <c r="F691" s="231">
        <f>(F624/F612)*Z64</f>
        <v>242026.37852950665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1142124.6662580946</v>
      </c>
      <c r="L691" s="229">
        <f>(L647/L612)*Z94</f>
        <v>0</v>
      </c>
      <c r="M691" s="212">
        <f t="shared" si="24"/>
        <v>2060861</v>
      </c>
      <c r="N691" s="223" t="s">
        <v>643</v>
      </c>
    </row>
    <row r="692" spans="1:14" s="212" customFormat="1" ht="12.6" customHeight="1" x14ac:dyDescent="0.2">
      <c r="A692" s="224">
        <v>7160</v>
      </c>
      <c r="B692" s="223" t="s">
        <v>644</v>
      </c>
      <c r="C692" s="229">
        <f>AA85</f>
        <v>358131</v>
      </c>
      <c r="D692" s="229">
        <f>(D615/D612)*AA90</f>
        <v>128185.60938859278</v>
      </c>
      <c r="E692" s="231">
        <f>(E623/E612)*SUM(C692:D692)</f>
        <v>38710.12537778011</v>
      </c>
      <c r="F692" s="231">
        <f>(F624/F612)*AA64</f>
        <v>1567.7364519002651</v>
      </c>
      <c r="G692" s="229">
        <f>(G625/G612)*AA91</f>
        <v>0</v>
      </c>
      <c r="H692" s="231">
        <f>(H628/H612)*AA60</f>
        <v>3571.5443684008014</v>
      </c>
      <c r="I692" s="229">
        <f>(I629/I612)*AA92</f>
        <v>32374.670131784038</v>
      </c>
      <c r="J692" s="229">
        <f>(J630/J612)*AA93</f>
        <v>0</v>
      </c>
      <c r="K692" s="229">
        <f>(K644/K612)*AA89</f>
        <v>75947.851468135312</v>
      </c>
      <c r="L692" s="229">
        <f>(L647/L612)*AA94</f>
        <v>10384.428751694664</v>
      </c>
      <c r="M692" s="212">
        <f t="shared" si="24"/>
        <v>290742</v>
      </c>
      <c r="N692" s="223" t="s">
        <v>645</v>
      </c>
    </row>
    <row r="693" spans="1:14" s="212" customFormat="1" ht="12.6" customHeight="1" x14ac:dyDescent="0.2">
      <c r="A693" s="224">
        <v>7170</v>
      </c>
      <c r="B693" s="223" t="s">
        <v>142</v>
      </c>
      <c r="C693" s="229">
        <f>AB85</f>
        <v>7096541</v>
      </c>
      <c r="D693" s="229">
        <f>(D615/D612)*AB90</f>
        <v>168811.42295983035</v>
      </c>
      <c r="E693" s="231">
        <f>(E623/E612)*SUM(C693:D693)</f>
        <v>578311.94283106562</v>
      </c>
      <c r="F693" s="231">
        <f>(F624/F612)*AB64</f>
        <v>142820.45199196466</v>
      </c>
      <c r="G693" s="229">
        <f>(G625/G612)*AB91</f>
        <v>0</v>
      </c>
      <c r="H693" s="231">
        <f>(H628/H612)*AB60</f>
        <v>35690.29196310378</v>
      </c>
      <c r="I693" s="229">
        <f>(I629/I612)*AB92</f>
        <v>42635.161301405256</v>
      </c>
      <c r="J693" s="229">
        <f>(J630/J612)*AB93</f>
        <v>0</v>
      </c>
      <c r="K693" s="229">
        <f>(K644/K612)*AB89</f>
        <v>805023.10637836542</v>
      </c>
      <c r="L693" s="229">
        <f>(L647/L612)*AB94</f>
        <v>0</v>
      </c>
      <c r="M693" s="212">
        <f t="shared" si="24"/>
        <v>1773292</v>
      </c>
      <c r="N693" s="223" t="s">
        <v>646</v>
      </c>
    </row>
    <row r="694" spans="1:14" s="212" customFormat="1" ht="12.6" customHeight="1" x14ac:dyDescent="0.2">
      <c r="A694" s="224">
        <v>7180</v>
      </c>
      <c r="B694" s="223" t="s">
        <v>647</v>
      </c>
      <c r="C694" s="229">
        <f>AC85</f>
        <v>2579298</v>
      </c>
      <c r="D694" s="229">
        <f>(D615/D612)*AC90</f>
        <v>122450.91059324722</v>
      </c>
      <c r="E694" s="231">
        <f>(E623/E612)*SUM(C694:D694)</f>
        <v>215055.45368855871</v>
      </c>
      <c r="F694" s="231">
        <f>(F624/F612)*AC64</f>
        <v>8955.5048095394122</v>
      </c>
      <c r="G694" s="229">
        <f>(G625/G612)*AC91</f>
        <v>0</v>
      </c>
      <c r="H694" s="231">
        <f>(H628/H612)*AC60</f>
        <v>28547.203226302179</v>
      </c>
      <c r="I694" s="229">
        <f>(I629/I612)*AC92</f>
        <v>30926.309565492782</v>
      </c>
      <c r="J694" s="229">
        <f>(J630/J612)*AC93</f>
        <v>0</v>
      </c>
      <c r="K694" s="229">
        <f>(K644/K612)*AC89</f>
        <v>428518.18286452111</v>
      </c>
      <c r="L694" s="229">
        <f>(L647/L612)*AC94</f>
        <v>0</v>
      </c>
      <c r="M694" s="212">
        <f t="shared" si="24"/>
        <v>834454</v>
      </c>
      <c r="N694" s="223" t="s">
        <v>648</v>
      </c>
    </row>
    <row r="695" spans="1:14" s="212" customFormat="1" ht="12.6" customHeight="1" x14ac:dyDescent="0.2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649</v>
      </c>
    </row>
    <row r="696" spans="1:14" s="212" customFormat="1" ht="12.6" customHeight="1" x14ac:dyDescent="0.2">
      <c r="A696" s="224">
        <v>7200</v>
      </c>
      <c r="B696" s="223" t="s">
        <v>650</v>
      </c>
      <c r="C696" s="229">
        <f>AE85</f>
        <v>2288705</v>
      </c>
      <c r="D696" s="229">
        <f>(D615/D612)*AE90</f>
        <v>246078.94357080222</v>
      </c>
      <c r="E696" s="231">
        <f>(E623/E612)*SUM(C696:D696)</f>
        <v>201765.27465218675</v>
      </c>
      <c r="F696" s="231">
        <f>(F624/F612)*AE64</f>
        <v>620.27350803542788</v>
      </c>
      <c r="G696" s="229">
        <f>(G625/G612)*AE91</f>
        <v>0</v>
      </c>
      <c r="H696" s="231">
        <f>(H628/H612)*AE60</f>
        <v>39488.201819642665</v>
      </c>
      <c r="I696" s="229">
        <f>(I629/I612)*AE92</f>
        <v>62149.914194592719</v>
      </c>
      <c r="J696" s="229">
        <f>(J630/J612)*AE93</f>
        <v>13379.308783803441</v>
      </c>
      <c r="K696" s="229">
        <f>(K644/K612)*AE89</f>
        <v>196326.10304805258</v>
      </c>
      <c r="L696" s="229">
        <f>(L647/L612)*AE94</f>
        <v>7988.022116688202</v>
      </c>
      <c r="M696" s="212">
        <f t="shared" si="24"/>
        <v>767796</v>
      </c>
      <c r="N696" s="223" t="s">
        <v>651</v>
      </c>
    </row>
    <row r="697" spans="1:14" s="212" customFormat="1" ht="12.6" customHeight="1" x14ac:dyDescent="0.2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" customHeight="1" x14ac:dyDescent="0.2">
      <c r="A698" s="224">
        <v>7230</v>
      </c>
      <c r="B698" s="223" t="s">
        <v>654</v>
      </c>
      <c r="C698" s="229">
        <f>AG85</f>
        <v>11175844</v>
      </c>
      <c r="D698" s="229">
        <f>(D615/D612)*AG90</f>
        <v>377645.00698612502</v>
      </c>
      <c r="E698" s="231">
        <f>(E623/E612)*SUM(C698:D698)</f>
        <v>919641.64780123928</v>
      </c>
      <c r="F698" s="231">
        <f>(F624/F612)*AG64</f>
        <v>20160.85334344691</v>
      </c>
      <c r="G698" s="229">
        <f>(G625/G612)*AG91</f>
        <v>47565.941216742664</v>
      </c>
      <c r="H698" s="231">
        <f>(H628/H612)*AG60</f>
        <v>49800.407390377368</v>
      </c>
      <c r="I698" s="229">
        <f>(I629/I612)*AG92</f>
        <v>95378.354765453711</v>
      </c>
      <c r="J698" s="229">
        <f>(J630/J612)*AG93</f>
        <v>60399.706809936957</v>
      </c>
      <c r="K698" s="229">
        <f>(K644/K612)*AG89</f>
        <v>1156892.2651122883</v>
      </c>
      <c r="L698" s="229">
        <f>(L647/L612)*AG94</f>
        <v>134312.88616202876</v>
      </c>
      <c r="M698" s="212">
        <f t="shared" si="24"/>
        <v>2861797</v>
      </c>
      <c r="N698" s="223" t="s">
        <v>655</v>
      </c>
    </row>
    <row r="699" spans="1:14" s="212" customFormat="1" ht="12.6" customHeight="1" x14ac:dyDescent="0.2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656</v>
      </c>
    </row>
    <row r="700" spans="1:14" s="212" customFormat="1" ht="12.6" customHeight="1" x14ac:dyDescent="0.2">
      <c r="A700" s="224">
        <v>7250</v>
      </c>
      <c r="B700" s="223" t="s">
        <v>657</v>
      </c>
      <c r="C700" s="229">
        <f>AI85</f>
        <v>3204042</v>
      </c>
      <c r="D700" s="229">
        <f>(D615/D612)*AI90</f>
        <v>763861.87954002968</v>
      </c>
      <c r="E700" s="231">
        <f>(E623/E612)*SUM(C700:D700)</f>
        <v>315839.62731003837</v>
      </c>
      <c r="F700" s="231">
        <f>(F624/F612)*AI64</f>
        <v>9177.4458903473896</v>
      </c>
      <c r="G700" s="229">
        <f>(G625/G612)*AI91</f>
        <v>67138.210940636782</v>
      </c>
      <c r="H700" s="231">
        <f>(H628/H612)*AI60</f>
        <v>61797.778261695559</v>
      </c>
      <c r="I700" s="229">
        <f>(I629/I612)*AI92</f>
        <v>192921.62742999542</v>
      </c>
      <c r="J700" s="229">
        <f>(J630/J612)*AI93</f>
        <v>43438.335977963878</v>
      </c>
      <c r="K700" s="229">
        <f>(K644/K612)*AI89</f>
        <v>246703.84627605847</v>
      </c>
      <c r="L700" s="229">
        <f>(L647/L612)*AI94</f>
        <v>220355.29581892741</v>
      </c>
      <c r="M700" s="212">
        <f t="shared" si="24"/>
        <v>1921234</v>
      </c>
      <c r="N700" s="223" t="s">
        <v>658</v>
      </c>
    </row>
    <row r="701" spans="1:14" s="212" customFormat="1" ht="12.6" customHeight="1" x14ac:dyDescent="0.2">
      <c r="A701" s="224">
        <v>7260</v>
      </c>
      <c r="B701" s="223" t="s">
        <v>148</v>
      </c>
      <c r="C701" s="229">
        <f>AJ85</f>
        <v>1989873</v>
      </c>
      <c r="D701" s="229">
        <f>(D615/D612)*AJ90</f>
        <v>281271.88459908077</v>
      </c>
      <c r="E701" s="231">
        <f>(E623/E612)*SUM(C701:D701)</f>
        <v>180779.97242262511</v>
      </c>
      <c r="F701" s="231">
        <f>(F624/F612)*AJ64</f>
        <v>15106.654815698712</v>
      </c>
      <c r="G701" s="229">
        <f>(G625/G612)*AJ91</f>
        <v>0</v>
      </c>
      <c r="H701" s="231">
        <f>(H628/H612)*AJ60</f>
        <v>23290.493557317903</v>
      </c>
      <c r="I701" s="229">
        <f>(I629/I612)*AJ92</f>
        <v>71038.274301411686</v>
      </c>
      <c r="J701" s="229">
        <f>(J630/J612)*AJ93</f>
        <v>0</v>
      </c>
      <c r="K701" s="229">
        <f>(K644/K612)*AJ89</f>
        <v>447392.85654883279</v>
      </c>
      <c r="L701" s="229">
        <f>(L647/L612)*AJ94</f>
        <v>74630.949490201208</v>
      </c>
      <c r="M701" s="212">
        <f t="shared" si="24"/>
        <v>1093511</v>
      </c>
      <c r="N701" s="223" t="s">
        <v>659</v>
      </c>
    </row>
    <row r="702" spans="1:14" s="212" customFormat="1" ht="12.6" customHeight="1" x14ac:dyDescent="0.2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" customHeight="1" x14ac:dyDescent="0.2">
      <c r="A703" s="224">
        <v>7320</v>
      </c>
      <c r="B703" s="223" t="s">
        <v>662</v>
      </c>
      <c r="C703" s="229">
        <f>AL85</f>
        <v>424284</v>
      </c>
      <c r="D703" s="229">
        <f>(D615/D612)*AL90</f>
        <v>6036.525047732177</v>
      </c>
      <c r="E703" s="231">
        <f>(E623/E612)*SUM(C703:D703)</f>
        <v>34252.914985100666</v>
      </c>
      <c r="F703" s="231">
        <f>(F624/F612)*AL64</f>
        <v>38.347182638320241</v>
      </c>
      <c r="G703" s="229">
        <f>(G625/G612)*AL91</f>
        <v>0</v>
      </c>
      <c r="H703" s="231">
        <f>(H628/H612)*AL60</f>
        <v>9205.5298509485456</v>
      </c>
      <c r="I703" s="229">
        <f>(I629/I612)*AL92</f>
        <v>1524.5900697802704</v>
      </c>
      <c r="J703" s="229">
        <f>(J630/J612)*AL93</f>
        <v>0</v>
      </c>
      <c r="K703" s="229">
        <f>(K644/K612)*AL89</f>
        <v>46786.300583691278</v>
      </c>
      <c r="L703" s="229">
        <f>(L647/L612)*AL94</f>
        <v>5933.9592866826652</v>
      </c>
      <c r="M703" s="212">
        <f t="shared" si="24"/>
        <v>103778</v>
      </c>
      <c r="N703" s="223" t="s">
        <v>663</v>
      </c>
    </row>
    <row r="704" spans="1:14" s="212" customFormat="1" ht="12.6" customHeight="1" x14ac:dyDescent="0.2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" customHeight="1" x14ac:dyDescent="0.2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" customHeight="1" x14ac:dyDescent="0.2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" customHeight="1" x14ac:dyDescent="0.2">
      <c r="A707" s="224">
        <v>7380</v>
      </c>
      <c r="B707" s="223" t="s">
        <v>670</v>
      </c>
      <c r="C707" s="229">
        <f>AP85</f>
        <v>36006840</v>
      </c>
      <c r="D707" s="229">
        <f>(D615/D612)*AP90</f>
        <v>2983311.0438397191</v>
      </c>
      <c r="E707" s="231">
        <f>(E623/E612)*SUM(C707:D707)</f>
        <v>3103561.7666917848</v>
      </c>
      <c r="F707" s="231">
        <f>(F624/F612)*AP64</f>
        <v>39191.987868306991</v>
      </c>
      <c r="G707" s="229">
        <f>(G625/G612)*AP91</f>
        <v>0</v>
      </c>
      <c r="H707" s="231">
        <f>(H628/H612)*AP60</f>
        <v>433489.90978442121</v>
      </c>
      <c r="I707" s="229">
        <f>(I629/I612)*AP92</f>
        <v>753467.65838610742</v>
      </c>
      <c r="J707" s="229">
        <f>(J630/J612)*AP93</f>
        <v>0</v>
      </c>
      <c r="K707" s="229">
        <f>(K644/K612)*AP89</f>
        <v>1330146.0595062284</v>
      </c>
      <c r="L707" s="229">
        <f>(L647/L612)*AP94</f>
        <v>35603.755720095993</v>
      </c>
      <c r="M707" s="212">
        <f t="shared" si="24"/>
        <v>8678772</v>
      </c>
      <c r="N707" s="223" t="s">
        <v>671</v>
      </c>
    </row>
    <row r="708" spans="1:14" s="212" customFormat="1" ht="12.6" customHeight="1" x14ac:dyDescent="0.2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673</v>
      </c>
    </row>
    <row r="709" spans="1:14" s="212" customFormat="1" ht="12.6" customHeight="1" x14ac:dyDescent="0.2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675</v>
      </c>
    </row>
    <row r="710" spans="1:14" s="212" customFormat="1" ht="12.6" customHeight="1" x14ac:dyDescent="0.2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" customHeight="1" x14ac:dyDescent="0.2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" customHeight="1" x14ac:dyDescent="0.2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" customHeight="1" x14ac:dyDescent="0.2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4"/>
        <v>0</v>
      </c>
      <c r="N713" s="225" t="s">
        <v>682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169224509.31</v>
      </c>
      <c r="D715" s="212">
        <f>SUM(D616:D647)+SUM(D668:D713)</f>
        <v>14559464.580000002</v>
      </c>
      <c r="E715" s="212">
        <f>SUM(E624:E647)+SUM(E668:E713)</f>
        <v>12476892.201114973</v>
      </c>
      <c r="F715" s="212">
        <f>SUM(F625:F648)+SUM(F668:F713)</f>
        <v>870064.35122596647</v>
      </c>
      <c r="G715" s="212">
        <f>SUM(G626:G647)+SUM(G668:G713)</f>
        <v>1819621.9332081554</v>
      </c>
      <c r="H715" s="212">
        <f>SUM(H629:H647)+SUM(H668:H713)</f>
        <v>1639741.2926304357</v>
      </c>
      <c r="I715" s="212">
        <f>SUM(I630:I647)+SUM(I668:I713)</f>
        <v>2598744.0609099176</v>
      </c>
      <c r="J715" s="212">
        <f>SUM(J631:J647)+SUM(J668:J713)</f>
        <v>433049.60456216027</v>
      </c>
      <c r="K715" s="212">
        <f>SUM(K668:K713)</f>
        <v>13064325.333145106</v>
      </c>
      <c r="L715" s="212">
        <f>SUM(L668:L713)</f>
        <v>1917809.9956151708</v>
      </c>
      <c r="M715" s="212">
        <f>SUM(M668:M713)</f>
        <v>41915331</v>
      </c>
      <c r="N715" s="223" t="s">
        <v>683</v>
      </c>
    </row>
    <row r="716" spans="1:14" s="212" customFormat="1" ht="12.6" customHeight="1" x14ac:dyDescent="0.2">
      <c r="C716" s="226">
        <f>CE85</f>
        <v>169224509.31000003</v>
      </c>
      <c r="D716" s="212">
        <f>D615</f>
        <v>14559464.58</v>
      </c>
      <c r="E716" s="212">
        <f>E623</f>
        <v>12476892.201114973</v>
      </c>
      <c r="F716" s="212">
        <f>F624</f>
        <v>870064.35122596659</v>
      </c>
      <c r="G716" s="212">
        <f>G625</f>
        <v>1819621.9332081557</v>
      </c>
      <c r="H716" s="212">
        <f>H628</f>
        <v>1639741.2926304357</v>
      </c>
      <c r="I716" s="212">
        <f>I629</f>
        <v>2598744.0609099171</v>
      </c>
      <c r="J716" s="212">
        <f>J630</f>
        <v>433049.60456216027</v>
      </c>
      <c r="K716" s="212">
        <f>K644</f>
        <v>13064325.333145108</v>
      </c>
      <c r="L716" s="212">
        <f>L647</f>
        <v>1917809.9956151706</v>
      </c>
      <c r="M716" s="212">
        <f>C648</f>
        <v>41915332.310000002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1043</v>
      </c>
      <c r="B1" s="11" t="s">
        <v>1044</v>
      </c>
      <c r="C1" s="11" t="s">
        <v>1045</v>
      </c>
      <c r="D1" s="11" t="s">
        <v>1046</v>
      </c>
      <c r="E1" s="11" t="s">
        <v>1047</v>
      </c>
      <c r="F1" s="11" t="s">
        <v>1048</v>
      </c>
      <c r="G1" s="11" t="s">
        <v>1049</v>
      </c>
      <c r="H1" s="11" t="s">
        <v>1050</v>
      </c>
      <c r="I1" s="11" t="s">
        <v>1051</v>
      </c>
      <c r="J1" s="11" t="s">
        <v>1052</v>
      </c>
      <c r="K1" s="11" t="s">
        <v>1053</v>
      </c>
      <c r="L1" s="11" t="s">
        <v>1054</v>
      </c>
      <c r="M1" s="11" t="s">
        <v>1055</v>
      </c>
      <c r="N1" s="11" t="s">
        <v>1056</v>
      </c>
    </row>
    <row r="2" spans="1:14" x14ac:dyDescent="0.25">
      <c r="A2" s="11" t="str">
        <f>MONTH(data!C96) &amp; "-" &amp; DAY(data!C96)</f>
        <v>12-31</v>
      </c>
      <c r="B2" s="211" t="str">
        <f>RIGHT(data!C97, 3)</f>
        <v>039</v>
      </c>
      <c r="C2" s="11" t="str">
        <f>SUBSTITUTE(LEFT(data!C98,49),",","")</f>
        <v>RCCH Trios Health LLC</v>
      </c>
      <c r="D2" s="11" t="str">
        <f>LEFT(data!C99, 49)</f>
        <v>3730 Plaza Way</v>
      </c>
      <c r="E2" s="11" t="str">
        <f>LEFT(data!C100, 100)</f>
        <v>Kennewick</v>
      </c>
      <c r="F2" s="11" t="str">
        <f>LEFT(data!C101, 2)</f>
        <v>WA</v>
      </c>
      <c r="G2" s="11" t="str">
        <f>LEFT(data!C102, 100)</f>
        <v>99337</v>
      </c>
      <c r="H2" s="11" t="str">
        <f>LEFT(data!C103, 100)</f>
        <v>Benton</v>
      </c>
      <c r="I2" s="11" t="str">
        <f>LEFT(data!C104, 49)</f>
        <v>David Elgarico</v>
      </c>
      <c r="J2" s="11" t="str">
        <f>LEFT(data!C105, 49)</f>
        <v>Charlie Pearce</v>
      </c>
      <c r="K2" s="11" t="str">
        <f>LEFT(data!C107, 49)</f>
        <v>509-221-7000</v>
      </c>
      <c r="L2" s="11" t="str">
        <f>LEFT(data!C108, 49)</f>
        <v>509-221-5892</v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0" t="s">
        <v>1057</v>
      </c>
      <c r="B1" s="12" t="s">
        <v>1058</v>
      </c>
      <c r="C1" s="10" t="s">
        <v>1059</v>
      </c>
      <c r="D1" s="10" t="s">
        <v>1060</v>
      </c>
      <c r="E1" s="10" t="s">
        <v>1061</v>
      </c>
      <c r="F1" s="10" t="s">
        <v>1062</v>
      </c>
      <c r="G1" s="10" t="s">
        <v>1063</v>
      </c>
      <c r="H1" s="10" t="s">
        <v>1064</v>
      </c>
      <c r="I1" s="10" t="s">
        <v>1065</v>
      </c>
      <c r="J1" s="10" t="s">
        <v>1066</v>
      </c>
      <c r="K1" s="10" t="s">
        <v>1067</v>
      </c>
      <c r="L1" s="10" t="s">
        <v>1068</v>
      </c>
      <c r="M1" s="10" t="s">
        <v>1069</v>
      </c>
      <c r="N1" s="10" t="s">
        <v>1070</v>
      </c>
      <c r="O1" s="10" t="s">
        <v>1071</v>
      </c>
      <c r="P1" s="10" t="s">
        <v>1072</v>
      </c>
      <c r="Q1" s="10" t="s">
        <v>1073</v>
      </c>
      <c r="R1" s="10" t="s">
        <v>1074</v>
      </c>
      <c r="S1" s="10" t="s">
        <v>1075</v>
      </c>
      <c r="T1" s="10" t="s">
        <v>1076</v>
      </c>
      <c r="U1" s="10" t="s">
        <v>1077</v>
      </c>
      <c r="V1" s="10" t="s">
        <v>1078</v>
      </c>
      <c r="W1" s="10" t="s">
        <v>1079</v>
      </c>
      <c r="X1" s="10" t="s">
        <v>1080</v>
      </c>
      <c r="Y1" s="10" t="s">
        <v>1081</v>
      </c>
      <c r="Z1" s="10" t="s">
        <v>1082</v>
      </c>
      <c r="AA1" s="10" t="s">
        <v>1083</v>
      </c>
      <c r="AB1" s="10" t="s">
        <v>1084</v>
      </c>
      <c r="AC1" s="10" t="s">
        <v>1085</v>
      </c>
      <c r="AD1" s="10" t="s">
        <v>1086</v>
      </c>
      <c r="AE1" s="10" t="s">
        <v>1087</v>
      </c>
      <c r="AF1" s="10" t="s">
        <v>1088</v>
      </c>
      <c r="AG1" s="10" t="s">
        <v>1089</v>
      </c>
      <c r="AH1" s="10" t="s">
        <v>1090</v>
      </c>
      <c r="AI1" s="10" t="s">
        <v>1091</v>
      </c>
      <c r="AJ1" s="10" t="s">
        <v>1092</v>
      </c>
      <c r="AK1" s="10" t="s">
        <v>1093</v>
      </c>
      <c r="AL1" s="10" t="s">
        <v>1094</v>
      </c>
      <c r="AM1" s="10" t="s">
        <v>1095</v>
      </c>
      <c r="AN1" s="10" t="s">
        <v>1096</v>
      </c>
      <c r="AO1" s="10" t="s">
        <v>1097</v>
      </c>
      <c r="AP1" s="10" t="s">
        <v>1098</v>
      </c>
      <c r="AQ1" s="10" t="s">
        <v>1099</v>
      </c>
      <c r="AR1" s="10" t="s">
        <v>1100</v>
      </c>
      <c r="AS1" s="10" t="s">
        <v>1101</v>
      </c>
      <c r="AT1" s="10" t="s">
        <v>1102</v>
      </c>
      <c r="AU1" s="10" t="s">
        <v>1103</v>
      </c>
      <c r="AV1" s="10" t="s">
        <v>1104</v>
      </c>
      <c r="AW1" s="10" t="s">
        <v>1105</v>
      </c>
      <c r="AX1" s="10" t="s">
        <v>1106</v>
      </c>
      <c r="AY1" s="10" t="s">
        <v>1107</v>
      </c>
      <c r="AZ1" s="10" t="s">
        <v>1108</v>
      </c>
      <c r="BA1" s="10" t="s">
        <v>1109</v>
      </c>
      <c r="BB1" s="10" t="s">
        <v>1110</v>
      </c>
      <c r="BC1" s="10" t="s">
        <v>1111</v>
      </c>
      <c r="BD1" s="10" t="s">
        <v>1112</v>
      </c>
      <c r="BE1" s="10" t="s">
        <v>1113</v>
      </c>
      <c r="BF1" s="10" t="s">
        <v>1114</v>
      </c>
      <c r="BG1" s="10" t="s">
        <v>1115</v>
      </c>
      <c r="BH1" s="10" t="s">
        <v>1116</v>
      </c>
      <c r="BI1" s="10" t="s">
        <v>1117</v>
      </c>
      <c r="BJ1" s="10" t="s">
        <v>1118</v>
      </c>
      <c r="BK1" s="10" t="s">
        <v>1119</v>
      </c>
      <c r="BL1" s="10" t="s">
        <v>1120</v>
      </c>
      <c r="BM1" s="10" t="s">
        <v>1121</v>
      </c>
      <c r="BN1" s="10" t="s">
        <v>1122</v>
      </c>
      <c r="BO1" s="10" t="s">
        <v>1123</v>
      </c>
      <c r="BP1" s="10" t="s">
        <v>1124</v>
      </c>
      <c r="BQ1" s="10" t="s">
        <v>1125</v>
      </c>
      <c r="BR1" s="10" t="s">
        <v>1126</v>
      </c>
      <c r="BS1" s="10" t="s">
        <v>1127</v>
      </c>
      <c r="BT1" s="10" t="s">
        <v>1128</v>
      </c>
      <c r="BU1" s="10" t="s">
        <v>1129</v>
      </c>
      <c r="BV1" s="10" t="s">
        <v>1130</v>
      </c>
      <c r="BW1" s="10" t="s">
        <v>1131</v>
      </c>
      <c r="BX1" s="10" t="s">
        <v>1132</v>
      </c>
      <c r="BY1" s="10" t="s">
        <v>1133</v>
      </c>
      <c r="BZ1" s="10" t="s">
        <v>1134</v>
      </c>
      <c r="CA1" s="10" t="s">
        <v>1135</v>
      </c>
      <c r="CB1" s="10" t="s">
        <v>1136</v>
      </c>
      <c r="CC1" s="10" t="s">
        <v>1137</v>
      </c>
      <c r="CD1" s="10" t="s">
        <v>1138</v>
      </c>
      <c r="CE1" s="10" t="s">
        <v>1139</v>
      </c>
      <c r="CF1" s="10" t="s">
        <v>1140</v>
      </c>
    </row>
    <row r="2" spans="1:84" s="178" customFormat="1" ht="12.6" customHeight="1" x14ac:dyDescent="0.25">
      <c r="A2" s="12" t="str">
        <f>RIGHT(data!C97,3)</f>
        <v>039</v>
      </c>
      <c r="B2" s="210" t="str">
        <f>RIGHT(data!C96,4)</f>
        <v>2023</v>
      </c>
      <c r="C2" s="12" t="s">
        <v>1141</v>
      </c>
      <c r="D2" s="209">
        <f>ROUND(N(data!C181),0)</f>
        <v>4976864</v>
      </c>
      <c r="E2" s="209">
        <f>ROUND(N(data!C182),0)</f>
        <v>530757</v>
      </c>
      <c r="F2" s="209">
        <f>ROUND(N(data!C183),0)</f>
        <v>1317982</v>
      </c>
      <c r="G2" s="209">
        <f>ROUND(N(data!C184),0)</f>
        <v>5420055</v>
      </c>
      <c r="H2" s="209">
        <f>ROUND(N(data!C185),0)</f>
        <v>240701</v>
      </c>
      <c r="I2" s="209">
        <f>ROUND(N(data!C186),0)</f>
        <v>1557188</v>
      </c>
      <c r="J2" s="209">
        <f>ROUND(N(data!C187)+N(data!C188),0)</f>
        <v>8453</v>
      </c>
      <c r="K2" s="209">
        <f>ROUND(N(data!C191),0)</f>
        <v>305911</v>
      </c>
      <c r="L2" s="209">
        <f>ROUND(N(data!C192),0)</f>
        <v>33587</v>
      </c>
      <c r="M2" s="209">
        <f>ROUND(N(data!C195),0)</f>
        <v>1031588</v>
      </c>
      <c r="N2" s="209">
        <f>ROUND(N(data!C196),0)</f>
        <v>345503</v>
      </c>
      <c r="O2" s="209">
        <f>ROUND(N(data!C199),0)</f>
        <v>1021975</v>
      </c>
      <c r="P2" s="209">
        <f>ROUND(N(data!C200),0)</f>
        <v>6047151</v>
      </c>
      <c r="Q2" s="209">
        <f>ROUND(N(data!C201),0)</f>
        <v>0</v>
      </c>
      <c r="R2" s="209">
        <f>ROUND(N(data!C204),0)</f>
        <v>0</v>
      </c>
      <c r="S2" s="209">
        <f>ROUND(N(data!C205),0)</f>
        <v>3299828</v>
      </c>
      <c r="T2" s="209">
        <f>ROUND(N(data!B211),0)</f>
        <v>11731163</v>
      </c>
      <c r="U2" s="209">
        <f>ROUND(N(data!C211),0)</f>
        <v>0</v>
      </c>
      <c r="V2" s="209">
        <f>ROUND(N(data!D211),0)</f>
        <v>270000</v>
      </c>
      <c r="W2" s="209">
        <f>ROUND(N(data!B212),0)</f>
        <v>416308</v>
      </c>
      <c r="X2" s="209">
        <f>ROUND(N(data!C212),0)</f>
        <v>0</v>
      </c>
      <c r="Y2" s="209">
        <f>ROUND(N(data!D212),0)</f>
        <v>0</v>
      </c>
      <c r="Z2" s="209">
        <f>ROUND(N(data!B213),0)</f>
        <v>16404711</v>
      </c>
      <c r="AA2" s="209">
        <f>ROUND(N(data!C213),0)</f>
        <v>1687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678037</v>
      </c>
      <c r="AG2" s="209">
        <f>ROUND(N(data!C215),0)</f>
        <v>326019</v>
      </c>
      <c r="AH2" s="209">
        <f>ROUND(N(data!D215),0)</f>
        <v>0</v>
      </c>
      <c r="AI2" s="209">
        <f>ROUND(N(data!B216),0)</f>
        <v>21515686</v>
      </c>
      <c r="AJ2" s="209">
        <f>ROUND(N(data!C216),0)</f>
        <v>2747314</v>
      </c>
      <c r="AK2" s="209">
        <f>ROUND(N(data!D216),0)</f>
        <v>1054303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28629497</v>
      </c>
      <c r="AP2" s="209">
        <f>ROUND(N(data!C218),0)</f>
        <v>674284</v>
      </c>
      <c r="AQ2" s="209">
        <f>ROUND(N(data!D218),0)</f>
        <v>120341</v>
      </c>
      <c r="AR2" s="209">
        <f>ROUND(N(data!B219),0)</f>
        <v>976698</v>
      </c>
      <c r="AS2" s="209">
        <f>ROUND(N(data!C219),0)</f>
        <v>1611778</v>
      </c>
      <c r="AT2" s="209">
        <f>ROUND(N(data!D219),0)</f>
        <v>2332074</v>
      </c>
      <c r="AU2" s="209">
        <v>0</v>
      </c>
      <c r="AV2" s="209">
        <v>0</v>
      </c>
      <c r="AW2" s="209">
        <v>0</v>
      </c>
      <c r="AX2" s="209">
        <f>ROUND(N(data!B225),0)</f>
        <v>411459</v>
      </c>
      <c r="AY2" s="209">
        <f>ROUND(N(data!C225),0)</f>
        <v>1293</v>
      </c>
      <c r="AZ2" s="209">
        <f>ROUND(N(data!D225),0)</f>
        <v>0</v>
      </c>
      <c r="BA2" s="209">
        <f>ROUND(N(data!B226),0)</f>
        <v>984596</v>
      </c>
      <c r="BB2" s="209">
        <f>ROUND(N(data!C226),0)</f>
        <v>234589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99109</v>
      </c>
      <c r="BI2" s="209">
        <f>ROUND(N(data!D228),0)</f>
        <v>0</v>
      </c>
      <c r="BJ2" s="209">
        <f>ROUND(N(data!B229),0)</f>
        <v>9868157</v>
      </c>
      <c r="BK2" s="209">
        <f>ROUND(N(data!C229),0)</f>
        <v>3247772</v>
      </c>
      <c r="BL2" s="209">
        <f>ROUND(N(data!D229),0)</f>
        <v>262588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991787</v>
      </c>
      <c r="BQ2" s="209">
        <f>ROUND(N(data!C231),0)</f>
        <v>1336154</v>
      </c>
      <c r="BR2" s="209">
        <f>ROUND(N(data!D231),0)</f>
        <v>14040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241455725</v>
      </c>
      <c r="BW2" s="209">
        <f>ROUND(N(data!C240),0)</f>
        <v>117361566</v>
      </c>
      <c r="BX2" s="209">
        <f>ROUND(N(data!C241),0)</f>
        <v>6210665</v>
      </c>
      <c r="BY2" s="209">
        <f>ROUND(N(data!C242),0)</f>
        <v>8455522</v>
      </c>
      <c r="BZ2" s="209">
        <f>ROUND(N(data!C243),0)</f>
        <v>95492157</v>
      </c>
      <c r="CA2" s="209">
        <f>ROUND(N(data!C244),0)</f>
        <v>0</v>
      </c>
      <c r="CB2" s="209">
        <f>ROUND(N(data!C247),0)</f>
        <v>3600</v>
      </c>
      <c r="CC2" s="209">
        <f>ROUND(N(data!C249),0)</f>
        <v>4905140</v>
      </c>
      <c r="CD2" s="209">
        <f>ROUND(N(data!C250),0)</f>
        <v>12113825</v>
      </c>
      <c r="CE2" s="209">
        <f>ROUND(N(data!C254)+N(data!C255),0)</f>
        <v>2414469</v>
      </c>
      <c r="CF2" s="209">
        <f>ROUND(N(data!D237),0)</f>
        <v>1089367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1142</v>
      </c>
      <c r="B1" s="12" t="s">
        <v>1143</v>
      </c>
      <c r="C1" s="12" t="s">
        <v>1144</v>
      </c>
      <c r="D1" s="10" t="s">
        <v>1145</v>
      </c>
      <c r="E1" s="10" t="s">
        <v>1146</v>
      </c>
      <c r="F1" s="10" t="s">
        <v>1147</v>
      </c>
      <c r="G1" s="10" t="s">
        <v>1148</v>
      </c>
      <c r="H1" s="10" t="s">
        <v>1149</v>
      </c>
      <c r="I1" s="10" t="s">
        <v>1150</v>
      </c>
      <c r="J1" s="10" t="s">
        <v>1151</v>
      </c>
      <c r="K1" s="10" t="s">
        <v>1152</v>
      </c>
      <c r="L1" s="10" t="s">
        <v>1153</v>
      </c>
      <c r="M1" s="10" t="s">
        <v>1154</v>
      </c>
      <c r="N1" s="10" t="s">
        <v>1155</v>
      </c>
      <c r="O1" s="10" t="s">
        <v>1156</v>
      </c>
      <c r="P1" s="10" t="s">
        <v>1157</v>
      </c>
      <c r="Q1" s="10" t="s">
        <v>1158</v>
      </c>
      <c r="R1" s="10" t="s">
        <v>1159</v>
      </c>
      <c r="S1" s="10" t="s">
        <v>1160</v>
      </c>
      <c r="T1" s="10" t="s">
        <v>1161</v>
      </c>
      <c r="U1" s="10" t="s">
        <v>1162</v>
      </c>
      <c r="V1" s="10" t="s">
        <v>1163</v>
      </c>
      <c r="W1" s="10" t="s">
        <v>1164</v>
      </c>
      <c r="X1" s="10" t="s">
        <v>1165</v>
      </c>
      <c r="Y1" s="10" t="s">
        <v>1166</v>
      </c>
      <c r="Z1" s="10" t="s">
        <v>1167</v>
      </c>
      <c r="AA1" s="10" t="s">
        <v>1168</v>
      </c>
      <c r="AB1" s="10" t="s">
        <v>1169</v>
      </c>
      <c r="AC1" s="10" t="s">
        <v>1170</v>
      </c>
      <c r="AD1" s="10" t="s">
        <v>1171</v>
      </c>
      <c r="AE1" s="10" t="s">
        <v>1172</v>
      </c>
      <c r="AF1" s="10" t="s">
        <v>1173</v>
      </c>
      <c r="AG1" s="10" t="s">
        <v>1174</v>
      </c>
      <c r="AH1" s="10" t="s">
        <v>1175</v>
      </c>
      <c r="AI1" s="10" t="s">
        <v>1176</v>
      </c>
      <c r="AJ1" s="10" t="s">
        <v>1177</v>
      </c>
      <c r="AK1" s="10" t="s">
        <v>1178</v>
      </c>
      <c r="AL1" s="10" t="s">
        <v>1179</v>
      </c>
      <c r="AM1" s="10" t="s">
        <v>1180</v>
      </c>
      <c r="AN1" s="10" t="s">
        <v>1181</v>
      </c>
      <c r="AO1" s="10" t="s">
        <v>1182</v>
      </c>
      <c r="AP1" s="10" t="s">
        <v>1183</v>
      </c>
      <c r="AQ1" s="10" t="s">
        <v>1184</v>
      </c>
      <c r="AR1" s="10" t="s">
        <v>1185</v>
      </c>
      <c r="AS1" s="10" t="s">
        <v>1186</v>
      </c>
      <c r="AT1" s="10" t="s">
        <v>1187</v>
      </c>
      <c r="AU1" s="10" t="s">
        <v>1188</v>
      </c>
      <c r="AV1" s="10" t="s">
        <v>1189</v>
      </c>
      <c r="AW1" s="10" t="s">
        <v>1190</v>
      </c>
      <c r="AX1" s="10" t="s">
        <v>1191</v>
      </c>
      <c r="AY1" s="10" t="s">
        <v>1192</v>
      </c>
      <c r="AZ1" s="10" t="s">
        <v>1193</v>
      </c>
      <c r="BA1" s="10" t="s">
        <v>1194</v>
      </c>
      <c r="BB1" s="10" t="s">
        <v>1195</v>
      </c>
      <c r="BC1" s="10" t="s">
        <v>1196</v>
      </c>
      <c r="BD1" s="10" t="s">
        <v>1197</v>
      </c>
      <c r="BE1" s="10" t="s">
        <v>1198</v>
      </c>
      <c r="BF1" s="10" t="s">
        <v>1199</v>
      </c>
      <c r="BG1" s="10" t="s">
        <v>1200</v>
      </c>
      <c r="BH1" s="10" t="s">
        <v>1201</v>
      </c>
      <c r="BI1" s="10" t="s">
        <v>1202</v>
      </c>
      <c r="BJ1" s="10" t="s">
        <v>1203</v>
      </c>
      <c r="BK1" s="10" t="s">
        <v>1204</v>
      </c>
      <c r="BL1" s="10" t="s">
        <v>1205</v>
      </c>
      <c r="BM1" s="10" t="s">
        <v>1206</v>
      </c>
      <c r="BN1" s="10" t="s">
        <v>1207</v>
      </c>
      <c r="BO1" s="10" t="s">
        <v>1208</v>
      </c>
      <c r="BP1" s="10" t="s">
        <v>1209</v>
      </c>
      <c r="BQ1" s="10" t="s">
        <v>1210</v>
      </c>
      <c r="BR1" s="10" t="s">
        <v>1211</v>
      </c>
      <c r="BS1" s="10" t="s">
        <v>1212</v>
      </c>
    </row>
    <row r="2" spans="1:87" s="178" customFormat="1" ht="12.6" customHeight="1" x14ac:dyDescent="0.25">
      <c r="A2" s="12" t="str">
        <f>RIGHT(data!C97,3)</f>
        <v>039</v>
      </c>
      <c r="B2" s="12" t="str">
        <f>RIGHT(data!C96,4)</f>
        <v>2023</v>
      </c>
      <c r="C2" s="12" t="s">
        <v>1141</v>
      </c>
      <c r="D2" s="208">
        <f>ROUND(N(data!C127),0)</f>
        <v>6248</v>
      </c>
      <c r="E2" s="208">
        <f>ROUND(N(data!C128),0)</f>
        <v>0</v>
      </c>
      <c r="F2" s="208">
        <f>ROUND(N(data!C129),0)</f>
        <v>0</v>
      </c>
      <c r="G2" s="208">
        <f>ROUND(N(data!C130),0)</f>
        <v>1448</v>
      </c>
      <c r="H2" s="208">
        <f>ROUND(N(data!D127),0)</f>
        <v>19152</v>
      </c>
      <c r="I2" s="208">
        <f>ROUND(N(data!D128),0)</f>
        <v>0</v>
      </c>
      <c r="J2" s="208">
        <f>ROUND(N(data!D129),0)</f>
        <v>0</v>
      </c>
      <c r="K2" s="208">
        <f>ROUND(N(data!D130),0)</f>
        <v>2087</v>
      </c>
      <c r="L2" s="208">
        <f>ROUND(N(data!C132),0)</f>
        <v>14</v>
      </c>
      <c r="M2" s="208">
        <f>ROUND(N(data!C133),0)</f>
        <v>16</v>
      </c>
      <c r="N2" s="208">
        <f>ROUND(N(data!C134),0)</f>
        <v>54</v>
      </c>
      <c r="O2" s="208">
        <f>ROUND(N(data!C135),0)</f>
        <v>0</v>
      </c>
      <c r="P2" s="208">
        <f>ROUND(N(data!C136),0)</f>
        <v>17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10</v>
      </c>
      <c r="W2" s="208">
        <f>ROUND(N(data!C144),0)</f>
        <v>111</v>
      </c>
      <c r="X2" s="208">
        <f>ROUND(N(data!C145),0)</f>
        <v>10</v>
      </c>
      <c r="Y2" s="208">
        <f>ROUND(N(data!B154),0)</f>
        <v>2111</v>
      </c>
      <c r="Z2" s="208">
        <f>ROUND(N(data!B155),0)</f>
        <v>9680</v>
      </c>
      <c r="AA2" s="208">
        <f>ROUND(N(data!B156),0)</f>
        <v>27887</v>
      </c>
      <c r="AB2" s="208">
        <f>ROUND(N(data!B157),0)</f>
        <v>124434351</v>
      </c>
      <c r="AC2" s="208">
        <f>ROUND(N(data!B158),0)</f>
        <v>161856152</v>
      </c>
      <c r="AD2" s="208">
        <f>ROUND(N(data!C154),0)</f>
        <v>2278</v>
      </c>
      <c r="AE2" s="208">
        <f>ROUND(N(data!C155),0)</f>
        <v>5331</v>
      </c>
      <c r="AF2" s="208">
        <f>ROUND(N(data!C156),0)</f>
        <v>25225</v>
      </c>
      <c r="AG2" s="208">
        <f>ROUND(N(data!C157),0)</f>
        <v>59261674</v>
      </c>
      <c r="AH2" s="208">
        <f>ROUND(N(data!C158),0)</f>
        <v>96019253</v>
      </c>
      <c r="AI2" s="208">
        <f>ROUND(N(data!D154),0)</f>
        <v>1859</v>
      </c>
      <c r="AJ2" s="208">
        <f>ROUND(N(data!D155),0)</f>
        <v>4141</v>
      </c>
      <c r="AK2" s="208">
        <f>ROUND(N(data!D156),0)</f>
        <v>30165</v>
      </c>
      <c r="AL2" s="208">
        <f>ROUND(N(data!D157),0)</f>
        <v>58573021</v>
      </c>
      <c r="AM2" s="208">
        <f>ROUND(N(data!D158),0)</f>
        <v>139256399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1213</v>
      </c>
      <c r="B1" s="12" t="s">
        <v>1214</v>
      </c>
      <c r="C1" s="12" t="s">
        <v>1215</v>
      </c>
      <c r="D1" s="10" t="s">
        <v>1216</v>
      </c>
      <c r="E1" s="10" t="s">
        <v>1217</v>
      </c>
      <c r="F1" s="10" t="s">
        <v>1218</v>
      </c>
      <c r="G1" s="10" t="s">
        <v>1219</v>
      </c>
      <c r="H1" s="10" t="s">
        <v>1220</v>
      </c>
      <c r="I1" s="10" t="s">
        <v>1221</v>
      </c>
      <c r="J1" s="10" t="s">
        <v>1222</v>
      </c>
      <c r="K1" s="10" t="s">
        <v>1223</v>
      </c>
      <c r="L1" s="10" t="s">
        <v>1224</v>
      </c>
      <c r="M1" s="10" t="s">
        <v>1225</v>
      </c>
      <c r="N1" s="10" t="s">
        <v>1226</v>
      </c>
      <c r="O1" s="10" t="s">
        <v>1227</v>
      </c>
      <c r="P1" s="10" t="s">
        <v>1228</v>
      </c>
      <c r="Q1" s="10" t="s">
        <v>1229</v>
      </c>
      <c r="R1" s="10" t="s">
        <v>1230</v>
      </c>
      <c r="S1" s="10" t="s">
        <v>1231</v>
      </c>
      <c r="T1" s="10" t="s">
        <v>1232</v>
      </c>
      <c r="U1" s="10" t="s">
        <v>1233</v>
      </c>
      <c r="V1" s="10" t="s">
        <v>1234</v>
      </c>
      <c r="W1" s="10" t="s">
        <v>1235</v>
      </c>
      <c r="X1" s="10" t="s">
        <v>1236</v>
      </c>
      <c r="Y1" s="10" t="s">
        <v>1237</v>
      </c>
      <c r="Z1" s="10" t="s">
        <v>1238</v>
      </c>
      <c r="AA1" s="10" t="s">
        <v>1239</v>
      </c>
      <c r="AB1" s="10" t="s">
        <v>1240</v>
      </c>
      <c r="AC1" s="10" t="s">
        <v>1241</v>
      </c>
      <c r="AD1" s="10" t="s">
        <v>1242</v>
      </c>
      <c r="AE1" s="10" t="s">
        <v>1243</v>
      </c>
      <c r="AF1" s="10" t="s">
        <v>1244</v>
      </c>
      <c r="AG1" s="10" t="s">
        <v>1245</v>
      </c>
      <c r="AH1" s="10" t="s">
        <v>1246</v>
      </c>
      <c r="AI1" s="10" t="s">
        <v>1247</v>
      </c>
      <c r="AJ1" s="10" t="s">
        <v>1248</v>
      </c>
      <c r="AK1" s="10" t="s">
        <v>1249</v>
      </c>
      <c r="AL1" s="10" t="s">
        <v>1250</v>
      </c>
      <c r="AM1" s="10" t="s">
        <v>1251</v>
      </c>
      <c r="AN1" s="10" t="s">
        <v>1252</v>
      </c>
      <c r="AO1" s="10" t="s">
        <v>1253</v>
      </c>
      <c r="AP1" s="10" t="s">
        <v>1254</v>
      </c>
      <c r="AQ1" s="10" t="s">
        <v>1255</v>
      </c>
      <c r="AR1" s="10" t="s">
        <v>1256</v>
      </c>
      <c r="AS1" s="10" t="s">
        <v>1257</v>
      </c>
      <c r="AT1" s="10" t="s">
        <v>1258</v>
      </c>
      <c r="AU1" s="10" t="s">
        <v>1259</v>
      </c>
      <c r="AV1" s="10" t="s">
        <v>1260</v>
      </c>
      <c r="AW1" s="10" t="s">
        <v>1261</v>
      </c>
      <c r="AX1" s="10" t="s">
        <v>1262</v>
      </c>
      <c r="AY1" s="10" t="s">
        <v>1263</v>
      </c>
      <c r="AZ1" s="10" t="s">
        <v>1264</v>
      </c>
      <c r="BA1" s="10" t="s">
        <v>1265</v>
      </c>
      <c r="BB1" s="10" t="s">
        <v>1266</v>
      </c>
      <c r="BC1" s="10" t="s">
        <v>1267</v>
      </c>
      <c r="BD1" s="10" t="s">
        <v>1268</v>
      </c>
      <c r="BE1" s="10" t="s">
        <v>1269</v>
      </c>
      <c r="BF1" s="10" t="s">
        <v>1270</v>
      </c>
      <c r="BG1" s="10" t="s">
        <v>1271</v>
      </c>
      <c r="BH1" s="10" t="s">
        <v>1272</v>
      </c>
      <c r="BI1" s="10" t="s">
        <v>1273</v>
      </c>
      <c r="BJ1" s="10" t="s">
        <v>1274</v>
      </c>
      <c r="BK1" s="10" t="s">
        <v>1275</v>
      </c>
      <c r="BL1" s="10" t="s">
        <v>1276</v>
      </c>
      <c r="BM1" s="10" t="s">
        <v>1277</v>
      </c>
      <c r="BN1" s="10" t="s">
        <v>1278</v>
      </c>
      <c r="BO1" s="10" t="s">
        <v>1279</v>
      </c>
      <c r="BP1" s="10" t="s">
        <v>1280</v>
      </c>
      <c r="BQ1" s="10" t="s">
        <v>1281</v>
      </c>
      <c r="BR1" s="10" t="s">
        <v>1282</v>
      </c>
      <c r="BS1" s="10" t="s">
        <v>1283</v>
      </c>
      <c r="BT1" s="10" t="s">
        <v>1284</v>
      </c>
      <c r="BU1" s="10" t="s">
        <v>1285</v>
      </c>
      <c r="BV1" s="10" t="s">
        <v>1286</v>
      </c>
      <c r="BW1" s="10" t="s">
        <v>1287</v>
      </c>
      <c r="BX1" s="10" t="s">
        <v>1288</v>
      </c>
      <c r="BY1" s="10" t="s">
        <v>1289</v>
      </c>
      <c r="BZ1" s="10" t="s">
        <v>1290</v>
      </c>
      <c r="CA1" s="10" t="s">
        <v>1291</v>
      </c>
      <c r="CB1" s="10" t="s">
        <v>1292</v>
      </c>
      <c r="CC1" s="10" t="s">
        <v>1293</v>
      </c>
      <c r="CD1" s="10" t="s">
        <v>1294</v>
      </c>
      <c r="CE1" s="10" t="s">
        <v>1295</v>
      </c>
      <c r="CF1" s="10" t="s">
        <v>1296</v>
      </c>
      <c r="CG1" s="10" t="s">
        <v>1297</v>
      </c>
      <c r="CH1" s="10" t="s">
        <v>1298</v>
      </c>
      <c r="CI1" s="10" t="s">
        <v>1299</v>
      </c>
      <c r="CJ1" s="10" t="s">
        <v>1300</v>
      </c>
      <c r="CK1" s="10" t="s">
        <v>1301</v>
      </c>
      <c r="CL1" s="10" t="s">
        <v>1302</v>
      </c>
      <c r="CM1" s="10" t="s">
        <v>1303</v>
      </c>
      <c r="CN1" s="10" t="s">
        <v>1304</v>
      </c>
      <c r="CO1" s="10" t="s">
        <v>1305</v>
      </c>
      <c r="CP1" s="10" t="s">
        <v>1306</v>
      </c>
      <c r="CQ1" s="206" t="s">
        <v>1307</v>
      </c>
      <c r="CR1" s="206" t="s">
        <v>1308</v>
      </c>
      <c r="CS1" s="206" t="s">
        <v>1309</v>
      </c>
      <c r="CT1" s="206" t="s">
        <v>1310</v>
      </c>
      <c r="CU1" s="206" t="s">
        <v>1311</v>
      </c>
      <c r="CV1" s="206" t="s">
        <v>1312</v>
      </c>
      <c r="CW1" s="206" t="s">
        <v>1313</v>
      </c>
      <c r="CX1" s="206" t="s">
        <v>1314</v>
      </c>
      <c r="CY1" s="206" t="s">
        <v>1315</v>
      </c>
      <c r="CZ1" s="206" t="s">
        <v>1316</v>
      </c>
      <c r="DA1" s="206" t="s">
        <v>1317</v>
      </c>
      <c r="DB1" s="206" t="s">
        <v>1318</v>
      </c>
      <c r="DC1" s="206" t="s">
        <v>1319</v>
      </c>
      <c r="DD1" s="206" t="s">
        <v>1320</v>
      </c>
      <c r="DE1" s="10" t="s">
        <v>1321</v>
      </c>
      <c r="DF1" s="10" t="s">
        <v>1322</v>
      </c>
      <c r="DG1" s="10" t="s">
        <v>1323</v>
      </c>
      <c r="DH1" s="10" t="s">
        <v>1324</v>
      </c>
    </row>
    <row r="2" spans="1:112" s="178" customFormat="1" ht="12.6" customHeight="1" x14ac:dyDescent="0.25">
      <c r="A2" s="209" t="str">
        <f>RIGHT(data!C97,3)</f>
        <v>039</v>
      </c>
      <c r="B2" s="210" t="str">
        <f>RIGHT(data!C96,4)</f>
        <v>2023</v>
      </c>
      <c r="C2" s="12" t="s">
        <v>1141</v>
      </c>
      <c r="D2" s="208">
        <f>ROUND(N(data!C181),0)</f>
        <v>4976864</v>
      </c>
      <c r="E2" s="208">
        <f>ROUND(N(data!C267),0)</f>
        <v>0</v>
      </c>
      <c r="F2" s="208">
        <f>ROUND(N(data!C268),0)</f>
        <v>123269504</v>
      </c>
      <c r="G2" s="208">
        <f>ROUND(N(data!C269),0)</f>
        <v>99304293</v>
      </c>
      <c r="H2" s="208">
        <f>ROUND(N(data!C270),0)</f>
        <v>616553</v>
      </c>
      <c r="I2" s="208">
        <f>ROUND(N(data!C271),0)</f>
        <v>2974339</v>
      </c>
      <c r="J2" s="208">
        <f>ROUND(N(data!C272),0)</f>
        <v>0</v>
      </c>
      <c r="K2" s="208">
        <f>ROUND(N(data!C273),0)</f>
        <v>3980616</v>
      </c>
      <c r="L2" s="208">
        <f>ROUND(N(data!C274),0)</f>
        <v>5337060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11461163</v>
      </c>
      <c r="R2" s="208">
        <f>ROUND(N(data!C284),0)</f>
        <v>416308</v>
      </c>
      <c r="S2" s="208">
        <f>ROUND(N(data!C285),0)</f>
        <v>16406399</v>
      </c>
      <c r="T2" s="208">
        <f>ROUND(N(data!C286),0)</f>
        <v>0</v>
      </c>
      <c r="U2" s="208">
        <f>ROUND(N(data!C287),0)</f>
        <v>0</v>
      </c>
      <c r="V2" s="208">
        <f>ROUND(N(data!C288),0)</f>
        <v>24212757</v>
      </c>
      <c r="W2" s="208">
        <f>ROUND(N(data!C289),0)</f>
        <v>29183444</v>
      </c>
      <c r="X2" s="208">
        <f>ROUND(N(data!C290),0)</f>
        <v>256403</v>
      </c>
      <c r="Y2" s="208">
        <f>ROUND(N(data!C291),0)</f>
        <v>0</v>
      </c>
      <c r="Z2" s="208">
        <f>ROUND(N(data!C292),0)</f>
        <v>16897588</v>
      </c>
      <c r="AA2" s="208">
        <f>ROUND(N(data!C295),0)</f>
        <v>0</v>
      </c>
      <c r="AB2" s="208">
        <f>ROUND(N(data!C296),0)</f>
        <v>0</v>
      </c>
      <c r="AC2" s="208">
        <f>ROUND(N(data!C297),0)</f>
        <v>270824</v>
      </c>
      <c r="AD2" s="208">
        <f>ROUND(N(data!C298),0)</f>
        <v>1824919</v>
      </c>
      <c r="AE2" s="208">
        <f>ROUND(N(data!C302),0)</f>
        <v>22280144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8680345</v>
      </c>
      <c r="AK2" s="208">
        <f>ROUND(N(data!C316),0)</f>
        <v>7535687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86109</v>
      </c>
      <c r="AR2" s="208">
        <f>ROUND(N(data!C323),0)</f>
        <v>1708502</v>
      </c>
      <c r="AS2" s="208">
        <f>ROUND(N(data!C326),0)</f>
        <v>0</v>
      </c>
      <c r="AT2" s="208">
        <f>ROUND(N(data!C327),0)</f>
        <v>0</v>
      </c>
      <c r="AU2" s="208">
        <f>ROUND(N(data!C328),0)</f>
        <v>312970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35814107</v>
      </c>
      <c r="AZ2" s="208">
        <f>ROUND(N(data!C335),0)</f>
        <v>0</v>
      </c>
      <c r="BA2" s="208">
        <f>ROUND(N(data!C336),0)</f>
        <v>85466329</v>
      </c>
      <c r="BB2" s="208">
        <f>ROUND(N(data!C337),0)</f>
        <v>0</v>
      </c>
      <c r="BC2" s="208">
        <f>ROUND(N(data!C338),0)</f>
        <v>1766305</v>
      </c>
      <c r="BD2" s="208">
        <f>ROUND(N(data!C339),0)</f>
        <v>0</v>
      </c>
      <c r="BE2" s="208">
        <f>ROUND(N(data!C343),0)</f>
        <v>6147091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-21517169</v>
      </c>
      <c r="BJ2" s="208">
        <f>ROUND(N(data!C349),0)</f>
        <v>0</v>
      </c>
      <c r="BK2" s="208">
        <f>ROUND(N(data!CE60),2)</f>
        <v>729.89</v>
      </c>
      <c r="BL2" s="208">
        <f>ROUND(N(data!C358),0)</f>
        <v>242269045</v>
      </c>
      <c r="BM2" s="208">
        <f>ROUND(N(data!C359),0)</f>
        <v>397131804</v>
      </c>
      <c r="BN2" s="208">
        <f>ROUND(N(data!C363),0)</f>
        <v>468975641</v>
      </c>
      <c r="BO2" s="208">
        <f>ROUND(N(data!C364),0)</f>
        <v>17018968</v>
      </c>
      <c r="BP2" s="208">
        <f>ROUND(N(data!C365),0)</f>
        <v>2414469</v>
      </c>
      <c r="BQ2" s="208">
        <f>ROUND(N(data!D381),0)</f>
        <v>2506960</v>
      </c>
      <c r="BR2" s="208">
        <f>ROUND(N(data!C370),0)</f>
        <v>444517</v>
      </c>
      <c r="BS2" s="208">
        <f>ROUND(N(data!C371),0)</f>
        <v>26015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416347</v>
      </c>
      <c r="CA2" s="208">
        <f>ROUND(N(data!C379),0)</f>
        <v>382764</v>
      </c>
      <c r="CB2" s="208">
        <f>ROUND(N(data!C380),0)</f>
        <v>1237317</v>
      </c>
      <c r="CC2" s="208">
        <f>ROUND(N(data!C382),0)</f>
        <v>0</v>
      </c>
      <c r="CD2" s="208">
        <f>ROUND(N(data!C389),0)</f>
        <v>76189576</v>
      </c>
      <c r="CE2" s="208">
        <f>ROUND(N(data!C390),0)</f>
        <v>14052068</v>
      </c>
      <c r="CF2" s="208">
        <f>ROUND(N(data!C391),0)</f>
        <v>7299745</v>
      </c>
      <c r="CG2" s="208">
        <f>ROUND(N(data!C392),0)</f>
        <v>25242712</v>
      </c>
      <c r="CH2" s="208">
        <f>ROUND(N(data!C393),0)</f>
        <v>2255245</v>
      </c>
      <c r="CI2" s="208">
        <f>ROUND(N(data!C394),0)</f>
        <v>11814934</v>
      </c>
      <c r="CJ2" s="208">
        <f>ROUND(N(data!C395),0)</f>
        <v>4918917</v>
      </c>
      <c r="CK2" s="208">
        <f>ROUND(N(data!C396),0)</f>
        <v>339497</v>
      </c>
      <c r="CL2" s="208">
        <f>ROUND(N(data!C397),0)</f>
        <v>1377091</v>
      </c>
      <c r="CM2" s="208">
        <f>ROUND(N(data!C398),0)</f>
        <v>6047151</v>
      </c>
      <c r="CN2" s="208">
        <f>ROUND(N(data!C399),0)</f>
        <v>3299828</v>
      </c>
      <c r="CO2" s="208">
        <f>ROUND(N(data!C362),0)</f>
        <v>1089367</v>
      </c>
      <c r="CP2" s="208">
        <f>ROUND(N(data!D415),0)</f>
        <v>19716074</v>
      </c>
      <c r="CQ2" s="61">
        <f>ROUND(N(data!C401),0)</f>
        <v>1108114</v>
      </c>
      <c r="CR2" s="61">
        <f>ROUND(N(data!C402),0)</f>
        <v>8667674</v>
      </c>
      <c r="CS2" s="61">
        <f>ROUND(N(data!C403),0)</f>
        <v>985524</v>
      </c>
      <c r="CT2" s="61">
        <f>ROUND(N(data!C404),0)</f>
        <v>0</v>
      </c>
      <c r="CU2" s="61">
        <f>ROUND(N(data!C405),0)</f>
        <v>251428</v>
      </c>
      <c r="CV2" s="61">
        <f>ROUND(N(data!C406),0)</f>
        <v>575748</v>
      </c>
      <c r="CW2" s="61">
        <f>ROUND(N(data!C407),0)</f>
        <v>735973</v>
      </c>
      <c r="CX2" s="61">
        <f>ROUND(N(data!C408),0)</f>
        <v>5274570</v>
      </c>
      <c r="CY2" s="61">
        <f>ROUND(N(data!C409),0)</f>
        <v>358154</v>
      </c>
      <c r="CZ2" s="61">
        <f>ROUND(N(data!C410),0)</f>
        <v>499560</v>
      </c>
      <c r="DA2" s="61">
        <f>ROUND(N(data!C411),0)</f>
        <v>284723</v>
      </c>
      <c r="DB2" s="61">
        <f>ROUND(N(data!C412),0)</f>
        <v>0</v>
      </c>
      <c r="DC2" s="61">
        <f>ROUND(N(data!C413),0)</f>
        <v>0</v>
      </c>
      <c r="DD2" s="61">
        <f>ROUND(N(data!C414),0)</f>
        <v>974607</v>
      </c>
      <c r="DE2" s="61">
        <f>ROUND(N(data!C419),0)</f>
        <v>0</v>
      </c>
      <c r="DF2" s="208">
        <f>ROUND(N(data!D420),0)</f>
        <v>-2582099</v>
      </c>
      <c r="DG2" s="208">
        <f>ROUND(N(data!C422),0)</f>
        <v>1208405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5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1325</v>
      </c>
      <c r="B1" s="12" t="s">
        <v>1326</v>
      </c>
      <c r="C1" s="10" t="s">
        <v>1327</v>
      </c>
      <c r="D1" s="12" t="s">
        <v>1328</v>
      </c>
      <c r="E1" s="10" t="s">
        <v>1329</v>
      </c>
      <c r="F1" s="10" t="s">
        <v>1330</v>
      </c>
      <c r="G1" s="10" t="s">
        <v>1331</v>
      </c>
      <c r="H1" s="10" t="s">
        <v>1332</v>
      </c>
      <c r="I1" s="10" t="s">
        <v>1333</v>
      </c>
      <c r="J1" s="10" t="s">
        <v>1334</v>
      </c>
      <c r="K1" s="10" t="s">
        <v>1335</v>
      </c>
      <c r="L1" s="10" t="s">
        <v>1336</v>
      </c>
      <c r="M1" s="10" t="s">
        <v>1337</v>
      </c>
      <c r="N1" s="10" t="s">
        <v>1338</v>
      </c>
      <c r="O1" s="10" t="s">
        <v>1339</v>
      </c>
      <c r="P1" s="10" t="s">
        <v>1307</v>
      </c>
      <c r="Q1" s="10" t="s">
        <v>1308</v>
      </c>
      <c r="R1" s="10" t="s">
        <v>1309</v>
      </c>
      <c r="S1" s="10" t="s">
        <v>1310</v>
      </c>
      <c r="T1" s="10" t="s">
        <v>1311</v>
      </c>
      <c r="U1" s="10" t="s">
        <v>1312</v>
      </c>
      <c r="V1" s="10" t="s">
        <v>1313</v>
      </c>
      <c r="W1" s="10" t="s">
        <v>1314</v>
      </c>
      <c r="X1" s="10" t="s">
        <v>1315</v>
      </c>
      <c r="Y1" s="10" t="s">
        <v>1316</v>
      </c>
      <c r="Z1" s="10" t="s">
        <v>1317</v>
      </c>
      <c r="AA1" s="10" t="s">
        <v>1318</v>
      </c>
      <c r="AB1" s="10" t="s">
        <v>1319</v>
      </c>
      <c r="AC1" s="10" t="s">
        <v>1320</v>
      </c>
      <c r="AD1" s="10" t="s">
        <v>1340</v>
      </c>
      <c r="AE1" s="10" t="s">
        <v>1341</v>
      </c>
      <c r="AF1" s="10" t="s">
        <v>1342</v>
      </c>
      <c r="AG1" s="10" t="s">
        <v>1343</v>
      </c>
      <c r="AH1" s="10" t="s">
        <v>1344</v>
      </c>
      <c r="AI1" s="10" t="s">
        <v>1345</v>
      </c>
      <c r="AJ1" s="10" t="s">
        <v>1346</v>
      </c>
      <c r="AK1" s="10" t="s">
        <v>1347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039</v>
      </c>
      <c r="B2" s="210" t="str">
        <f>RIGHT(data!$C$96,4)</f>
        <v>2023</v>
      </c>
      <c r="C2" s="12" t="str">
        <f>data!C$55</f>
        <v>6010</v>
      </c>
      <c r="D2" s="12" t="s">
        <v>1141</v>
      </c>
      <c r="E2" s="208">
        <f>ROUND(N(data!C59), 0)</f>
        <v>3157</v>
      </c>
      <c r="F2" s="316">
        <f>ROUND(N(data!C60), 2)</f>
        <v>31.39</v>
      </c>
      <c r="G2" s="208">
        <f>ROUND(N(data!C61), 0)</f>
        <v>3348809</v>
      </c>
      <c r="H2" s="208">
        <f>ROUND(N(data!C62), 0)</f>
        <v>617639</v>
      </c>
      <c r="I2" s="208">
        <f>ROUND(N(data!C63), 0)</f>
        <v>0</v>
      </c>
      <c r="J2" s="208">
        <f>ROUND(N(data!C64), 0)</f>
        <v>612826</v>
      </c>
      <c r="K2" s="208">
        <f>ROUND(N(data!C65), 0)</f>
        <v>4810</v>
      </c>
      <c r="L2" s="208">
        <f>ROUND(N(data!C66), 0)</f>
        <v>117618</v>
      </c>
      <c r="M2" s="208">
        <f>ROUND(N(data!C67), 0)</f>
        <v>96021</v>
      </c>
      <c r="N2" s="208">
        <f>ROUND(N(data!C68), 0)</f>
        <v>12066</v>
      </c>
      <c r="O2" s="208">
        <f>ROUND(N(data!C69), 0)</f>
        <v>1544014</v>
      </c>
      <c r="P2" s="208">
        <f>ROUND(N(data!C70), 0)</f>
        <v>0</v>
      </c>
      <c r="Q2" s="208">
        <f>ROUND(N(data!C71), 0)</f>
        <v>1463132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42151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38731</v>
      </c>
      <c r="AD2" s="208">
        <f>ROUND(N(data!C84), 0)</f>
        <v>0</v>
      </c>
      <c r="AE2" s="208">
        <f>ROUND(N(data!C89), 0)</f>
        <v>13782545</v>
      </c>
      <c r="AF2" s="208">
        <f>ROUND(N(data!C87), 0)</f>
        <v>13437076</v>
      </c>
      <c r="AG2" s="208">
        <f>ROUND(N(data!C90), 0)</f>
        <v>8232</v>
      </c>
      <c r="AH2" s="208">
        <f>ROUND(N(data!C91), 0)</f>
        <v>7524</v>
      </c>
      <c r="AI2" s="208">
        <f>ROUND(N(data!C92), 0)</f>
        <v>1480</v>
      </c>
      <c r="AJ2" s="208">
        <f>ROUND(N(data!C93), 0)</f>
        <v>58836</v>
      </c>
      <c r="AK2" s="316">
        <f>ROUND(N(data!C94), 2)</f>
        <v>22.9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039</v>
      </c>
      <c r="B3" s="210" t="str">
        <f>RIGHT(data!$C$96,4)</f>
        <v>2023</v>
      </c>
      <c r="C3" s="12" t="str">
        <f>data!D$55</f>
        <v>6030</v>
      </c>
      <c r="D3" s="12" t="s">
        <v>1141</v>
      </c>
      <c r="E3" s="208">
        <f>ROUND(N(data!D59), 0)</f>
        <v>0</v>
      </c>
      <c r="F3" s="316">
        <f>ROUND(N(data!D60), 2)</f>
        <v>5.36</v>
      </c>
      <c r="G3" s="208">
        <f>ROUND(N(data!D61), 0)</f>
        <v>561311</v>
      </c>
      <c r="H3" s="208">
        <f>ROUND(N(data!D62), 0)</f>
        <v>103526</v>
      </c>
      <c r="I3" s="208">
        <f>ROUND(N(data!D63), 0)</f>
        <v>0</v>
      </c>
      <c r="J3" s="208">
        <f>ROUND(N(data!D64), 0)</f>
        <v>90952</v>
      </c>
      <c r="K3" s="208">
        <f>ROUND(N(data!D65), 0)</f>
        <v>0</v>
      </c>
      <c r="L3" s="208">
        <f>ROUND(N(data!D66), 0)</f>
        <v>363</v>
      </c>
      <c r="M3" s="208">
        <f>ROUND(N(data!D67), 0)</f>
        <v>162322</v>
      </c>
      <c r="N3" s="208">
        <f>ROUND(N(data!D68), 0)</f>
        <v>0</v>
      </c>
      <c r="O3" s="208">
        <f>ROUND(N(data!D69), 0)</f>
        <v>533154</v>
      </c>
      <c r="P3" s="208">
        <f>ROUND(N(data!D70), 0)</f>
        <v>0</v>
      </c>
      <c r="Q3" s="208">
        <f>ROUND(N(data!D71), 0)</f>
        <v>532634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520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2330385</v>
      </c>
      <c r="AF3" s="208">
        <f>ROUND(N(data!D87), 0)</f>
        <v>2278640</v>
      </c>
      <c r="AG3" s="208">
        <f>ROUND(N(data!D90), 0)</f>
        <v>13916</v>
      </c>
      <c r="AH3" s="208">
        <f>ROUND(N(data!D91), 0)</f>
        <v>0</v>
      </c>
      <c r="AI3" s="208">
        <f>ROUND(N(data!D92), 0)</f>
        <v>2503</v>
      </c>
      <c r="AJ3" s="208">
        <f>ROUND(N(data!D93), 0)</f>
        <v>0</v>
      </c>
      <c r="AK3" s="316">
        <f>ROUND(N(data!D94), 2)</f>
        <v>1.4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039</v>
      </c>
      <c r="B4" s="210" t="str">
        <f>RIGHT(data!$C$96,4)</f>
        <v>2023</v>
      </c>
      <c r="C4" s="12" t="str">
        <f>data!E$55</f>
        <v>6070</v>
      </c>
      <c r="D4" s="12" t="s">
        <v>1141</v>
      </c>
      <c r="E4" s="208">
        <f>ROUND(N(data!E59), 0)</f>
        <v>11833</v>
      </c>
      <c r="F4" s="316">
        <f>ROUND(N(data!E60), 2)</f>
        <v>57.9</v>
      </c>
      <c r="G4" s="208">
        <f>ROUND(N(data!E61), 0)</f>
        <v>5955589</v>
      </c>
      <c r="H4" s="208">
        <f>ROUND(N(data!E62), 0)</f>
        <v>1098423</v>
      </c>
      <c r="I4" s="208">
        <f>ROUND(N(data!E63), 0)</f>
        <v>0</v>
      </c>
      <c r="J4" s="208">
        <f>ROUND(N(data!E64), 0)</f>
        <v>542260</v>
      </c>
      <c r="K4" s="208">
        <f>ROUND(N(data!E65), 0)</f>
        <v>360</v>
      </c>
      <c r="L4" s="208">
        <f>ROUND(N(data!E66), 0)</f>
        <v>423307</v>
      </c>
      <c r="M4" s="208">
        <f>ROUND(N(data!E67), 0)</f>
        <v>295564</v>
      </c>
      <c r="N4" s="208">
        <f>ROUND(N(data!E68), 0)</f>
        <v>0</v>
      </c>
      <c r="O4" s="208">
        <f>ROUND(N(data!E69), 0)</f>
        <v>1276391</v>
      </c>
      <c r="P4" s="208">
        <f>ROUND(N(data!E70), 0)</f>
        <v>0</v>
      </c>
      <c r="Q4" s="208">
        <f>ROUND(N(data!E71), 0)</f>
        <v>1252432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9440</v>
      </c>
      <c r="X4" s="208">
        <f>ROUND(N(data!E78), 0)</f>
        <v>0</v>
      </c>
      <c r="Y4" s="208">
        <f>ROUND(N(data!E79), 0)</f>
        <v>2000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12519</v>
      </c>
      <c r="AD4" s="208">
        <f>ROUND(N(data!E84), 0)</f>
        <v>0</v>
      </c>
      <c r="AE4" s="208">
        <f>ROUND(N(data!E89), 0)</f>
        <v>28182201</v>
      </c>
      <c r="AF4" s="208">
        <f>ROUND(N(data!E87), 0)</f>
        <v>22411382</v>
      </c>
      <c r="AG4" s="208">
        <f>ROUND(N(data!E90), 0)</f>
        <v>25339</v>
      </c>
      <c r="AH4" s="208">
        <f>ROUND(N(data!E91), 0)</f>
        <v>23242</v>
      </c>
      <c r="AI4" s="208">
        <f>ROUND(N(data!E92), 0)</f>
        <v>4557</v>
      </c>
      <c r="AJ4" s="208">
        <f>ROUND(N(data!E93), 0)</f>
        <v>125016</v>
      </c>
      <c r="AK4" s="316">
        <f>ROUND(N(data!E94), 2)</f>
        <v>40.57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039</v>
      </c>
      <c r="B5" s="210" t="str">
        <f>RIGHT(data!$C$96,4)</f>
        <v>2023</v>
      </c>
      <c r="C5" s="12" t="str">
        <f>data!F$55</f>
        <v>6100</v>
      </c>
      <c r="D5" s="12" t="s">
        <v>1141</v>
      </c>
      <c r="E5" s="208">
        <f>ROUND(N(data!F59), 0)</f>
        <v>2987</v>
      </c>
      <c r="F5" s="316">
        <f>ROUND(N(data!F60), 2)</f>
        <v>36.93</v>
      </c>
      <c r="G5" s="208">
        <f>ROUND(N(data!F61), 0)</f>
        <v>4068472</v>
      </c>
      <c r="H5" s="208">
        <f>ROUND(N(data!F62), 0)</f>
        <v>750371</v>
      </c>
      <c r="I5" s="208">
        <f>ROUND(N(data!F63), 0)</f>
        <v>0</v>
      </c>
      <c r="J5" s="208">
        <f>ROUND(N(data!F64), 0)</f>
        <v>655776</v>
      </c>
      <c r="K5" s="208">
        <f>ROUND(N(data!F65), 0)</f>
        <v>0</v>
      </c>
      <c r="L5" s="208">
        <f>ROUND(N(data!F66), 0)</f>
        <v>547</v>
      </c>
      <c r="M5" s="208">
        <f>ROUND(N(data!F67), 0)</f>
        <v>115501</v>
      </c>
      <c r="N5" s="208">
        <f>ROUND(N(data!F68), 0)</f>
        <v>107</v>
      </c>
      <c r="O5" s="208">
        <f>ROUND(N(data!F69), 0)</f>
        <v>35617</v>
      </c>
      <c r="P5" s="208">
        <f>ROUND(N(data!F70), 0)</f>
        <v>0</v>
      </c>
      <c r="Q5" s="208">
        <f>ROUND(N(data!F71), 0)</f>
        <v>34999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618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7796169</v>
      </c>
      <c r="AF5" s="208">
        <f>ROUND(N(data!F87), 0)</f>
        <v>7796168</v>
      </c>
      <c r="AG5" s="208">
        <f>ROUND(N(data!F90), 0)</f>
        <v>9902</v>
      </c>
      <c r="AH5" s="208">
        <f>ROUND(N(data!F91), 0)</f>
        <v>8106</v>
      </c>
      <c r="AI5" s="208">
        <f>ROUND(N(data!F92), 0)</f>
        <v>1781</v>
      </c>
      <c r="AJ5" s="208">
        <f>ROUND(N(data!F93), 0)</f>
        <v>81050</v>
      </c>
      <c r="AK5" s="316">
        <f>ROUND(N(data!F94), 2)</f>
        <v>27.4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039</v>
      </c>
      <c r="B6" s="210" t="str">
        <f>RIGHT(data!$C$96,4)</f>
        <v>2023</v>
      </c>
      <c r="C6" s="12" t="str">
        <f>data!G$55</f>
        <v>6120</v>
      </c>
      <c r="D6" s="12" t="s">
        <v>1141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039</v>
      </c>
      <c r="B7" s="210" t="str">
        <f>RIGHT(data!$C$96,4)</f>
        <v>2023</v>
      </c>
      <c r="C7" s="12" t="str">
        <f>data!H$55</f>
        <v>6140</v>
      </c>
      <c r="D7" s="12" t="s">
        <v>1141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039</v>
      </c>
      <c r="B8" s="210" t="str">
        <f>RIGHT(data!$C$96,4)</f>
        <v>2023</v>
      </c>
      <c r="C8" s="12" t="str">
        <f>data!I$55</f>
        <v>6150</v>
      </c>
      <c r="D8" s="12" t="s">
        <v>1141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039</v>
      </c>
      <c r="B9" s="210" t="str">
        <f>RIGHT(data!$C$96,4)</f>
        <v>2023</v>
      </c>
      <c r="C9" s="12" t="str">
        <f>data!J$55</f>
        <v>6170</v>
      </c>
      <c r="D9" s="12" t="s">
        <v>1141</v>
      </c>
      <c r="E9" s="208">
        <f>ROUND(N(data!J59), 0)</f>
        <v>1575</v>
      </c>
      <c r="F9" s="316">
        <f>ROUND(N(data!J60), 2)</f>
        <v>11.02</v>
      </c>
      <c r="G9" s="208">
        <f>ROUND(N(data!J61), 0)</f>
        <v>1288379</v>
      </c>
      <c r="H9" s="208">
        <f>ROUND(N(data!J62), 0)</f>
        <v>237623</v>
      </c>
      <c r="I9" s="208">
        <f>ROUND(N(data!J63), 0)</f>
        <v>0</v>
      </c>
      <c r="J9" s="208">
        <f>ROUND(N(data!J64), 0)</f>
        <v>149958</v>
      </c>
      <c r="K9" s="208">
        <f>ROUND(N(data!J65), 0)</f>
        <v>0</v>
      </c>
      <c r="L9" s="208">
        <f>ROUND(N(data!J66), 0)</f>
        <v>1793</v>
      </c>
      <c r="M9" s="208">
        <f>ROUND(N(data!J67), 0)</f>
        <v>17742</v>
      </c>
      <c r="N9" s="208">
        <f>ROUND(N(data!J68), 0)</f>
        <v>0</v>
      </c>
      <c r="O9" s="208">
        <f>ROUND(N(data!J69), 0)</f>
        <v>164981</v>
      </c>
      <c r="P9" s="208">
        <f>ROUND(N(data!J70), 0)</f>
        <v>0</v>
      </c>
      <c r="Q9" s="208">
        <f>ROUND(N(data!J71), 0)</f>
        <v>164981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5934224</v>
      </c>
      <c r="AF9" s="208">
        <f>ROUND(N(data!J87), 0)</f>
        <v>5934224</v>
      </c>
      <c r="AG9" s="208">
        <f>ROUND(N(data!J90), 0)</f>
        <v>1521</v>
      </c>
      <c r="AH9" s="208">
        <f>ROUND(N(data!J91), 0)</f>
        <v>468</v>
      </c>
      <c r="AI9" s="208">
        <f>ROUND(N(data!J92), 0)</f>
        <v>274</v>
      </c>
      <c r="AJ9" s="208">
        <f>ROUND(N(data!J93), 0)</f>
        <v>10574</v>
      </c>
      <c r="AK9" s="316">
        <f>ROUND(N(data!J94), 2)</f>
        <v>10.64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039</v>
      </c>
      <c r="B10" s="210" t="str">
        <f>RIGHT(data!$C$96,4)</f>
        <v>2023</v>
      </c>
      <c r="C10" s="12" t="str">
        <f>data!K$55</f>
        <v>6200</v>
      </c>
      <c r="D10" s="12" t="s">
        <v>1141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039</v>
      </c>
      <c r="B11" s="210" t="str">
        <f>RIGHT(data!$C$96,4)</f>
        <v>2023</v>
      </c>
      <c r="C11" s="12" t="str">
        <f>data!L$55</f>
        <v>6210</v>
      </c>
      <c r="D11" s="12" t="s">
        <v>1141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039</v>
      </c>
      <c r="B12" s="210" t="str">
        <f>RIGHT(data!$C$96,4)</f>
        <v>2023</v>
      </c>
      <c r="C12" s="12" t="str">
        <f>data!M$55</f>
        <v>6330</v>
      </c>
      <c r="D12" s="12" t="s">
        <v>1141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039</v>
      </c>
      <c r="B13" s="210" t="str">
        <f>RIGHT(data!$C$96,4)</f>
        <v>2023</v>
      </c>
      <c r="C13" s="12" t="str">
        <f>data!N$55</f>
        <v>6400</v>
      </c>
      <c r="D13" s="12" t="s">
        <v>1141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039</v>
      </c>
      <c r="B14" s="210" t="str">
        <f>RIGHT(data!$C$96,4)</f>
        <v>2023</v>
      </c>
      <c r="C14" s="12" t="str">
        <f>data!O$55</f>
        <v>7010</v>
      </c>
      <c r="D14" s="12" t="s">
        <v>1141</v>
      </c>
      <c r="E14" s="208">
        <f>ROUND(N(data!O59), 0)</f>
        <v>1421</v>
      </c>
      <c r="F14" s="316">
        <f>ROUND(N(data!O60), 2)</f>
        <v>0</v>
      </c>
      <c r="G14" s="208">
        <f>ROUND(N(data!O61), 0)</f>
        <v>734274</v>
      </c>
      <c r="H14" s="208">
        <f>ROUND(N(data!O62), 0)</f>
        <v>135426</v>
      </c>
      <c r="I14" s="208">
        <f>ROUND(N(data!O63), 0)</f>
        <v>0</v>
      </c>
      <c r="J14" s="208">
        <f>ROUND(N(data!O64), 0)</f>
        <v>-331</v>
      </c>
      <c r="K14" s="208">
        <f>ROUND(N(data!O65), 0)</f>
        <v>1921</v>
      </c>
      <c r="L14" s="208">
        <f>ROUND(N(data!O66), 0)</f>
        <v>473</v>
      </c>
      <c r="M14" s="208">
        <f>ROUND(N(data!O67), 0)</f>
        <v>0</v>
      </c>
      <c r="N14" s="208">
        <f>ROUND(N(data!O68), 0)</f>
        <v>0</v>
      </c>
      <c r="O14" s="208">
        <f>ROUND(N(data!O69), 0)</f>
        <v>383227</v>
      </c>
      <c r="P14" s="208">
        <f>ROUND(N(data!O70), 0)</f>
        <v>0</v>
      </c>
      <c r="Q14" s="208">
        <f>ROUND(N(data!O71), 0)</f>
        <v>382982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245</v>
      </c>
      <c r="AD14" s="208">
        <f>ROUND(N(data!O84), 0)</f>
        <v>0</v>
      </c>
      <c r="AE14" s="208">
        <f>ROUND(N(data!O89), 0)</f>
        <v>23031957</v>
      </c>
      <c r="AF14" s="208">
        <f>ROUND(N(data!O87), 0)</f>
        <v>20645793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039</v>
      </c>
      <c r="B15" s="210" t="str">
        <f>RIGHT(data!$C$96,4)</f>
        <v>2023</v>
      </c>
      <c r="C15" s="12" t="str">
        <f>data!P$55</f>
        <v>7020</v>
      </c>
      <c r="D15" s="12" t="s">
        <v>1141</v>
      </c>
      <c r="E15" s="208">
        <f>ROUND(N(data!P59), 0)</f>
        <v>274970</v>
      </c>
      <c r="F15" s="316">
        <f>ROUND(N(data!P60), 2)</f>
        <v>20.93</v>
      </c>
      <c r="G15" s="208">
        <f>ROUND(N(data!P61), 0)</f>
        <v>2065030</v>
      </c>
      <c r="H15" s="208">
        <f>ROUND(N(data!P62), 0)</f>
        <v>380865</v>
      </c>
      <c r="I15" s="208">
        <f>ROUND(N(data!P63), 0)</f>
        <v>86167</v>
      </c>
      <c r="J15" s="208">
        <f>ROUND(N(data!P64), 0)</f>
        <v>6519829</v>
      </c>
      <c r="K15" s="208">
        <f>ROUND(N(data!P65), 0)</f>
        <v>566</v>
      </c>
      <c r="L15" s="208">
        <f>ROUND(N(data!P66), 0)</f>
        <v>33201</v>
      </c>
      <c r="M15" s="208">
        <f>ROUND(N(data!P67), 0)</f>
        <v>169262</v>
      </c>
      <c r="N15" s="208">
        <f>ROUND(N(data!P68), 0)</f>
        <v>2908</v>
      </c>
      <c r="O15" s="208">
        <f>ROUND(N(data!P69), 0)</f>
        <v>849219</v>
      </c>
      <c r="P15" s="208">
        <f>ROUND(N(data!P70), 0)</f>
        <v>0</v>
      </c>
      <c r="Q15" s="208">
        <f>ROUND(N(data!P71), 0)</f>
        <v>303206</v>
      </c>
      <c r="R15" s="208">
        <f>ROUND(N(data!P72), 0)</f>
        <v>0</v>
      </c>
      <c r="S15" s="208">
        <f>ROUND(N(data!P73), 0)</f>
        <v>514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482136</v>
      </c>
      <c r="X15" s="208">
        <f>ROUND(N(data!P78), 0)</f>
        <v>0</v>
      </c>
      <c r="Y15" s="208">
        <f>ROUND(N(data!P79), 0)</f>
        <v>0</v>
      </c>
      <c r="Z15" s="208">
        <f>ROUND(N(data!P80), 0)</f>
        <v>58276</v>
      </c>
      <c r="AA15" s="208">
        <f>ROUND(N(data!P81), 0)</f>
        <v>0</v>
      </c>
      <c r="AB15" s="208">
        <f>ROUND(N(data!P82), 0)</f>
        <v>0</v>
      </c>
      <c r="AC15" s="208">
        <f>ROUND(N(data!P83), 0)</f>
        <v>5087</v>
      </c>
      <c r="AD15" s="208">
        <f>ROUND(N(data!P84), 0)</f>
        <v>0</v>
      </c>
      <c r="AE15" s="208">
        <f>ROUND(N(data!P89), 0)</f>
        <v>70794202</v>
      </c>
      <c r="AF15" s="208">
        <f>ROUND(N(data!P87), 0)</f>
        <v>31218559</v>
      </c>
      <c r="AG15" s="208">
        <f>ROUND(N(data!P90), 0)</f>
        <v>14511</v>
      </c>
      <c r="AH15" s="208">
        <f>ROUND(N(data!P91), 0)</f>
        <v>0</v>
      </c>
      <c r="AI15" s="208">
        <f>ROUND(N(data!P92), 0)</f>
        <v>2610</v>
      </c>
      <c r="AJ15" s="208">
        <f>ROUND(N(data!P93), 0)</f>
        <v>35242</v>
      </c>
      <c r="AK15" s="316">
        <f>ROUND(N(data!P94), 2)</f>
        <v>8.7899999999999991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039</v>
      </c>
      <c r="B16" s="210" t="str">
        <f>RIGHT(data!$C$96,4)</f>
        <v>2023</v>
      </c>
      <c r="C16" s="12" t="str">
        <f>data!Q$55</f>
        <v>7030</v>
      </c>
      <c r="D16" s="12" t="s">
        <v>1141</v>
      </c>
      <c r="E16" s="208">
        <f>ROUND(N(data!Q59), 0)</f>
        <v>110193</v>
      </c>
      <c r="F16" s="316">
        <f>ROUND(N(data!Q60), 2)</f>
        <v>5.34</v>
      </c>
      <c r="G16" s="208">
        <f>ROUND(N(data!Q61), 0)</f>
        <v>809785</v>
      </c>
      <c r="H16" s="208">
        <f>ROUND(N(data!Q62), 0)</f>
        <v>149353</v>
      </c>
      <c r="I16" s="208">
        <f>ROUND(N(data!Q63), 0)</f>
        <v>0</v>
      </c>
      <c r="J16" s="208">
        <f>ROUND(N(data!Q64), 0)</f>
        <v>8589</v>
      </c>
      <c r="K16" s="208">
        <f>ROUND(N(data!Q65), 0)</f>
        <v>0</v>
      </c>
      <c r="L16" s="208">
        <f>ROUND(N(data!Q66), 0)</f>
        <v>572</v>
      </c>
      <c r="M16" s="208">
        <f>ROUND(N(data!Q67), 0)</f>
        <v>39192</v>
      </c>
      <c r="N16" s="208">
        <f>ROUND(N(data!Q68), 0)</f>
        <v>0</v>
      </c>
      <c r="O16" s="208">
        <f>ROUND(N(data!Q69), 0)</f>
        <v>437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437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3979372</v>
      </c>
      <c r="AF16" s="208">
        <f>ROUND(N(data!Q87), 0)</f>
        <v>1360122</v>
      </c>
      <c r="AG16" s="208">
        <f>ROUND(N(data!Q90), 0)</f>
        <v>3360</v>
      </c>
      <c r="AH16" s="208">
        <f>ROUND(N(data!Q91), 0)</f>
        <v>0</v>
      </c>
      <c r="AI16" s="208">
        <f>ROUND(N(data!Q92), 0)</f>
        <v>604</v>
      </c>
      <c r="AJ16" s="208">
        <f>ROUND(N(data!Q93), 0)</f>
        <v>0</v>
      </c>
      <c r="AK16" s="316">
        <f>ROUND(N(data!Q94), 2)</f>
        <v>5.38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039</v>
      </c>
      <c r="B17" s="210" t="str">
        <f>RIGHT(data!$C$96,4)</f>
        <v>2023</v>
      </c>
      <c r="C17" s="12" t="str">
        <f>data!R$55</f>
        <v>7040</v>
      </c>
      <c r="D17" s="12" t="s">
        <v>1141</v>
      </c>
      <c r="E17" s="208">
        <f>ROUND(N(data!R59), 0)</f>
        <v>274970</v>
      </c>
      <c r="F17" s="316">
        <f>ROUND(N(data!R60), 2)</f>
        <v>2.87</v>
      </c>
      <c r="G17" s="208">
        <f>ROUND(N(data!R61), 0)</f>
        <v>273948</v>
      </c>
      <c r="H17" s="208">
        <f>ROUND(N(data!R62), 0)</f>
        <v>50526</v>
      </c>
      <c r="I17" s="208">
        <f>ROUND(N(data!R63), 0)</f>
        <v>1471988</v>
      </c>
      <c r="J17" s="208">
        <f>ROUND(N(data!R64), 0)</f>
        <v>202662</v>
      </c>
      <c r="K17" s="208">
        <f>ROUND(N(data!R65), 0)</f>
        <v>0</v>
      </c>
      <c r="L17" s="208">
        <f>ROUND(N(data!R66), 0)</f>
        <v>0</v>
      </c>
      <c r="M17" s="208">
        <f>ROUND(N(data!R67), 0)</f>
        <v>1750</v>
      </c>
      <c r="N17" s="208">
        <f>ROUND(N(data!R68), 0)</f>
        <v>0</v>
      </c>
      <c r="O17" s="208">
        <f>ROUND(N(data!R69), 0)</f>
        <v>-348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-348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3249390</v>
      </c>
      <c r="AF17" s="208">
        <f>ROUND(N(data!R87), 0)</f>
        <v>3249390</v>
      </c>
      <c r="AG17" s="208">
        <f>ROUND(N(data!R90), 0)</f>
        <v>150</v>
      </c>
      <c r="AH17" s="208">
        <f>ROUND(N(data!R91), 0)</f>
        <v>0</v>
      </c>
      <c r="AI17" s="208">
        <f>ROUND(N(data!R92), 0)</f>
        <v>27</v>
      </c>
      <c r="AJ17" s="208">
        <f>ROUND(N(data!R93), 0)</f>
        <v>0</v>
      </c>
      <c r="AK17" s="316">
        <f>ROUND(N(data!R94), 2)</f>
        <v>0.99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039</v>
      </c>
      <c r="B18" s="210" t="str">
        <f>RIGHT(data!$C$96,4)</f>
        <v>2023</v>
      </c>
      <c r="C18" s="12" t="str">
        <f>data!S$55</f>
        <v>7050</v>
      </c>
      <c r="D18" s="12" t="s">
        <v>1141</v>
      </c>
      <c r="E18" s="208">
        <f>ROUND(N(data!S59), 0)</f>
        <v>0</v>
      </c>
      <c r="F18" s="316">
        <f>ROUND(N(data!S60), 2)</f>
        <v>9.0500000000000007</v>
      </c>
      <c r="G18" s="208">
        <f>ROUND(N(data!S61), 0)</f>
        <v>528669</v>
      </c>
      <c r="H18" s="208">
        <f>ROUND(N(data!S62), 0)</f>
        <v>97505</v>
      </c>
      <c r="I18" s="208">
        <f>ROUND(N(data!S63), 0)</f>
        <v>0</v>
      </c>
      <c r="J18" s="208">
        <f>ROUND(N(data!S64), 0)</f>
        <v>1432351</v>
      </c>
      <c r="K18" s="208">
        <f>ROUND(N(data!S65), 0)</f>
        <v>0</v>
      </c>
      <c r="L18" s="208">
        <f>ROUND(N(data!S66), 0)</f>
        <v>34565</v>
      </c>
      <c r="M18" s="208">
        <f>ROUND(N(data!S67), 0)</f>
        <v>56747</v>
      </c>
      <c r="N18" s="208">
        <f>ROUND(N(data!S68), 0)</f>
        <v>1866</v>
      </c>
      <c r="O18" s="208">
        <f>ROUND(N(data!S69), 0)</f>
        <v>175485</v>
      </c>
      <c r="P18" s="208">
        <f>ROUND(N(data!S70), 0)</f>
        <v>10719</v>
      </c>
      <c r="Q18" s="208">
        <f>ROUND(N(data!S71), 0)</f>
        <v>68311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5881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90574</v>
      </c>
      <c r="AD18" s="208">
        <f>ROUND(N(data!S84), 0)</f>
        <v>536173</v>
      </c>
      <c r="AE18" s="208">
        <f>ROUND(N(data!S89), 0)</f>
        <v>8208239</v>
      </c>
      <c r="AF18" s="208">
        <f>ROUND(N(data!S87), 0)</f>
        <v>3883409</v>
      </c>
      <c r="AG18" s="208">
        <f>ROUND(N(data!S90), 0)</f>
        <v>4865</v>
      </c>
      <c r="AH18" s="208">
        <f>ROUND(N(data!S91), 0)</f>
        <v>0</v>
      </c>
      <c r="AI18" s="208">
        <f>ROUND(N(data!S92), 0)</f>
        <v>875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039</v>
      </c>
      <c r="B19" s="210" t="str">
        <f>RIGHT(data!$C$96,4)</f>
        <v>2023</v>
      </c>
      <c r="C19" s="12" t="str">
        <f>data!T$55</f>
        <v>7060</v>
      </c>
      <c r="D19" s="12" t="s">
        <v>1141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146361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6479569</v>
      </c>
      <c r="AF19" s="208">
        <f>ROUND(N(data!T87), 0)</f>
        <v>2621019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039</v>
      </c>
      <c r="B20" s="210" t="str">
        <f>RIGHT(data!$C$96,4)</f>
        <v>2023</v>
      </c>
      <c r="C20" s="12" t="str">
        <f>data!U$55</f>
        <v>7070</v>
      </c>
      <c r="D20" s="12" t="s">
        <v>1141</v>
      </c>
      <c r="E20" s="208">
        <f>ROUND(N(data!U59), 0)</f>
        <v>365817</v>
      </c>
      <c r="F20" s="316">
        <f>ROUND(N(data!U60), 2)</f>
        <v>24.12</v>
      </c>
      <c r="G20" s="208">
        <f>ROUND(N(data!U61), 0)</f>
        <v>1508303</v>
      </c>
      <c r="H20" s="208">
        <f>ROUND(N(data!U62), 0)</f>
        <v>278185</v>
      </c>
      <c r="I20" s="208">
        <f>ROUND(N(data!U63), 0)</f>
        <v>194873</v>
      </c>
      <c r="J20" s="208">
        <f>ROUND(N(data!U64), 0)</f>
        <v>1525623</v>
      </c>
      <c r="K20" s="208">
        <f>ROUND(N(data!U65), 0)</f>
        <v>0</v>
      </c>
      <c r="L20" s="208">
        <f>ROUND(N(data!U66), 0)</f>
        <v>338797</v>
      </c>
      <c r="M20" s="208">
        <f>ROUND(N(data!U67), 0)</f>
        <v>125264</v>
      </c>
      <c r="N20" s="208">
        <f>ROUND(N(data!U68), 0)</f>
        <v>0</v>
      </c>
      <c r="O20" s="208">
        <f>ROUND(N(data!U69), 0)</f>
        <v>1659690</v>
      </c>
      <c r="P20" s="208">
        <f>ROUND(N(data!U70), 0)</f>
        <v>589403</v>
      </c>
      <c r="Q20" s="208">
        <f>ROUND(N(data!U71), 0)</f>
        <v>272624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754376</v>
      </c>
      <c r="W20" s="208">
        <f>ROUND(N(data!U77), 0)</f>
        <v>31918</v>
      </c>
      <c r="X20" s="208">
        <f>ROUND(N(data!U78), 0)</f>
        <v>0</v>
      </c>
      <c r="Y20" s="208">
        <f>ROUND(N(data!U79), 0)</f>
        <v>0</v>
      </c>
      <c r="Z20" s="208">
        <f>ROUND(N(data!U80), 0)</f>
        <v>3672</v>
      </c>
      <c r="AA20" s="208">
        <f>ROUND(N(data!U81), 0)</f>
        <v>0</v>
      </c>
      <c r="AB20" s="208">
        <f>ROUND(N(data!U82), 0)</f>
        <v>0</v>
      </c>
      <c r="AC20" s="208">
        <f>ROUND(N(data!U83), 0)</f>
        <v>7698</v>
      </c>
      <c r="AD20" s="208">
        <f>ROUND(N(data!U84), 0)</f>
        <v>0</v>
      </c>
      <c r="AE20" s="208">
        <f>ROUND(N(data!U89), 0)</f>
        <v>94592610</v>
      </c>
      <c r="AF20" s="208">
        <f>ROUND(N(data!U87), 0)</f>
        <v>54216921</v>
      </c>
      <c r="AG20" s="208">
        <f>ROUND(N(data!U90), 0)</f>
        <v>10739</v>
      </c>
      <c r="AH20" s="208">
        <f>ROUND(N(data!U91), 0)</f>
        <v>0</v>
      </c>
      <c r="AI20" s="208">
        <f>ROUND(N(data!U92), 0)</f>
        <v>1931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039</v>
      </c>
      <c r="B21" s="210" t="str">
        <f>RIGHT(data!$C$96,4)</f>
        <v>2023</v>
      </c>
      <c r="C21" s="12" t="str">
        <f>data!V$55</f>
        <v>7110</v>
      </c>
      <c r="D21" s="12" t="s">
        <v>1141</v>
      </c>
      <c r="E21" s="208">
        <f>ROUND(N(data!V59), 0)</f>
        <v>245</v>
      </c>
      <c r="F21" s="316">
        <f>ROUND(N(data!V60), 2)</f>
        <v>0.98</v>
      </c>
      <c r="G21" s="208">
        <f>ROUND(N(data!V61), 0)</f>
        <v>65955</v>
      </c>
      <c r="H21" s="208">
        <f>ROUND(N(data!V62), 0)</f>
        <v>12165</v>
      </c>
      <c r="I21" s="208">
        <f>ROUND(N(data!V63), 0)</f>
        <v>60185</v>
      </c>
      <c r="J21" s="208">
        <f>ROUND(N(data!V64), 0)</f>
        <v>2809</v>
      </c>
      <c r="K21" s="208">
        <f>ROUND(N(data!V65), 0)</f>
        <v>0</v>
      </c>
      <c r="L21" s="208">
        <f>ROUND(N(data!V66), 0)</f>
        <v>0</v>
      </c>
      <c r="M21" s="208">
        <f>ROUND(N(data!V67), 0)</f>
        <v>1750</v>
      </c>
      <c r="N21" s="208">
        <f>ROUND(N(data!V68), 0)</f>
        <v>0</v>
      </c>
      <c r="O21" s="208">
        <f>ROUND(N(data!V69), 0)</f>
        <v>513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513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359141</v>
      </c>
      <c r="AF21" s="208">
        <f>ROUND(N(data!V87), 0)</f>
        <v>160238</v>
      </c>
      <c r="AG21" s="208">
        <f>ROUND(N(data!V90), 0)</f>
        <v>150</v>
      </c>
      <c r="AH21" s="208">
        <f>ROUND(N(data!V91), 0)</f>
        <v>0</v>
      </c>
      <c r="AI21" s="208">
        <f>ROUND(N(data!V92), 0)</f>
        <v>27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039</v>
      </c>
      <c r="B22" s="210" t="str">
        <f>RIGHT(data!$C$96,4)</f>
        <v>2023</v>
      </c>
      <c r="C22" s="12" t="str">
        <f>data!W$55</f>
        <v>7120</v>
      </c>
      <c r="D22" s="12" t="s">
        <v>1141</v>
      </c>
      <c r="E22" s="208">
        <f>ROUND(N(data!W59), 0)</f>
        <v>2169</v>
      </c>
      <c r="F22" s="316">
        <f>ROUND(N(data!W60), 2)</f>
        <v>3.05</v>
      </c>
      <c r="G22" s="208">
        <f>ROUND(N(data!W61), 0)</f>
        <v>385154</v>
      </c>
      <c r="H22" s="208">
        <f>ROUND(N(data!W62), 0)</f>
        <v>71036</v>
      </c>
      <c r="I22" s="208">
        <f>ROUND(N(data!W63), 0)</f>
        <v>0</v>
      </c>
      <c r="J22" s="208">
        <f>ROUND(N(data!W64), 0)</f>
        <v>9870</v>
      </c>
      <c r="K22" s="208">
        <f>ROUND(N(data!W65), 0)</f>
        <v>0</v>
      </c>
      <c r="L22" s="208">
        <f>ROUND(N(data!W66), 0)</f>
        <v>0</v>
      </c>
      <c r="M22" s="208">
        <f>ROUND(N(data!W67), 0)</f>
        <v>64854</v>
      </c>
      <c r="N22" s="208">
        <f>ROUND(N(data!W68), 0)</f>
        <v>0</v>
      </c>
      <c r="O22" s="208">
        <f>ROUND(N(data!W69), 0)</f>
        <v>234751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514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234238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53042</v>
      </c>
      <c r="AE22" s="208">
        <f>ROUND(N(data!W89), 0)</f>
        <v>10035624</v>
      </c>
      <c r="AF22" s="208">
        <f>ROUND(N(data!W87), 0)</f>
        <v>1812952</v>
      </c>
      <c r="AG22" s="208">
        <f>ROUND(N(data!W90), 0)</f>
        <v>5560</v>
      </c>
      <c r="AH22" s="208">
        <f>ROUND(N(data!W91), 0)</f>
        <v>0</v>
      </c>
      <c r="AI22" s="208">
        <f>ROUND(N(data!W92), 0)</f>
        <v>1000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039</v>
      </c>
      <c r="B23" s="210" t="str">
        <f>RIGHT(data!$C$96,4)</f>
        <v>2023</v>
      </c>
      <c r="C23" s="12" t="str">
        <f>data!X$55</f>
        <v>7130</v>
      </c>
      <c r="D23" s="12" t="s">
        <v>1141</v>
      </c>
      <c r="E23" s="208">
        <f>ROUND(N(data!X59), 0)</f>
        <v>11835</v>
      </c>
      <c r="F23" s="316">
        <f>ROUND(N(data!X60), 2)</f>
        <v>6.56</v>
      </c>
      <c r="G23" s="208">
        <f>ROUND(N(data!X61), 0)</f>
        <v>668545</v>
      </c>
      <c r="H23" s="208">
        <f>ROUND(N(data!X62), 0)</f>
        <v>123303</v>
      </c>
      <c r="I23" s="208">
        <f>ROUND(N(data!X63), 0)</f>
        <v>0</v>
      </c>
      <c r="J23" s="208">
        <f>ROUND(N(data!X64), 0)</f>
        <v>150521</v>
      </c>
      <c r="K23" s="208">
        <f>ROUND(N(data!X65), 0)</f>
        <v>0</v>
      </c>
      <c r="L23" s="208">
        <f>ROUND(N(data!X66), 0)</f>
        <v>257585</v>
      </c>
      <c r="M23" s="208">
        <f>ROUND(N(data!X67), 0)</f>
        <v>36976</v>
      </c>
      <c r="N23" s="208">
        <f>ROUND(N(data!X68), 0)</f>
        <v>0</v>
      </c>
      <c r="O23" s="208">
        <f>ROUND(N(data!X69), 0)</f>
        <v>339309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339309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52840972</v>
      </c>
      <c r="AF23" s="208">
        <f>ROUND(N(data!X87), 0)</f>
        <v>13246391</v>
      </c>
      <c r="AG23" s="208">
        <f>ROUND(N(data!X90), 0)</f>
        <v>3170</v>
      </c>
      <c r="AH23" s="208">
        <f>ROUND(N(data!X91), 0)</f>
        <v>0</v>
      </c>
      <c r="AI23" s="208">
        <f>ROUND(N(data!X92), 0)</f>
        <v>570</v>
      </c>
      <c r="AJ23" s="208">
        <f>ROUND(N(data!X93), 0)</f>
        <v>6106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039</v>
      </c>
      <c r="B24" s="210" t="str">
        <f>RIGHT(data!$C$96,4)</f>
        <v>2023</v>
      </c>
      <c r="C24" s="12" t="str">
        <f>data!Y$55</f>
        <v>7140</v>
      </c>
      <c r="D24" s="12" t="s">
        <v>1141</v>
      </c>
      <c r="E24" s="208">
        <f>ROUND(N(data!Y59), 0)</f>
        <v>46677</v>
      </c>
      <c r="F24" s="316">
        <f>ROUND(N(data!Y60), 2)</f>
        <v>27.08</v>
      </c>
      <c r="G24" s="208">
        <f>ROUND(N(data!Y61), 0)</f>
        <v>2462500</v>
      </c>
      <c r="H24" s="208">
        <f>ROUND(N(data!Y62), 0)</f>
        <v>454173</v>
      </c>
      <c r="I24" s="208">
        <f>ROUND(N(data!Y63), 0)</f>
        <v>958612</v>
      </c>
      <c r="J24" s="208">
        <f>ROUND(N(data!Y64), 0)</f>
        <v>217173</v>
      </c>
      <c r="K24" s="208">
        <f>ROUND(N(data!Y65), 0)</f>
        <v>1401</v>
      </c>
      <c r="L24" s="208">
        <f>ROUND(N(data!Y66), 0)</f>
        <v>81933</v>
      </c>
      <c r="M24" s="208">
        <f>ROUND(N(data!Y67), 0)</f>
        <v>194749</v>
      </c>
      <c r="N24" s="208">
        <f>ROUND(N(data!Y68), 0)</f>
        <v>0</v>
      </c>
      <c r="O24" s="208">
        <f>ROUND(N(data!Y69), 0)</f>
        <v>2275193</v>
      </c>
      <c r="P24" s="208">
        <f>ROUND(N(data!Y70), 0)</f>
        <v>0</v>
      </c>
      <c r="Q24" s="208">
        <f>ROUND(N(data!Y71), 0)</f>
        <v>1356745</v>
      </c>
      <c r="R24" s="208">
        <f>ROUND(N(data!Y72), 0)</f>
        <v>0</v>
      </c>
      <c r="S24" s="208">
        <f>ROUND(N(data!Y73), 0)</f>
        <v>513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917345</v>
      </c>
      <c r="X24" s="208">
        <f>ROUND(N(data!Y78), 0)</f>
        <v>0</v>
      </c>
      <c r="Y24" s="208">
        <f>ROUND(N(data!Y79), 0)</f>
        <v>0</v>
      </c>
      <c r="Z24" s="208">
        <f>ROUND(N(data!Y80), 0)</f>
        <v>590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493613</v>
      </c>
      <c r="AE24" s="208">
        <f>ROUND(N(data!Y89), 0)</f>
        <v>51800755</v>
      </c>
      <c r="AF24" s="208">
        <f>ROUND(N(data!Y87), 0)</f>
        <v>18068868</v>
      </c>
      <c r="AG24" s="208">
        <f>ROUND(N(data!Y90), 0)</f>
        <v>16696</v>
      </c>
      <c r="AH24" s="208">
        <f>ROUND(N(data!Y91), 0)</f>
        <v>0</v>
      </c>
      <c r="AI24" s="208">
        <f>ROUND(N(data!Y92), 0)</f>
        <v>3002</v>
      </c>
      <c r="AJ24" s="208">
        <f>ROUND(N(data!Y93), 0)</f>
        <v>48274</v>
      </c>
      <c r="AK24" s="316">
        <f>ROUND(N(data!Y94), 2)</f>
        <v>1.76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039</v>
      </c>
      <c r="B25" s="210" t="str">
        <f>RIGHT(data!$C$96,4)</f>
        <v>2023</v>
      </c>
      <c r="C25" s="12" t="str">
        <f>data!Z$55</f>
        <v>7150</v>
      </c>
      <c r="D25" s="12" t="s">
        <v>1141</v>
      </c>
      <c r="E25" s="208">
        <f>ROUND(N(data!Z59), 0)</f>
        <v>448956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6016657</v>
      </c>
      <c r="K25" s="208">
        <f>ROUND(N(data!Z65), 0)</f>
        <v>0</v>
      </c>
      <c r="L25" s="208">
        <f>ROUND(N(data!Z66), 0)</f>
        <v>213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37370491</v>
      </c>
      <c r="AF25" s="208">
        <f>ROUND(N(data!Z87), 0)</f>
        <v>794966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039</v>
      </c>
      <c r="B26" s="210" t="str">
        <f>RIGHT(data!$C$96,4)</f>
        <v>2023</v>
      </c>
      <c r="C26" s="12" t="str">
        <f>data!AA$55</f>
        <v>7160</v>
      </c>
      <c r="D26" s="12" t="s">
        <v>1141</v>
      </c>
      <c r="E26" s="208">
        <f>ROUND(N(data!AA59), 0)</f>
        <v>860</v>
      </c>
      <c r="F26" s="316">
        <f>ROUND(N(data!AA60), 2)</f>
        <v>1.72</v>
      </c>
      <c r="G26" s="208">
        <f>ROUND(N(data!AA61), 0)</f>
        <v>213209</v>
      </c>
      <c r="H26" s="208">
        <f>ROUND(N(data!AA62), 0)</f>
        <v>39323</v>
      </c>
      <c r="I26" s="208">
        <f>ROUND(N(data!AA63), 0)</f>
        <v>0</v>
      </c>
      <c r="J26" s="208">
        <f>ROUND(N(data!AA64), 0)</f>
        <v>44294</v>
      </c>
      <c r="K26" s="208">
        <f>ROUND(N(data!AA65), 0)</f>
        <v>0</v>
      </c>
      <c r="L26" s="208">
        <f>ROUND(N(data!AA66), 0)</f>
        <v>0</v>
      </c>
      <c r="M26" s="208">
        <f>ROUND(N(data!AA67), 0)</f>
        <v>49539</v>
      </c>
      <c r="N26" s="208">
        <f>ROUND(N(data!AA68), 0)</f>
        <v>0</v>
      </c>
      <c r="O26" s="208">
        <f>ROUND(N(data!AA69), 0)</f>
        <v>47347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47347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3789500</v>
      </c>
      <c r="AF26" s="208">
        <f>ROUND(N(data!AA87), 0)</f>
        <v>1172794</v>
      </c>
      <c r="AG26" s="208">
        <f>ROUND(N(data!AA90), 0)</f>
        <v>4247</v>
      </c>
      <c r="AH26" s="208">
        <f>ROUND(N(data!AA91), 0)</f>
        <v>0</v>
      </c>
      <c r="AI26" s="208">
        <f>ROUND(N(data!AA92), 0)</f>
        <v>764</v>
      </c>
      <c r="AJ26" s="208">
        <f>ROUND(N(data!AA93), 0)</f>
        <v>0</v>
      </c>
      <c r="AK26" s="316">
        <f>ROUND(N(data!AA94), 2)</f>
        <v>0.97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039</v>
      </c>
      <c r="B27" s="210" t="str">
        <f>RIGHT(data!$C$96,4)</f>
        <v>2023</v>
      </c>
      <c r="C27" s="12" t="str">
        <f>data!AB$55</f>
        <v>7170</v>
      </c>
      <c r="D27" s="12" t="s">
        <v>1141</v>
      </c>
      <c r="E27" s="208">
        <f>ROUND(N(data!AB59), 0)</f>
        <v>0</v>
      </c>
      <c r="F27" s="316">
        <f>ROUND(N(data!AB60), 2)</f>
        <v>15.46</v>
      </c>
      <c r="G27" s="208">
        <f>ROUND(N(data!AB61), 0)</f>
        <v>1769187</v>
      </c>
      <c r="H27" s="208">
        <f>ROUND(N(data!AB62), 0)</f>
        <v>326301</v>
      </c>
      <c r="I27" s="208">
        <f>ROUND(N(data!AB63), 0)</f>
        <v>0</v>
      </c>
      <c r="J27" s="208">
        <f>ROUND(N(data!AB64), 0)</f>
        <v>2984029</v>
      </c>
      <c r="K27" s="208">
        <f>ROUND(N(data!AB65), 0)</f>
        <v>0</v>
      </c>
      <c r="L27" s="208">
        <f>ROUND(N(data!AB66), 0)</f>
        <v>140536</v>
      </c>
      <c r="M27" s="208">
        <f>ROUND(N(data!AB67), 0)</f>
        <v>45538</v>
      </c>
      <c r="N27" s="208">
        <f>ROUND(N(data!AB68), 0)</f>
        <v>0</v>
      </c>
      <c r="O27" s="208">
        <f>ROUND(N(data!AB69), 0)</f>
        <v>628351</v>
      </c>
      <c r="P27" s="208">
        <f>ROUND(N(data!AB70), 0)</f>
        <v>507993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119168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1191</v>
      </c>
      <c r="AD27" s="208">
        <f>ROUND(N(data!AB84), 0)</f>
        <v>0</v>
      </c>
      <c r="AE27" s="208">
        <f>ROUND(N(data!AB89), 0)</f>
        <v>13909392</v>
      </c>
      <c r="AF27" s="208">
        <f>ROUND(N(data!AB87), 0)</f>
        <v>0</v>
      </c>
      <c r="AG27" s="208">
        <f>ROUND(N(data!AB90), 0)</f>
        <v>3904</v>
      </c>
      <c r="AH27" s="208">
        <f>ROUND(N(data!AB91), 0)</f>
        <v>0</v>
      </c>
      <c r="AI27" s="208">
        <f>ROUND(N(data!AB92), 0)</f>
        <v>702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039</v>
      </c>
      <c r="B28" s="210" t="str">
        <f>RIGHT(data!$C$96,4)</f>
        <v>2023</v>
      </c>
      <c r="C28" s="12" t="str">
        <f>data!AC$55</f>
        <v>7180</v>
      </c>
      <c r="D28" s="12" t="s">
        <v>1141</v>
      </c>
      <c r="E28" s="208">
        <f>ROUND(N(data!AC59), 0)</f>
        <v>38295</v>
      </c>
      <c r="F28" s="316">
        <f>ROUND(N(data!AC60), 2)</f>
        <v>11.82</v>
      </c>
      <c r="G28" s="208">
        <f>ROUND(N(data!AC61), 0)</f>
        <v>1264581</v>
      </c>
      <c r="H28" s="208">
        <f>ROUND(N(data!AC62), 0)</f>
        <v>233234</v>
      </c>
      <c r="I28" s="208">
        <f>ROUND(N(data!AC63), 0)</f>
        <v>32095</v>
      </c>
      <c r="J28" s="208">
        <f>ROUND(N(data!AC64), 0)</f>
        <v>310573</v>
      </c>
      <c r="K28" s="208">
        <f>ROUND(N(data!AC65), 0)</f>
        <v>757</v>
      </c>
      <c r="L28" s="208">
        <f>ROUND(N(data!AC66), 0)</f>
        <v>8562</v>
      </c>
      <c r="M28" s="208">
        <f>ROUND(N(data!AC67), 0)</f>
        <v>47322</v>
      </c>
      <c r="N28" s="208">
        <f>ROUND(N(data!AC68), 0)</f>
        <v>0</v>
      </c>
      <c r="O28" s="208">
        <f>ROUND(N(data!AC69), 0)</f>
        <v>89510</v>
      </c>
      <c r="P28" s="208">
        <f>ROUND(N(data!AC70), 0)</f>
        <v>0</v>
      </c>
      <c r="Q28" s="208">
        <f>ROUND(N(data!AC71), 0)</f>
        <v>88927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583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19410173</v>
      </c>
      <c r="AF28" s="208">
        <f>ROUND(N(data!AC87), 0)</f>
        <v>14756651</v>
      </c>
      <c r="AG28" s="208">
        <f>ROUND(N(data!AC90), 0)</f>
        <v>4057</v>
      </c>
      <c r="AH28" s="208">
        <f>ROUND(N(data!AC91), 0)</f>
        <v>0</v>
      </c>
      <c r="AI28" s="208">
        <f>ROUND(N(data!AC92), 0)</f>
        <v>730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039</v>
      </c>
      <c r="B29" s="210" t="str">
        <f>RIGHT(data!$C$96,4)</f>
        <v>2023</v>
      </c>
      <c r="C29" s="12" t="str">
        <f>data!AD$55</f>
        <v>7190</v>
      </c>
      <c r="D29" s="12" t="s">
        <v>1141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40907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3507</v>
      </c>
      <c r="AH29" s="208">
        <f>ROUND(N(data!AD91), 0)</f>
        <v>7192</v>
      </c>
      <c r="AI29" s="208">
        <f>ROUND(N(data!AD92), 0)</f>
        <v>631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039</v>
      </c>
      <c r="B30" s="210" t="str">
        <f>RIGHT(data!$C$96,4)</f>
        <v>2023</v>
      </c>
      <c r="C30" s="12" t="str">
        <f>data!AE$55</f>
        <v>7200</v>
      </c>
      <c r="D30" s="12" t="s">
        <v>1141</v>
      </c>
      <c r="E30" s="208">
        <f>ROUND(N(data!AE59), 0)</f>
        <v>67385</v>
      </c>
      <c r="F30" s="316">
        <f>ROUND(N(data!AE60), 2)</f>
        <v>19.239999999999998</v>
      </c>
      <c r="G30" s="208">
        <f>ROUND(N(data!AE61), 0)</f>
        <v>2423342</v>
      </c>
      <c r="H30" s="208">
        <f>ROUND(N(data!AE62), 0)</f>
        <v>446950</v>
      </c>
      <c r="I30" s="208">
        <f>ROUND(N(data!AE63), 0)</f>
        <v>1800</v>
      </c>
      <c r="J30" s="208">
        <f>ROUND(N(data!AE64), 0)</f>
        <v>119782</v>
      </c>
      <c r="K30" s="208">
        <f>ROUND(N(data!AE65), 0)</f>
        <v>757</v>
      </c>
      <c r="L30" s="208">
        <f>ROUND(N(data!AE66), 0)</f>
        <v>302672</v>
      </c>
      <c r="M30" s="208">
        <f>ROUND(N(data!AE67), 0)</f>
        <v>95100</v>
      </c>
      <c r="N30" s="208">
        <f>ROUND(N(data!AE68), 0)</f>
        <v>0</v>
      </c>
      <c r="O30" s="208">
        <f>ROUND(N(data!AE69), 0)</f>
        <v>67274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63668</v>
      </c>
      <c r="X30" s="208">
        <f>ROUND(N(data!AE78), 0)</f>
        <v>0</v>
      </c>
      <c r="Y30" s="208">
        <f>ROUND(N(data!AE79), 0)</f>
        <v>0</v>
      </c>
      <c r="Z30" s="208">
        <f>ROUND(N(data!AE80), 0)</f>
        <v>3361</v>
      </c>
      <c r="AA30" s="208">
        <f>ROUND(N(data!AE81), 0)</f>
        <v>0</v>
      </c>
      <c r="AB30" s="208">
        <f>ROUND(N(data!AE82), 0)</f>
        <v>0</v>
      </c>
      <c r="AC30" s="208">
        <f>ROUND(N(data!AE83), 0)</f>
        <v>245</v>
      </c>
      <c r="AD30" s="208">
        <f>ROUND(N(data!AE84), 0)</f>
        <v>0</v>
      </c>
      <c r="AE30" s="208">
        <f>ROUND(N(data!AE89), 0)</f>
        <v>9411575</v>
      </c>
      <c r="AF30" s="208">
        <f>ROUND(N(data!AE87), 0)</f>
        <v>3176900</v>
      </c>
      <c r="AG30" s="208">
        <f>ROUND(N(data!AE90), 0)</f>
        <v>8153</v>
      </c>
      <c r="AH30" s="208">
        <f>ROUND(N(data!AE91), 0)</f>
        <v>0</v>
      </c>
      <c r="AI30" s="208">
        <f>ROUND(N(data!AE92), 0)</f>
        <v>1466</v>
      </c>
      <c r="AJ30" s="208">
        <f>ROUND(N(data!AE93), 0)</f>
        <v>17945</v>
      </c>
      <c r="AK30" s="316">
        <f>ROUND(N(data!AE94), 2)</f>
        <v>0.41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039</v>
      </c>
      <c r="B31" s="210" t="str">
        <f>RIGHT(data!$C$96,4)</f>
        <v>2023</v>
      </c>
      <c r="C31" s="12" t="str">
        <f>data!AF$55</f>
        <v>7220</v>
      </c>
      <c r="D31" s="12" t="s">
        <v>1141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039</v>
      </c>
      <c r="B32" s="210" t="str">
        <f>RIGHT(data!$C$96,4)</f>
        <v>2023</v>
      </c>
      <c r="C32" s="12" t="str">
        <f>data!AG$55</f>
        <v>7230</v>
      </c>
      <c r="D32" s="12" t="s">
        <v>1141</v>
      </c>
      <c r="E32" s="208">
        <f>ROUND(N(data!AG59), 0)</f>
        <v>25046</v>
      </c>
      <c r="F32" s="316">
        <f>ROUND(N(data!AG60), 2)</f>
        <v>23.61</v>
      </c>
      <c r="G32" s="208">
        <f>ROUND(N(data!AG61), 0)</f>
        <v>2741723</v>
      </c>
      <c r="H32" s="208">
        <f>ROUND(N(data!AG62), 0)</f>
        <v>505671</v>
      </c>
      <c r="I32" s="208">
        <f>ROUND(N(data!AG63), 0)</f>
        <v>4475211</v>
      </c>
      <c r="J32" s="208">
        <f>ROUND(N(data!AG64), 0)</f>
        <v>758323</v>
      </c>
      <c r="K32" s="208">
        <f>ROUND(N(data!AG65), 0)</f>
        <v>2829</v>
      </c>
      <c r="L32" s="208">
        <f>ROUND(N(data!AG66), 0)</f>
        <v>507971</v>
      </c>
      <c r="M32" s="208">
        <f>ROUND(N(data!AG67), 0)</f>
        <v>145945</v>
      </c>
      <c r="N32" s="208">
        <f>ROUND(N(data!AG68), 0)</f>
        <v>0</v>
      </c>
      <c r="O32" s="208">
        <f>ROUND(N(data!AG69), 0)</f>
        <v>2591845</v>
      </c>
      <c r="P32" s="208">
        <f>ROUND(N(data!AG70), 0)</f>
        <v>0</v>
      </c>
      <c r="Q32" s="208">
        <f>ROUND(N(data!AG71), 0)</f>
        <v>2483312</v>
      </c>
      <c r="R32" s="208">
        <f>ROUND(N(data!AG72), 0)</f>
        <v>0</v>
      </c>
      <c r="S32" s="208">
        <f>ROUND(N(data!AG73), 0)</f>
        <v>513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15265</v>
      </c>
      <c r="X32" s="208">
        <f>ROUND(N(data!AG78), 0)</f>
        <v>0</v>
      </c>
      <c r="Y32" s="208">
        <f>ROUND(N(data!AG79), 0)</f>
        <v>0</v>
      </c>
      <c r="Z32" s="208">
        <f>ROUND(N(data!AG80), 0)</f>
        <v>8469</v>
      </c>
      <c r="AA32" s="208">
        <f>ROUND(N(data!AG81), 0)</f>
        <v>0</v>
      </c>
      <c r="AB32" s="208">
        <f>ROUND(N(data!AG82), 0)</f>
        <v>0</v>
      </c>
      <c r="AC32" s="208">
        <f>ROUND(N(data!AG83), 0)</f>
        <v>84286</v>
      </c>
      <c r="AD32" s="208">
        <f>ROUND(N(data!AG84), 0)</f>
        <v>422485</v>
      </c>
      <c r="AE32" s="208">
        <f>ROUND(N(data!AG89), 0)</f>
        <v>63037559</v>
      </c>
      <c r="AF32" s="208">
        <f>ROUND(N(data!AG87), 0)</f>
        <v>17895642</v>
      </c>
      <c r="AG32" s="208">
        <f>ROUND(N(data!AG90), 0)</f>
        <v>12512</v>
      </c>
      <c r="AH32" s="208">
        <f>ROUND(N(data!AG91), 0)</f>
        <v>1076</v>
      </c>
      <c r="AI32" s="208">
        <f>ROUND(N(data!AG92), 0)</f>
        <v>2250</v>
      </c>
      <c r="AJ32" s="208">
        <f>ROUND(N(data!AG93), 0)</f>
        <v>102815</v>
      </c>
      <c r="AK32" s="316">
        <f>ROUND(N(data!AG94), 2)</f>
        <v>20.61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039</v>
      </c>
      <c r="B33" s="210" t="str">
        <f>RIGHT(data!$C$96,4)</f>
        <v>2023</v>
      </c>
      <c r="C33" s="12" t="str">
        <f>data!AH$55</f>
        <v>7240</v>
      </c>
      <c r="D33" s="12" t="s">
        <v>1141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039</v>
      </c>
      <c r="B34" s="210" t="str">
        <f>RIGHT(data!$C$96,4)</f>
        <v>2023</v>
      </c>
      <c r="C34" s="12" t="str">
        <f>data!AI$55</f>
        <v>7250</v>
      </c>
      <c r="D34" s="12" t="s">
        <v>1141</v>
      </c>
      <c r="E34" s="208">
        <f>ROUND(N(data!AI59), 0)</f>
        <v>182242</v>
      </c>
      <c r="F34" s="316">
        <f>ROUND(N(data!AI60), 2)</f>
        <v>19.920000000000002</v>
      </c>
      <c r="G34" s="208">
        <f>ROUND(N(data!AI61), 0)</f>
        <v>2168281</v>
      </c>
      <c r="H34" s="208">
        <f>ROUND(N(data!AI62), 0)</f>
        <v>399908</v>
      </c>
      <c r="I34" s="208">
        <f>ROUND(N(data!AI63), 0)</f>
        <v>0</v>
      </c>
      <c r="J34" s="208">
        <f>ROUND(N(data!AI64), 0)</f>
        <v>287678</v>
      </c>
      <c r="K34" s="208">
        <f>ROUND(N(data!AI65), 0)</f>
        <v>0</v>
      </c>
      <c r="L34" s="208">
        <f>ROUND(N(data!AI66), 0)</f>
        <v>29439</v>
      </c>
      <c r="M34" s="208">
        <f>ROUND(N(data!AI67), 0)</f>
        <v>240438</v>
      </c>
      <c r="N34" s="208">
        <f>ROUND(N(data!AI68), 0)</f>
        <v>0</v>
      </c>
      <c r="O34" s="208">
        <f>ROUND(N(data!AI69), 0)</f>
        <v>54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54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15207892</v>
      </c>
      <c r="AF34" s="208">
        <f>ROUND(N(data!AI87), 0)</f>
        <v>20970</v>
      </c>
      <c r="AG34" s="208">
        <f>ROUND(N(data!AI90), 0)</f>
        <v>20613</v>
      </c>
      <c r="AH34" s="208">
        <f>ROUND(N(data!AI91), 0)</f>
        <v>1713</v>
      </c>
      <c r="AI34" s="208">
        <f>ROUND(N(data!AI92), 0)</f>
        <v>3707</v>
      </c>
      <c r="AJ34" s="208">
        <f>ROUND(N(data!AI93), 0)</f>
        <v>46618</v>
      </c>
      <c r="AK34" s="316">
        <f>ROUND(N(data!AI94), 2)</f>
        <v>13.09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039</v>
      </c>
      <c r="B35" s="210" t="str">
        <f>RIGHT(data!$C$96,4)</f>
        <v>2023</v>
      </c>
      <c r="C35" s="12" t="str">
        <f>data!AJ$55</f>
        <v>7260</v>
      </c>
      <c r="D35" s="12" t="s">
        <v>1141</v>
      </c>
      <c r="E35" s="208">
        <f>ROUND(N(data!AJ59), 0)</f>
        <v>6884</v>
      </c>
      <c r="F35" s="316">
        <f>ROUND(N(data!AJ60), 2)</f>
        <v>17.18</v>
      </c>
      <c r="G35" s="208">
        <f>ROUND(N(data!AJ61), 0)</f>
        <v>1342922</v>
      </c>
      <c r="H35" s="208">
        <f>ROUND(N(data!AJ62), 0)</f>
        <v>247683</v>
      </c>
      <c r="I35" s="208">
        <f>ROUND(N(data!AJ63), 0)</f>
        <v>0</v>
      </c>
      <c r="J35" s="208">
        <f>ROUND(N(data!AJ64), 0)</f>
        <v>288453</v>
      </c>
      <c r="K35" s="208">
        <f>ROUND(N(data!AJ65), 0)</f>
        <v>0</v>
      </c>
      <c r="L35" s="208">
        <f>ROUND(N(data!AJ66), 0)</f>
        <v>1628</v>
      </c>
      <c r="M35" s="208">
        <f>ROUND(N(data!AJ67), 0)</f>
        <v>13904</v>
      </c>
      <c r="N35" s="208">
        <f>ROUND(N(data!AJ68), 0)</f>
        <v>0</v>
      </c>
      <c r="O35" s="208">
        <f>ROUND(N(data!AJ69), 0)</f>
        <v>84471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83422</v>
      </c>
      <c r="X35" s="208">
        <f>ROUND(N(data!AJ78), 0)</f>
        <v>0</v>
      </c>
      <c r="Y35" s="208">
        <f>ROUND(N(data!AJ79), 0)</f>
        <v>0</v>
      </c>
      <c r="Z35" s="208">
        <f>ROUND(N(data!AJ80), 0)</f>
        <v>1049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22506701</v>
      </c>
      <c r="AF35" s="208">
        <f>ROUND(N(data!AJ87), 0)</f>
        <v>1038306</v>
      </c>
      <c r="AG35" s="208">
        <f>ROUND(N(data!AJ90), 0)</f>
        <v>1192</v>
      </c>
      <c r="AH35" s="208">
        <f>ROUND(N(data!AJ91), 0)</f>
        <v>0</v>
      </c>
      <c r="AI35" s="208">
        <f>ROUND(N(data!AJ92), 0)</f>
        <v>214</v>
      </c>
      <c r="AJ35" s="208">
        <f>ROUND(N(data!AJ93), 0)</f>
        <v>0</v>
      </c>
      <c r="AK35" s="316">
        <f>ROUND(N(data!AJ94), 2)</f>
        <v>9.66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039</v>
      </c>
      <c r="B36" s="210" t="str">
        <f>RIGHT(data!$C$96,4)</f>
        <v>2023</v>
      </c>
      <c r="C36" s="12" t="str">
        <f>data!AK$55</f>
        <v>7310</v>
      </c>
      <c r="D36" s="12" t="s">
        <v>1141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039</v>
      </c>
      <c r="B37" s="210" t="str">
        <f>RIGHT(data!$C$96,4)</f>
        <v>2023</v>
      </c>
      <c r="C37" s="12" t="str">
        <f>data!AL$55</f>
        <v>7320</v>
      </c>
      <c r="D37" s="12" t="s">
        <v>1141</v>
      </c>
      <c r="E37" s="208">
        <f>ROUND(N(data!AL59), 0)</f>
        <v>6218</v>
      </c>
      <c r="F37" s="316">
        <f>ROUND(N(data!AL60), 2)</f>
        <v>3.6</v>
      </c>
      <c r="G37" s="208">
        <f>ROUND(N(data!AL61), 0)</f>
        <v>408578</v>
      </c>
      <c r="H37" s="208">
        <f>ROUND(N(data!AL62), 0)</f>
        <v>75356</v>
      </c>
      <c r="I37" s="208">
        <f>ROUND(N(data!AL63), 0)</f>
        <v>0</v>
      </c>
      <c r="J37" s="208">
        <f>ROUND(N(data!AL64), 0)</f>
        <v>2194</v>
      </c>
      <c r="K37" s="208">
        <f>ROUND(N(data!AL65), 0)</f>
        <v>0</v>
      </c>
      <c r="L37" s="208">
        <f>ROUND(N(data!AL66), 0)</f>
        <v>0</v>
      </c>
      <c r="M37" s="208">
        <f>ROUND(N(data!AL67), 0)</f>
        <v>2333</v>
      </c>
      <c r="N37" s="208">
        <f>ROUND(N(data!AL68), 0)</f>
        <v>0</v>
      </c>
      <c r="O37" s="208">
        <f>ROUND(N(data!AL69), 0)</f>
        <v>513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513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2284804</v>
      </c>
      <c r="AF37" s="208">
        <f>ROUND(N(data!AL87), 0)</f>
        <v>1071652</v>
      </c>
      <c r="AG37" s="208">
        <f>ROUND(N(data!AL90), 0)</f>
        <v>200</v>
      </c>
      <c r="AH37" s="208">
        <f>ROUND(N(data!AL91), 0)</f>
        <v>0</v>
      </c>
      <c r="AI37" s="208">
        <f>ROUND(N(data!AL92), 0)</f>
        <v>36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039</v>
      </c>
      <c r="B38" s="210" t="str">
        <f>RIGHT(data!$C$96,4)</f>
        <v>2023</v>
      </c>
      <c r="C38" s="12" t="str">
        <f>data!AM$55</f>
        <v>7330</v>
      </c>
      <c r="D38" s="12" t="s">
        <v>1141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039</v>
      </c>
      <c r="B39" s="210" t="str">
        <f>RIGHT(data!$C$96,4)</f>
        <v>2023</v>
      </c>
      <c r="C39" s="12" t="str">
        <f>data!AN$55</f>
        <v>7340</v>
      </c>
      <c r="D39" s="12" t="s">
        <v>1141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039</v>
      </c>
      <c r="B40" s="210" t="str">
        <f>RIGHT(data!$C$96,4)</f>
        <v>2023</v>
      </c>
      <c r="C40" s="12" t="str">
        <f>data!AO$55</f>
        <v>7350</v>
      </c>
      <c r="D40" s="12" t="s">
        <v>1141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039</v>
      </c>
      <c r="B41" s="210" t="str">
        <f>RIGHT(data!$C$96,4)</f>
        <v>2023</v>
      </c>
      <c r="C41" s="12" t="str">
        <f>data!AP$55</f>
        <v>7380</v>
      </c>
      <c r="D41" s="12" t="s">
        <v>1141</v>
      </c>
      <c r="E41" s="208">
        <f>ROUND(N(data!AP59), 0)</f>
        <v>9607</v>
      </c>
      <c r="F41" s="316">
        <f>ROUND(N(data!AP60), 2)</f>
        <v>178.66</v>
      </c>
      <c r="G41" s="208">
        <f>ROUND(N(data!AP61), 0)</f>
        <v>25437724</v>
      </c>
      <c r="H41" s="208">
        <f>ROUND(N(data!AP62), 0)</f>
        <v>4691621</v>
      </c>
      <c r="I41" s="208">
        <f>ROUND(N(data!AP63), 0)</f>
        <v>-148605</v>
      </c>
      <c r="J41" s="208">
        <f>ROUND(N(data!AP64), 0)</f>
        <v>1116087</v>
      </c>
      <c r="K41" s="208">
        <f>ROUND(N(data!AP65), 0)</f>
        <v>613127</v>
      </c>
      <c r="L41" s="208">
        <f>ROUND(N(data!AP66), 0)</f>
        <v>2538191</v>
      </c>
      <c r="M41" s="208">
        <f>ROUND(N(data!AP67), 0)</f>
        <v>1079527</v>
      </c>
      <c r="N41" s="208">
        <f>ROUND(N(data!AP68), 0)</f>
        <v>305911</v>
      </c>
      <c r="O41" s="208">
        <f>ROUND(N(data!AP69), 0)</f>
        <v>2038599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1028341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245209</v>
      </c>
      <c r="X41" s="208">
        <f>ROUND(N(data!AP78), 0)</f>
        <v>37470</v>
      </c>
      <c r="Y41" s="208">
        <f>ROUND(N(data!AP79), 0)</f>
        <v>14566</v>
      </c>
      <c r="Z41" s="208">
        <f>ROUND(N(data!AP80), 0)</f>
        <v>90376</v>
      </c>
      <c r="AA41" s="208">
        <f>ROUND(N(data!AP81), 0)</f>
        <v>418142</v>
      </c>
      <c r="AB41" s="208">
        <f>ROUND(N(data!AP82), 0)</f>
        <v>0</v>
      </c>
      <c r="AC41" s="208">
        <f>ROUND(N(data!AP83), 0)</f>
        <v>204495</v>
      </c>
      <c r="AD41" s="208">
        <f>ROUND(N(data!AP84), 0)</f>
        <v>92587</v>
      </c>
      <c r="AE41" s="208">
        <f>ROUND(N(data!AP89), 0)</f>
        <v>69075397</v>
      </c>
      <c r="AF41" s="208">
        <f>ROUND(N(data!AP87), 0)</f>
        <v>0</v>
      </c>
      <c r="AG41" s="208">
        <f>ROUND(N(data!AP90), 0)</f>
        <v>92549</v>
      </c>
      <c r="AH41" s="208">
        <f>ROUND(N(data!AP91), 0)</f>
        <v>0</v>
      </c>
      <c r="AI41" s="208">
        <f>ROUND(N(data!AP92), 0)</f>
        <v>16643</v>
      </c>
      <c r="AJ41" s="208">
        <f>ROUND(N(data!AP93), 0)</f>
        <v>0</v>
      </c>
      <c r="AK41" s="316">
        <f>ROUND(N(data!AP94), 2)</f>
        <v>2.2599999999999998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039</v>
      </c>
      <c r="B42" s="210" t="str">
        <f>RIGHT(data!$C$96,4)</f>
        <v>2023</v>
      </c>
      <c r="C42" s="12" t="str">
        <f>data!AQ$55</f>
        <v>7390</v>
      </c>
      <c r="D42" s="12" t="s">
        <v>1141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039</v>
      </c>
      <c r="B43" s="210" t="str">
        <f>RIGHT(data!$C$96,4)</f>
        <v>2023</v>
      </c>
      <c r="C43" s="12" t="str">
        <f>data!AR$55</f>
        <v>7400</v>
      </c>
      <c r="D43" s="12" t="s">
        <v>1141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039</v>
      </c>
      <c r="B44" s="210" t="str">
        <f>RIGHT(data!$C$96,4)</f>
        <v>2023</v>
      </c>
      <c r="C44" s="12" t="str">
        <f>data!AS$55</f>
        <v>7410</v>
      </c>
      <c r="D44" s="12" t="s">
        <v>1141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039</v>
      </c>
      <c r="B45" s="210" t="str">
        <f>RIGHT(data!$C$96,4)</f>
        <v>2023</v>
      </c>
      <c r="C45" s="12" t="str">
        <f>data!AT$55</f>
        <v>7420</v>
      </c>
      <c r="D45" s="12" t="s">
        <v>1141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039</v>
      </c>
      <c r="B46" s="210" t="str">
        <f>RIGHT(data!$C$96,4)</f>
        <v>2023</v>
      </c>
      <c r="C46" s="12" t="str">
        <f>data!AU$55</f>
        <v>7430</v>
      </c>
      <c r="D46" s="12" t="s">
        <v>1141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039</v>
      </c>
      <c r="B47" s="210" t="str">
        <f>RIGHT(data!$C$96,4)</f>
        <v>2023</v>
      </c>
      <c r="C47" s="12" t="str">
        <f>data!AV$55</f>
        <v>7490</v>
      </c>
      <c r="D47" s="12" t="s">
        <v>1141</v>
      </c>
      <c r="E47" s="208">
        <f>ROUND(N(data!AV59), 0)</f>
        <v>0</v>
      </c>
      <c r="F47" s="316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039</v>
      </c>
      <c r="B48" s="210" t="str">
        <f>RIGHT(data!$C$96,4)</f>
        <v>2023</v>
      </c>
      <c r="C48" s="12" t="str">
        <f>data!AW$55</f>
        <v>8200</v>
      </c>
      <c r="D48" s="12" t="s">
        <v>1141</v>
      </c>
      <c r="E48" s="208">
        <f>ROUND(N(data!AW59), 0)</f>
        <v>0</v>
      </c>
      <c r="F48" s="316">
        <f>ROUND(N(data!AW60), 2)</f>
        <v>32.590000000000003</v>
      </c>
      <c r="G48" s="208">
        <f>ROUND(N(data!AW61), 0)</f>
        <v>2860173</v>
      </c>
      <c r="H48" s="208">
        <f>ROUND(N(data!AW62), 0)</f>
        <v>527518</v>
      </c>
      <c r="I48" s="208">
        <f>ROUND(N(data!AW63), 0)</f>
        <v>75673</v>
      </c>
      <c r="J48" s="208">
        <f>ROUND(N(data!AW64), 0)</f>
        <v>23423</v>
      </c>
      <c r="K48" s="208">
        <f>ROUND(N(data!AW65), 0)</f>
        <v>2071</v>
      </c>
      <c r="L48" s="208">
        <f>ROUND(N(data!AW66), 0)</f>
        <v>1017</v>
      </c>
      <c r="M48" s="208">
        <f>ROUND(N(data!AW67), 0)</f>
        <v>16272</v>
      </c>
      <c r="N48" s="208">
        <f>ROUND(N(data!AW68), 0)</f>
        <v>0</v>
      </c>
      <c r="O48" s="208">
        <f>ROUND(N(data!AW69), 0)</f>
        <v>38917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16786</v>
      </c>
      <c r="AA48" s="208">
        <f>ROUND(N(data!AW81), 0)</f>
        <v>0</v>
      </c>
      <c r="AB48" s="208">
        <f>ROUND(N(data!AW82), 0)</f>
        <v>0</v>
      </c>
      <c r="AC48" s="208">
        <f>ROUND(N(data!AW83), 0)</f>
        <v>22131</v>
      </c>
      <c r="AD48" s="208">
        <f>ROUND(N(data!AW84), 0)</f>
        <v>22032</v>
      </c>
      <c r="AE48" s="208">
        <f>ROUND(N(data!AW89), 0)</f>
        <v>0</v>
      </c>
      <c r="AF48" s="208">
        <f>ROUND(N(data!AW87), 0)</f>
        <v>0</v>
      </c>
      <c r="AG48" s="208">
        <f>ROUND(N(data!AW90), 0)</f>
        <v>1395</v>
      </c>
      <c r="AH48" s="208">
        <f>ROUND(N(data!AW91), 0)</f>
        <v>0</v>
      </c>
      <c r="AI48" s="208">
        <f>ROUND(N(data!AW92), 0)</f>
        <v>251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039</v>
      </c>
      <c r="B49" s="210" t="str">
        <f>RIGHT(data!$C$96,4)</f>
        <v>2023</v>
      </c>
      <c r="C49" s="12" t="str">
        <f>data!AX$55</f>
        <v>8310</v>
      </c>
      <c r="D49" s="12" t="s">
        <v>1141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039</v>
      </c>
      <c r="B50" s="210" t="str">
        <f>RIGHT(data!$C$96,4)</f>
        <v>2023</v>
      </c>
      <c r="C50" s="12" t="str">
        <f>data!AY$55</f>
        <v>8320</v>
      </c>
      <c r="D50" s="12" t="s">
        <v>1141</v>
      </c>
      <c r="E50" s="208">
        <f>ROUND(N(data!AY59), 0)</f>
        <v>320863</v>
      </c>
      <c r="F50" s="316">
        <f>ROUND(N(data!AY60), 2)</f>
        <v>22.75</v>
      </c>
      <c r="G50" s="208">
        <f>ROUND(N(data!AY61), 0)</f>
        <v>1079908</v>
      </c>
      <c r="H50" s="208">
        <f>ROUND(N(data!AY62), 0)</f>
        <v>199173</v>
      </c>
      <c r="I50" s="208">
        <f>ROUND(N(data!AY63), 0)</f>
        <v>0</v>
      </c>
      <c r="J50" s="208">
        <f>ROUND(N(data!AY64), 0)</f>
        <v>568508</v>
      </c>
      <c r="K50" s="208">
        <f>ROUND(N(data!AY65), 0)</f>
        <v>0</v>
      </c>
      <c r="L50" s="208">
        <f>ROUND(N(data!AY66), 0)</f>
        <v>37229</v>
      </c>
      <c r="M50" s="208">
        <f>ROUND(N(data!AY67), 0)</f>
        <v>70150</v>
      </c>
      <c r="N50" s="208">
        <f>ROUND(N(data!AY68), 0)</f>
        <v>0</v>
      </c>
      <c r="O50" s="208">
        <f>ROUND(N(data!AY69), 0)</f>
        <v>32024</v>
      </c>
      <c r="P50" s="208">
        <f>ROUND(N(data!AY70), 0)</f>
        <v>0</v>
      </c>
      <c r="Q50" s="208">
        <f>ROUND(N(data!AY71), 0)</f>
        <v>27693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4331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382764</v>
      </c>
      <c r="AE50" s="208">
        <f>ROUND(N(data!AY89), 0)</f>
        <v>0</v>
      </c>
      <c r="AF50" s="208">
        <f>ROUND(N(data!AY87), 0)</f>
        <v>0</v>
      </c>
      <c r="AG50" s="208">
        <f>ROUND(N(data!AY90), 0)</f>
        <v>6014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039</v>
      </c>
      <c r="B51" s="210" t="str">
        <f>RIGHT(data!$C$96,4)</f>
        <v>2023</v>
      </c>
      <c r="C51" s="12" t="str">
        <f>data!AZ$55</f>
        <v>8330</v>
      </c>
      <c r="D51" s="12" t="s">
        <v>1141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039</v>
      </c>
      <c r="B52" s="210" t="str">
        <f>RIGHT(data!$C$96,4)</f>
        <v>2023</v>
      </c>
      <c r="C52" s="12" t="str">
        <f>data!BA$55</f>
        <v>8350</v>
      </c>
      <c r="D52" s="12" t="s">
        <v>1141</v>
      </c>
      <c r="E52" s="208">
        <f>ROUND(N(data!BA59), 0)</f>
        <v>0</v>
      </c>
      <c r="F52" s="316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41135</v>
      </c>
      <c r="K52" s="208">
        <f>ROUND(N(data!BA65), 0)</f>
        <v>0</v>
      </c>
      <c r="L52" s="208">
        <f>ROUND(N(data!BA66), 0)</f>
        <v>0</v>
      </c>
      <c r="M52" s="208">
        <f>ROUND(N(data!BA67), 0)</f>
        <v>8748</v>
      </c>
      <c r="N52" s="208">
        <f>ROUND(N(data!BA68), 0)</f>
        <v>0</v>
      </c>
      <c r="O52" s="208">
        <f>ROUND(N(data!BA69), 0)</f>
        <v>251428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251428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750</v>
      </c>
      <c r="AH52" s="208">
        <f>ROUND(N(data!BA91), 0)</f>
        <v>0</v>
      </c>
      <c r="AI52" s="208">
        <f>ROUND(N(data!BA92), 0)</f>
        <v>135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039</v>
      </c>
      <c r="B53" s="210" t="str">
        <f>RIGHT(data!$C$96,4)</f>
        <v>2023</v>
      </c>
      <c r="C53" s="12" t="str">
        <f>data!BB$55</f>
        <v>8360</v>
      </c>
      <c r="D53" s="12" t="s">
        <v>1141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039</v>
      </c>
      <c r="B54" s="210" t="str">
        <f>RIGHT(data!$C$96,4)</f>
        <v>2023</v>
      </c>
      <c r="C54" s="12" t="str">
        <f>data!BC$55</f>
        <v>8370</v>
      </c>
      <c r="D54" s="12" t="s">
        <v>1141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039</v>
      </c>
      <c r="B55" s="210" t="str">
        <f>RIGHT(data!$C$96,4)</f>
        <v>2023</v>
      </c>
      <c r="C55" s="12" t="str">
        <f>data!BD$55</f>
        <v>8420</v>
      </c>
      <c r="D55" s="12" t="s">
        <v>1141</v>
      </c>
      <c r="E55" s="208">
        <f>ROUND(N(data!BD59), 0)</f>
        <v>0</v>
      </c>
      <c r="F55" s="316">
        <f>ROUND(N(data!BD60), 2)</f>
        <v>7.69</v>
      </c>
      <c r="G55" s="208">
        <f>ROUND(N(data!BD61), 0)</f>
        <v>478840</v>
      </c>
      <c r="H55" s="208">
        <f>ROUND(N(data!BD62), 0)</f>
        <v>88315</v>
      </c>
      <c r="I55" s="208">
        <f>ROUND(N(data!BD63), 0)</f>
        <v>0</v>
      </c>
      <c r="J55" s="208">
        <f>ROUND(N(data!BD64), 0)</f>
        <v>-117711</v>
      </c>
      <c r="K55" s="208">
        <f>ROUND(N(data!BD65), 0)</f>
        <v>30696</v>
      </c>
      <c r="L55" s="208">
        <f>ROUND(N(data!BD66), 0)</f>
        <v>136891</v>
      </c>
      <c r="M55" s="208">
        <f>ROUND(N(data!BD67), 0)</f>
        <v>115757</v>
      </c>
      <c r="N55" s="208">
        <f>ROUND(N(data!BD68), 0)</f>
        <v>0</v>
      </c>
      <c r="O55" s="208">
        <f>ROUND(N(data!BD69), 0)</f>
        <v>192564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15584</v>
      </c>
      <c r="X55" s="208">
        <f>ROUND(N(data!BD78), 0)</f>
        <v>0</v>
      </c>
      <c r="Y55" s="208">
        <f>ROUND(N(data!BD79), 0)</f>
        <v>0</v>
      </c>
      <c r="Z55" s="208">
        <f>ROUND(N(data!BD80), 0)</f>
        <v>104</v>
      </c>
      <c r="AA55" s="208">
        <f>ROUND(N(data!BD81), 0)</f>
        <v>0</v>
      </c>
      <c r="AB55" s="208">
        <f>ROUND(N(data!BD82), 0)</f>
        <v>0</v>
      </c>
      <c r="AC55" s="208">
        <f>ROUND(N(data!BD83), 0)</f>
        <v>176876</v>
      </c>
      <c r="AD55" s="208">
        <f>ROUND(N(data!BD84), 0)</f>
        <v>11783</v>
      </c>
      <c r="AE55" s="208">
        <f>ROUND(N(data!BD89), 0)</f>
        <v>0</v>
      </c>
      <c r="AF55" s="208">
        <f>ROUND(N(data!BD87), 0)</f>
        <v>0</v>
      </c>
      <c r="AG55" s="208">
        <f>ROUND(N(data!BD90), 0)</f>
        <v>9924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039</v>
      </c>
      <c r="B56" s="210" t="str">
        <f>RIGHT(data!$C$96,4)</f>
        <v>2023</v>
      </c>
      <c r="C56" s="12" t="str">
        <f>data!BE$55</f>
        <v>8430</v>
      </c>
      <c r="D56" s="12" t="s">
        <v>1141</v>
      </c>
      <c r="E56" s="208">
        <f>ROUND(N(data!BE59), 0)</f>
        <v>421704</v>
      </c>
      <c r="F56" s="316">
        <f>ROUND(N(data!BE60), 2)</f>
        <v>8.48</v>
      </c>
      <c r="G56" s="208">
        <f>ROUND(N(data!BE61), 0)</f>
        <v>505368</v>
      </c>
      <c r="H56" s="208">
        <f>ROUND(N(data!BE62), 0)</f>
        <v>93208</v>
      </c>
      <c r="I56" s="208">
        <f>ROUND(N(data!BE63), 0)</f>
        <v>0</v>
      </c>
      <c r="J56" s="208">
        <f>ROUND(N(data!BE64), 0)</f>
        <v>41153</v>
      </c>
      <c r="K56" s="208">
        <f>ROUND(N(data!BE65), 0)</f>
        <v>1055175</v>
      </c>
      <c r="L56" s="208">
        <f>ROUND(N(data!BE66), 0)</f>
        <v>673720</v>
      </c>
      <c r="M56" s="208">
        <f>ROUND(N(data!BE67), 0)</f>
        <v>205888</v>
      </c>
      <c r="N56" s="208">
        <f>ROUND(N(data!BE68), 0)</f>
        <v>0</v>
      </c>
      <c r="O56" s="208">
        <f>ROUND(N(data!BE69), 0)</f>
        <v>779016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756537</v>
      </c>
      <c r="X56" s="208">
        <f>ROUND(N(data!BE78), 0)</f>
        <v>0</v>
      </c>
      <c r="Y56" s="208">
        <f>ROUND(N(data!BE79), 0)</f>
        <v>0</v>
      </c>
      <c r="Z56" s="208">
        <f>ROUND(N(data!BE80), 0)</f>
        <v>5836</v>
      </c>
      <c r="AA56" s="208">
        <f>ROUND(N(data!BE81), 0)</f>
        <v>0</v>
      </c>
      <c r="AB56" s="208">
        <f>ROUND(N(data!BE82), 0)</f>
        <v>0</v>
      </c>
      <c r="AC56" s="208">
        <f>ROUND(N(data!BE83), 0)</f>
        <v>16643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17651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039</v>
      </c>
      <c r="B57" s="210" t="str">
        <f>RIGHT(data!$C$96,4)</f>
        <v>2023</v>
      </c>
      <c r="C57" s="12" t="str">
        <f>data!BF$55</f>
        <v>8460</v>
      </c>
      <c r="D57" s="12" t="s">
        <v>1141</v>
      </c>
      <c r="E57" s="208">
        <f>ROUND(N(data!BF59), 0)</f>
        <v>0</v>
      </c>
      <c r="F57" s="316">
        <f>ROUND(N(data!BF60), 2)</f>
        <v>36.299999999999997</v>
      </c>
      <c r="G57" s="208">
        <f>ROUND(N(data!BF61), 0)</f>
        <v>1870529</v>
      </c>
      <c r="H57" s="208">
        <f>ROUND(N(data!BF62), 0)</f>
        <v>344992</v>
      </c>
      <c r="I57" s="208">
        <f>ROUND(N(data!BF63), 0)</f>
        <v>0</v>
      </c>
      <c r="J57" s="208">
        <f>ROUND(N(data!BF64), 0)</f>
        <v>149729</v>
      </c>
      <c r="K57" s="208">
        <f>ROUND(N(data!BF65), 0)</f>
        <v>150940</v>
      </c>
      <c r="L57" s="208">
        <f>ROUND(N(data!BF66), 0)</f>
        <v>61884</v>
      </c>
      <c r="M57" s="208">
        <f>ROUND(N(data!BF67), 0)</f>
        <v>16283</v>
      </c>
      <c r="N57" s="208">
        <f>ROUND(N(data!BF68), 0)</f>
        <v>0</v>
      </c>
      <c r="O57" s="208">
        <f>ROUND(N(data!BF69), 0)</f>
        <v>24303</v>
      </c>
      <c r="P57" s="208">
        <f>ROUND(N(data!BF70), 0)</f>
        <v>0</v>
      </c>
      <c r="Q57" s="208">
        <f>ROUND(N(data!BF71), 0)</f>
        <v>8638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15587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78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1396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039</v>
      </c>
      <c r="B58" s="210" t="str">
        <f>RIGHT(data!$C$96,4)</f>
        <v>2023</v>
      </c>
      <c r="C58" s="12" t="str">
        <f>data!BG$55</f>
        <v>8470</v>
      </c>
      <c r="D58" s="12" t="s">
        <v>1141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461</v>
      </c>
      <c r="K58" s="208">
        <f>ROUND(N(data!BG65), 0)</f>
        <v>0</v>
      </c>
      <c r="L58" s="208">
        <f>ROUND(N(data!BG66), 0)</f>
        <v>1082</v>
      </c>
      <c r="M58" s="208">
        <f>ROUND(N(data!BG67), 0)</f>
        <v>9693</v>
      </c>
      <c r="N58" s="208">
        <f>ROUND(N(data!BG68), 0)</f>
        <v>0</v>
      </c>
      <c r="O58" s="208">
        <f>ROUND(N(data!BG69), 0)</f>
        <v>628018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628018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831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039</v>
      </c>
      <c r="B59" s="210" t="str">
        <f>RIGHT(data!$C$96,4)</f>
        <v>2023</v>
      </c>
      <c r="C59" s="12" t="str">
        <f>data!BH$55</f>
        <v>8480</v>
      </c>
      <c r="D59" s="12" t="s">
        <v>1141</v>
      </c>
      <c r="E59" s="208">
        <f>ROUND(N(data!BH59), 0)</f>
        <v>0</v>
      </c>
      <c r="F59" s="316">
        <f>ROUND(N(data!BH60), 2)</f>
        <v>14.18</v>
      </c>
      <c r="G59" s="208">
        <f>ROUND(N(data!BH61), 0)</f>
        <v>1245574</v>
      </c>
      <c r="H59" s="208">
        <f>ROUND(N(data!BH62), 0)</f>
        <v>229728</v>
      </c>
      <c r="I59" s="208">
        <f>ROUND(N(data!BH63), 0)</f>
        <v>0</v>
      </c>
      <c r="J59" s="208">
        <f>ROUND(N(data!BH64), 0)</f>
        <v>30128</v>
      </c>
      <c r="K59" s="208">
        <f>ROUND(N(data!BH65), 0)</f>
        <v>380792</v>
      </c>
      <c r="L59" s="208">
        <f>ROUND(N(data!BH66), 0)</f>
        <v>564296</v>
      </c>
      <c r="M59" s="208">
        <f>ROUND(N(data!BH67), 0)</f>
        <v>66429</v>
      </c>
      <c r="N59" s="208">
        <f>ROUND(N(data!BH68), 0)</f>
        <v>0</v>
      </c>
      <c r="O59" s="208">
        <f>ROUND(N(data!BH69), 0)</f>
        <v>2011656</v>
      </c>
      <c r="P59" s="208">
        <f>ROUND(N(data!BH70), 0)</f>
        <v>0</v>
      </c>
      <c r="Q59" s="208">
        <f>ROUND(N(data!BH71), 0)</f>
        <v>0</v>
      </c>
      <c r="R59" s="208">
        <f>ROUND(N(data!BH72), 0)</f>
        <v>985524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1025804</v>
      </c>
      <c r="X59" s="208">
        <f>ROUND(N(data!BH78), 0)</f>
        <v>0</v>
      </c>
      <c r="Y59" s="208">
        <f>ROUND(N(data!BH79), 0)</f>
        <v>0</v>
      </c>
      <c r="Z59" s="208">
        <f>ROUND(N(data!BH80), 0)</f>
        <v>181</v>
      </c>
      <c r="AA59" s="208">
        <f>ROUND(N(data!BH81), 0)</f>
        <v>0</v>
      </c>
      <c r="AB59" s="208">
        <f>ROUND(N(data!BH82), 0)</f>
        <v>0</v>
      </c>
      <c r="AC59" s="208">
        <f>ROUND(N(data!BH83), 0)</f>
        <v>146</v>
      </c>
      <c r="AD59" s="208">
        <f>ROUND(N(data!BH84), 0)</f>
        <v>720</v>
      </c>
      <c r="AE59" s="208">
        <f>ROUND(N(data!BH89), 0)</f>
        <v>0</v>
      </c>
      <c r="AF59" s="208">
        <f>ROUND(N(data!BH87), 0)</f>
        <v>0</v>
      </c>
      <c r="AG59" s="208">
        <f>ROUND(N(data!BH90), 0)</f>
        <v>5695</v>
      </c>
      <c r="AH59" s="208">
        <f>ROUND(N(data!BH91), 0)</f>
        <v>0</v>
      </c>
      <c r="AI59" s="208">
        <f>ROUND(N(data!BH92), 0)</f>
        <v>1024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039</v>
      </c>
      <c r="B60" s="210" t="str">
        <f>RIGHT(data!$C$96,4)</f>
        <v>2023</v>
      </c>
      <c r="C60" s="12" t="str">
        <f>data!BI$55</f>
        <v>8490</v>
      </c>
      <c r="D60" s="12" t="s">
        <v>1141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039</v>
      </c>
      <c r="B61" s="210" t="str">
        <f>RIGHT(data!$C$96,4)</f>
        <v>2023</v>
      </c>
      <c r="C61" s="12" t="str">
        <f>data!BJ$55</f>
        <v>8510</v>
      </c>
      <c r="D61" s="12" t="s">
        <v>1141</v>
      </c>
      <c r="E61" s="208">
        <f>ROUND(N(data!BJ59), 0)</f>
        <v>0</v>
      </c>
      <c r="F61" s="316">
        <f>ROUND(N(data!BJ60), 2)</f>
        <v>5.8</v>
      </c>
      <c r="G61" s="208">
        <f>ROUND(N(data!BJ61), 0)</f>
        <v>555425</v>
      </c>
      <c r="H61" s="208">
        <f>ROUND(N(data!BJ62), 0)</f>
        <v>102440</v>
      </c>
      <c r="I61" s="208">
        <f>ROUND(N(data!BJ63), 0)</f>
        <v>0</v>
      </c>
      <c r="J61" s="208">
        <f>ROUND(N(data!BJ64), 0)</f>
        <v>1071</v>
      </c>
      <c r="K61" s="208">
        <f>ROUND(N(data!BJ65), 0)</f>
        <v>4114</v>
      </c>
      <c r="L61" s="208">
        <f>ROUND(N(data!BJ66), 0)</f>
        <v>64256</v>
      </c>
      <c r="M61" s="208">
        <f>ROUND(N(data!BJ67), 0)</f>
        <v>7489</v>
      </c>
      <c r="N61" s="208">
        <f>ROUND(N(data!BJ68), 0)</f>
        <v>0</v>
      </c>
      <c r="O61" s="208">
        <f>ROUND(N(data!BJ69), 0)</f>
        <v>14124</v>
      </c>
      <c r="P61" s="208">
        <f>ROUND(N(data!BJ70), 0)</f>
        <v>0</v>
      </c>
      <c r="Q61" s="208">
        <f>ROUND(N(data!BJ71), 0)</f>
        <v>13374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490</v>
      </c>
      <c r="AA61" s="208">
        <f>ROUND(N(data!BJ81), 0)</f>
        <v>0</v>
      </c>
      <c r="AB61" s="208">
        <f>ROUND(N(data!BJ82), 0)</f>
        <v>0</v>
      </c>
      <c r="AC61" s="208">
        <f>ROUND(N(data!BJ83), 0)</f>
        <v>260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642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039</v>
      </c>
      <c r="B62" s="210" t="str">
        <f>RIGHT(data!$C$96,4)</f>
        <v>2023</v>
      </c>
      <c r="C62" s="12" t="str">
        <f>data!BK$55</f>
        <v>8530</v>
      </c>
      <c r="D62" s="12" t="s">
        <v>1141</v>
      </c>
      <c r="E62" s="208">
        <f>ROUND(N(data!BK59), 0)</f>
        <v>0</v>
      </c>
      <c r="F62" s="316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480</v>
      </c>
      <c r="K62" s="208">
        <f>ROUND(N(data!BK65), 0)</f>
        <v>0</v>
      </c>
      <c r="L62" s="208">
        <f>ROUND(N(data!BK66), 0)</f>
        <v>-167585</v>
      </c>
      <c r="M62" s="208">
        <f>ROUND(N(data!BK67), 0)</f>
        <v>17147</v>
      </c>
      <c r="N62" s="208">
        <f>ROUND(N(data!BK68), 0)</f>
        <v>0</v>
      </c>
      <c r="O62" s="208">
        <f>ROUND(N(data!BK69), 0)</f>
        <v>8519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8519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1470</v>
      </c>
      <c r="AH62" s="208">
        <f>ROUND(N(data!BK91), 0)</f>
        <v>0</v>
      </c>
      <c r="AI62" s="208">
        <f>ROUND(N(data!BK92), 0)</f>
        <v>264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039</v>
      </c>
      <c r="B63" s="210" t="str">
        <f>RIGHT(data!$C$96,4)</f>
        <v>2023</v>
      </c>
      <c r="C63" s="12" t="str">
        <f>data!BL$55</f>
        <v>8560</v>
      </c>
      <c r="D63" s="12" t="s">
        <v>1141</v>
      </c>
      <c r="E63" s="208">
        <f>ROUND(N(data!BL59), 0)</f>
        <v>0</v>
      </c>
      <c r="F63" s="316">
        <f>ROUND(N(data!BL60), 2)</f>
        <v>24.33</v>
      </c>
      <c r="G63" s="208">
        <f>ROUND(N(data!BL61), 0)</f>
        <v>65086</v>
      </c>
      <c r="H63" s="208">
        <f>ROUND(N(data!BL62), 0)</f>
        <v>12004</v>
      </c>
      <c r="I63" s="208">
        <f>ROUND(N(data!BL63), 0)</f>
        <v>0</v>
      </c>
      <c r="J63" s="208">
        <f>ROUND(N(data!BL64), 0)</f>
        <v>28285</v>
      </c>
      <c r="K63" s="208">
        <f>ROUND(N(data!BL65), 0)</f>
        <v>0</v>
      </c>
      <c r="L63" s="208">
        <f>ROUND(N(data!BL66), 0)</f>
        <v>42177</v>
      </c>
      <c r="M63" s="208">
        <f>ROUND(N(data!BL67), 0)</f>
        <v>51813</v>
      </c>
      <c r="N63" s="208">
        <f>ROUND(N(data!BL68), 0)</f>
        <v>0</v>
      </c>
      <c r="O63" s="208">
        <f>ROUND(N(data!BL69), 0)</f>
        <v>449</v>
      </c>
      <c r="P63" s="208">
        <f>ROUND(N(data!BL70), 0)</f>
        <v>0</v>
      </c>
      <c r="Q63" s="208">
        <f>ROUND(N(data!BL71), 0)</f>
        <v>449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4442</v>
      </c>
      <c r="AH63" s="208">
        <f>ROUND(N(data!BL91), 0)</f>
        <v>0</v>
      </c>
      <c r="AI63" s="208">
        <f>ROUND(N(data!BL92), 0)</f>
        <v>799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039</v>
      </c>
      <c r="B64" s="210" t="str">
        <f>RIGHT(data!$C$96,4)</f>
        <v>2023</v>
      </c>
      <c r="C64" s="12" t="str">
        <f>data!BM$55</f>
        <v>8590</v>
      </c>
      <c r="D64" s="12" t="s">
        <v>1141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039</v>
      </c>
      <c r="B65" s="210" t="str">
        <f>RIGHT(data!$C$96,4)</f>
        <v>2023</v>
      </c>
      <c r="C65" s="12" t="str">
        <f>data!BN$55</f>
        <v>8610</v>
      </c>
      <c r="D65" s="12" t="s">
        <v>1141</v>
      </c>
      <c r="E65" s="208">
        <f>ROUND(N(data!BN59), 0)</f>
        <v>0</v>
      </c>
      <c r="F65" s="316">
        <f>ROUND(N(data!BN60), 2)</f>
        <v>5.22</v>
      </c>
      <c r="G65" s="208">
        <f>ROUND(N(data!BN61), 0)</f>
        <v>1007566</v>
      </c>
      <c r="H65" s="208">
        <f>ROUND(N(data!BN62), 0)</f>
        <v>185831</v>
      </c>
      <c r="I65" s="208">
        <f>ROUND(N(data!BN63), 0)</f>
        <v>82516</v>
      </c>
      <c r="J65" s="208">
        <f>ROUND(N(data!BN64), 0)</f>
        <v>41459</v>
      </c>
      <c r="K65" s="208">
        <f>ROUND(N(data!BN65), 0)</f>
        <v>2531</v>
      </c>
      <c r="L65" s="208">
        <f>ROUND(N(data!BN66), 0)</f>
        <v>593687</v>
      </c>
      <c r="M65" s="208">
        <f>ROUND(N(data!BN67), 0)</f>
        <v>19958</v>
      </c>
      <c r="N65" s="208">
        <f>ROUND(N(data!BN68), 0)</f>
        <v>16638</v>
      </c>
      <c r="O65" s="208">
        <f>ROUND(N(data!BN69), 0)</f>
        <v>1142259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346017</v>
      </c>
      <c r="T65" s="208">
        <f>ROUND(N(data!BN74), 0)</f>
        <v>0</v>
      </c>
      <c r="U65" s="208">
        <f>ROUND(N(data!BN75), 0)</f>
        <v>575748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2959</v>
      </c>
      <c r="Z65" s="208">
        <f>ROUND(N(data!BN80), 0)</f>
        <v>5968</v>
      </c>
      <c r="AA65" s="208">
        <f>ROUND(N(data!BN81), 0)</f>
        <v>0</v>
      </c>
      <c r="AB65" s="208">
        <f>ROUND(N(data!BN82), 0)</f>
        <v>0</v>
      </c>
      <c r="AC65" s="208">
        <f>ROUND(N(data!BN83), 0)</f>
        <v>211567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1711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039</v>
      </c>
      <c r="B66" s="210" t="str">
        <f>RIGHT(data!$C$96,4)</f>
        <v>2023</v>
      </c>
      <c r="C66" s="12" t="str">
        <f>data!BO$55</f>
        <v>8620</v>
      </c>
      <c r="D66" s="12" t="s">
        <v>1141</v>
      </c>
      <c r="E66" s="208">
        <f>ROUND(N(data!BO59), 0)</f>
        <v>0</v>
      </c>
      <c r="F66" s="316">
        <f>ROUND(N(data!BO60), 2)</f>
        <v>1.06</v>
      </c>
      <c r="G66" s="208">
        <f>ROUND(N(data!BO61), 0)</f>
        <v>108024</v>
      </c>
      <c r="H66" s="208">
        <f>ROUND(N(data!BO62), 0)</f>
        <v>19923</v>
      </c>
      <c r="I66" s="208">
        <f>ROUND(N(data!BO63), 0)</f>
        <v>0</v>
      </c>
      <c r="J66" s="208">
        <f>ROUND(N(data!BO64), 0)</f>
        <v>1337</v>
      </c>
      <c r="K66" s="208">
        <f>ROUND(N(data!BO65), 0)</f>
        <v>0</v>
      </c>
      <c r="L66" s="208">
        <f>ROUND(N(data!BO66), 0)</f>
        <v>206031</v>
      </c>
      <c r="M66" s="208">
        <f>ROUND(N(data!BO67), 0)</f>
        <v>2881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247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039</v>
      </c>
      <c r="B67" s="210" t="str">
        <f>RIGHT(data!$C$96,4)</f>
        <v>2023</v>
      </c>
      <c r="C67" s="12" t="str">
        <f>data!BP$55</f>
        <v>8630</v>
      </c>
      <c r="D67" s="12" t="s">
        <v>1141</v>
      </c>
      <c r="E67" s="208">
        <f>ROUND(N(data!BP59), 0)</f>
        <v>0</v>
      </c>
      <c r="F67" s="316">
        <f>ROUND(N(data!BP60), 2)</f>
        <v>1.1599999999999999</v>
      </c>
      <c r="G67" s="208">
        <f>ROUND(N(data!BP61), 0)</f>
        <v>91879</v>
      </c>
      <c r="H67" s="208">
        <f>ROUND(N(data!BP62), 0)</f>
        <v>16946</v>
      </c>
      <c r="I67" s="208">
        <f>ROUND(N(data!BP63), 0)</f>
        <v>0</v>
      </c>
      <c r="J67" s="208">
        <f>ROUND(N(data!BP64), 0)</f>
        <v>1014</v>
      </c>
      <c r="K67" s="208">
        <f>ROUND(N(data!BP65), 0)</f>
        <v>0</v>
      </c>
      <c r="L67" s="208">
        <f>ROUND(N(data!BP66), 0)</f>
        <v>12620</v>
      </c>
      <c r="M67" s="208">
        <f>ROUND(N(data!BP67), 0)</f>
        <v>3033</v>
      </c>
      <c r="N67" s="208">
        <f>ROUND(N(data!BP68), 0)</f>
        <v>0</v>
      </c>
      <c r="O67" s="208">
        <f>ROUND(N(data!BP69), 0)</f>
        <v>321535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320683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852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260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039</v>
      </c>
      <c r="B68" s="210" t="str">
        <f>RIGHT(data!$C$96,4)</f>
        <v>2023</v>
      </c>
      <c r="C68" s="12" t="str">
        <f>data!BQ$55</f>
        <v>8640</v>
      </c>
      <c r="D68" s="12" t="s">
        <v>1141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039</v>
      </c>
      <c r="B69" s="210" t="str">
        <f>RIGHT(data!$C$96,4)</f>
        <v>2023</v>
      </c>
      <c r="C69" s="12" t="str">
        <f>data!BR$55</f>
        <v>8650</v>
      </c>
      <c r="D69" s="12" t="s">
        <v>1141</v>
      </c>
      <c r="E69" s="208">
        <f>ROUND(N(data!BR59), 0)</f>
        <v>0</v>
      </c>
      <c r="F69" s="316">
        <f>ROUND(N(data!BR60), 2)</f>
        <v>5.67</v>
      </c>
      <c r="G69" s="208">
        <f>ROUND(N(data!BR61), 0)</f>
        <v>586286</v>
      </c>
      <c r="H69" s="208">
        <f>ROUND(N(data!BR62), 0)</f>
        <v>108132</v>
      </c>
      <c r="I69" s="208">
        <f>ROUND(N(data!BR63), 0)</f>
        <v>0</v>
      </c>
      <c r="J69" s="208">
        <f>ROUND(N(data!BR64), 0)</f>
        <v>27299</v>
      </c>
      <c r="K69" s="208">
        <f>ROUND(N(data!BR65), 0)</f>
        <v>330</v>
      </c>
      <c r="L69" s="208">
        <f>ROUND(N(data!BR66), 0)</f>
        <v>215954</v>
      </c>
      <c r="M69" s="208">
        <f>ROUND(N(data!BR67), 0)</f>
        <v>51673</v>
      </c>
      <c r="N69" s="208">
        <f>ROUND(N(data!BR68), 0)</f>
        <v>0</v>
      </c>
      <c r="O69" s="208">
        <f>ROUND(N(data!BR69), 0)</f>
        <v>319687</v>
      </c>
      <c r="P69" s="208">
        <f>ROUND(N(data!BR70), 0)</f>
        <v>0</v>
      </c>
      <c r="Q69" s="208">
        <f>ROUND(N(data!BR71), 0)</f>
        <v>78810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216968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23909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4430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039</v>
      </c>
      <c r="B70" s="210" t="str">
        <f>RIGHT(data!$C$96,4)</f>
        <v>2023</v>
      </c>
      <c r="C70" s="12" t="str">
        <f>data!BS$55</f>
        <v>8660</v>
      </c>
      <c r="D70" s="12" t="s">
        <v>1141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31549</v>
      </c>
      <c r="K70" s="208">
        <f>ROUND(N(data!BS65), 0)</f>
        <v>0</v>
      </c>
      <c r="L70" s="208">
        <f>ROUND(N(data!BS66), 0)</f>
        <v>180</v>
      </c>
      <c r="M70" s="208">
        <f>ROUND(N(data!BS67), 0)</f>
        <v>6765</v>
      </c>
      <c r="N70" s="208">
        <f>ROUND(N(data!BS68), 0)</f>
        <v>0</v>
      </c>
      <c r="O70" s="208">
        <f>ROUND(N(data!BS69), 0)</f>
        <v>149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149</v>
      </c>
      <c r="AD70" s="208">
        <f>ROUND(N(data!BS84), 0)</f>
        <v>68815</v>
      </c>
      <c r="AE70" s="208">
        <f>ROUND(N(data!BS89), 0)</f>
        <v>0</v>
      </c>
      <c r="AF70" s="208">
        <f>ROUND(N(data!BS87), 0)</f>
        <v>0</v>
      </c>
      <c r="AG70" s="208">
        <f>ROUND(N(data!BS90), 0)</f>
        <v>580</v>
      </c>
      <c r="AH70" s="208">
        <f>ROUND(N(data!BS91), 0)</f>
        <v>0</v>
      </c>
      <c r="AI70" s="208">
        <f>ROUND(N(data!BS92), 0)</f>
        <v>104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039</v>
      </c>
      <c r="B71" s="210" t="str">
        <f>RIGHT(data!$C$96,4)</f>
        <v>2023</v>
      </c>
      <c r="C71" s="12" t="str">
        <f>data!BT$55</f>
        <v>8670</v>
      </c>
      <c r="D71" s="12" t="s">
        <v>1141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92</v>
      </c>
      <c r="K71" s="208">
        <f>ROUND(N(data!BT65), 0)</f>
        <v>0</v>
      </c>
      <c r="L71" s="208">
        <f>ROUND(N(data!BT66), 0)</f>
        <v>20933</v>
      </c>
      <c r="M71" s="208">
        <f>ROUND(N(data!BT67), 0)</f>
        <v>6707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575</v>
      </c>
      <c r="AH71" s="208">
        <f>ROUND(N(data!BT91), 0)</f>
        <v>0</v>
      </c>
      <c r="AI71" s="208">
        <f>ROUND(N(data!BT92), 0)</f>
        <v>103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039</v>
      </c>
      <c r="B72" s="210" t="str">
        <f>RIGHT(data!$C$96,4)</f>
        <v>2023</v>
      </c>
      <c r="C72" s="12" t="str">
        <f>data!BU$55</f>
        <v>8680</v>
      </c>
      <c r="D72" s="12" t="s">
        <v>1141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039</v>
      </c>
      <c r="B73" s="210" t="str">
        <f>RIGHT(data!$C$96,4)</f>
        <v>2023</v>
      </c>
      <c r="C73" s="12" t="str">
        <f>data!BV$55</f>
        <v>8690</v>
      </c>
      <c r="D73" s="12" t="s">
        <v>1141</v>
      </c>
      <c r="E73" s="208">
        <f>ROUND(N(data!BV59), 0)</f>
        <v>0</v>
      </c>
      <c r="F73" s="316">
        <f>ROUND(N(data!BV60), 2)</f>
        <v>4.0599999999999996</v>
      </c>
      <c r="G73" s="208">
        <f>ROUND(N(data!BV61), 0)</f>
        <v>231907</v>
      </c>
      <c r="H73" s="208">
        <f>ROUND(N(data!BV62), 0)</f>
        <v>42772</v>
      </c>
      <c r="I73" s="208">
        <f>ROUND(N(data!BV63), 0)</f>
        <v>0</v>
      </c>
      <c r="J73" s="208">
        <f>ROUND(N(data!BV64), 0)</f>
        <v>4045</v>
      </c>
      <c r="K73" s="208">
        <f>ROUND(N(data!BV65), 0)</f>
        <v>0</v>
      </c>
      <c r="L73" s="208">
        <f>ROUND(N(data!BV66), 0)</f>
        <v>919550</v>
      </c>
      <c r="M73" s="208">
        <f>ROUND(N(data!BV67), 0)</f>
        <v>8258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708</v>
      </c>
      <c r="AH73" s="208">
        <f>ROUND(N(data!BV91), 0)</f>
        <v>0</v>
      </c>
      <c r="AI73" s="208">
        <f>ROUND(N(data!BV92), 0)</f>
        <v>127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039</v>
      </c>
      <c r="B74" s="210" t="str">
        <f>RIGHT(data!$C$96,4)</f>
        <v>2023</v>
      </c>
      <c r="C74" s="12" t="str">
        <f>data!BW$55</f>
        <v>8700</v>
      </c>
      <c r="D74" s="12" t="s">
        <v>1141</v>
      </c>
      <c r="E74" s="208">
        <f>ROUND(N(data!BW59), 0)</f>
        <v>0</v>
      </c>
      <c r="F74" s="316">
        <f>ROUND(N(data!BW60), 2)</f>
        <v>1.0900000000000001</v>
      </c>
      <c r="G74" s="208">
        <f>ROUND(N(data!BW61), 0)</f>
        <v>12645</v>
      </c>
      <c r="H74" s="208">
        <f>ROUND(N(data!BW62), 0)</f>
        <v>2332</v>
      </c>
      <c r="I74" s="208">
        <f>ROUND(N(data!BW63), 0)</f>
        <v>4312</v>
      </c>
      <c r="J74" s="208">
        <f>ROUND(N(data!BW64), 0)</f>
        <v>36267</v>
      </c>
      <c r="K74" s="208">
        <f>ROUND(N(data!BW65), 0)</f>
        <v>0</v>
      </c>
      <c r="L74" s="208">
        <f>ROUND(N(data!BW66), 0)</f>
        <v>77551</v>
      </c>
      <c r="M74" s="208">
        <f>ROUND(N(data!BW67), 0)</f>
        <v>22116</v>
      </c>
      <c r="N74" s="208">
        <f>ROUND(N(data!BW68), 0)</f>
        <v>0</v>
      </c>
      <c r="O74" s="208">
        <f>ROUND(N(data!BW69), 0)</f>
        <v>4500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4500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26015</v>
      </c>
      <c r="AE74" s="208">
        <f>ROUND(N(data!BW89), 0)</f>
        <v>0</v>
      </c>
      <c r="AF74" s="208">
        <f>ROUND(N(data!BW87), 0)</f>
        <v>0</v>
      </c>
      <c r="AG74" s="208">
        <f>ROUND(N(data!BW90), 0)</f>
        <v>1896</v>
      </c>
      <c r="AH74" s="208">
        <f>ROUND(N(data!BW91), 0)</f>
        <v>0</v>
      </c>
      <c r="AI74" s="208">
        <f>ROUND(N(data!BW92), 0)</f>
        <v>341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039</v>
      </c>
      <c r="B75" s="210" t="str">
        <f>RIGHT(data!$C$96,4)</f>
        <v>2023</v>
      </c>
      <c r="C75" s="12" t="str">
        <f>data!BX$55</f>
        <v>8710</v>
      </c>
      <c r="D75" s="12" t="s">
        <v>1141</v>
      </c>
      <c r="E75" s="208">
        <f>ROUND(N(data!BX59), 0)</f>
        <v>0</v>
      </c>
      <c r="F75" s="316">
        <f>ROUND(N(data!BX60), 2)</f>
        <v>15.77</v>
      </c>
      <c r="G75" s="208">
        <f>ROUND(N(data!BX61), 0)</f>
        <v>1719532</v>
      </c>
      <c r="H75" s="208">
        <f>ROUND(N(data!BX62), 0)</f>
        <v>317143</v>
      </c>
      <c r="I75" s="208">
        <f>ROUND(N(data!BX63), 0)</f>
        <v>0</v>
      </c>
      <c r="J75" s="208">
        <f>ROUND(N(data!BX64), 0)</f>
        <v>16295</v>
      </c>
      <c r="K75" s="208">
        <f>ROUND(N(data!BX65), 0)</f>
        <v>550</v>
      </c>
      <c r="L75" s="208">
        <f>ROUND(N(data!BX66), 0)</f>
        <v>683716</v>
      </c>
      <c r="M75" s="208">
        <f>ROUND(N(data!BX67), 0)</f>
        <v>6205</v>
      </c>
      <c r="N75" s="208">
        <f>ROUND(N(data!BX68), 0)</f>
        <v>0</v>
      </c>
      <c r="O75" s="208">
        <f>ROUND(N(data!BX69), 0)</f>
        <v>152280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103948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48331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532</v>
      </c>
      <c r="AH75" s="208">
        <f>ROUND(N(data!BX91), 0)</f>
        <v>0</v>
      </c>
      <c r="AI75" s="208">
        <f>ROUND(N(data!BX92), 0)</f>
        <v>96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039</v>
      </c>
      <c r="B76" s="210" t="str">
        <f>RIGHT(data!$C$96,4)</f>
        <v>2023</v>
      </c>
      <c r="C76" s="12" t="str">
        <f>data!BY$55</f>
        <v>8720</v>
      </c>
      <c r="D76" s="12" t="s">
        <v>1141</v>
      </c>
      <c r="E76" s="208">
        <f>ROUND(N(data!BY59), 0)</f>
        <v>0</v>
      </c>
      <c r="F76" s="316">
        <f>ROUND(N(data!BY60), 2)</f>
        <v>6.34</v>
      </c>
      <c r="G76" s="208">
        <f>ROUND(N(data!BY61), 0)</f>
        <v>937130</v>
      </c>
      <c r="H76" s="208">
        <f>ROUND(N(data!BY62), 0)</f>
        <v>172840</v>
      </c>
      <c r="I76" s="208">
        <f>ROUND(N(data!BY63), 0)</f>
        <v>0</v>
      </c>
      <c r="J76" s="208">
        <f>ROUND(N(data!BY64), 0)</f>
        <v>84593</v>
      </c>
      <c r="K76" s="208">
        <f>ROUND(N(data!BY65), 0)</f>
        <v>757</v>
      </c>
      <c r="L76" s="208">
        <f>ROUND(N(data!BY66), 0)</f>
        <v>8320</v>
      </c>
      <c r="M76" s="208">
        <f>ROUND(N(data!BY67), 0)</f>
        <v>6789</v>
      </c>
      <c r="N76" s="208">
        <f>ROUND(N(data!BY68), 0)</f>
        <v>0</v>
      </c>
      <c r="O76" s="208">
        <f>ROUND(N(data!BY69), 0)</f>
        <v>134428</v>
      </c>
      <c r="P76" s="208">
        <f>ROUND(N(data!BY70), 0)</f>
        <v>0</v>
      </c>
      <c r="Q76" s="208">
        <f>ROUND(N(data!BY71), 0)</f>
        <v>134428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582</v>
      </c>
      <c r="AH76" s="208">
        <f>ROUND(N(data!BY91), 0)</f>
        <v>0</v>
      </c>
      <c r="AI76" s="208">
        <f>ROUND(N(data!BY92), 0)</f>
        <v>105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039</v>
      </c>
      <c r="B77" s="210" t="str">
        <f>RIGHT(data!$C$96,4)</f>
        <v>2023</v>
      </c>
      <c r="C77" s="12" t="str">
        <f>data!BZ$55</f>
        <v>8730</v>
      </c>
      <c r="D77" s="12" t="s">
        <v>1141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039</v>
      </c>
      <c r="B78" s="210" t="str">
        <f>RIGHT(data!$C$96,4)</f>
        <v>2023</v>
      </c>
      <c r="C78" s="12" t="str">
        <f>data!CA$55</f>
        <v>8740</v>
      </c>
      <c r="D78" s="12" t="s">
        <v>1141</v>
      </c>
      <c r="E78" s="208">
        <f>ROUND(N(data!CA59), 0)</f>
        <v>0</v>
      </c>
      <c r="F78" s="316">
        <f>ROUND(N(data!CA60), 2)</f>
        <v>2.78</v>
      </c>
      <c r="G78" s="208">
        <f>ROUND(N(data!CA61), 0)</f>
        <v>264059</v>
      </c>
      <c r="H78" s="208">
        <f>ROUND(N(data!CA62), 0)</f>
        <v>48702</v>
      </c>
      <c r="I78" s="208">
        <f>ROUND(N(data!CA63), 0)</f>
        <v>0</v>
      </c>
      <c r="J78" s="208">
        <f>ROUND(N(data!CA64), 0)</f>
        <v>6349</v>
      </c>
      <c r="K78" s="208">
        <f>ROUND(N(data!CA65), 0)</f>
        <v>0</v>
      </c>
      <c r="L78" s="208">
        <f>ROUND(N(data!CA66), 0)</f>
        <v>4339</v>
      </c>
      <c r="M78" s="208">
        <f>ROUND(N(data!CA67), 0)</f>
        <v>2939</v>
      </c>
      <c r="N78" s="208">
        <f>ROUND(N(data!CA68), 0)</f>
        <v>0</v>
      </c>
      <c r="O78" s="208">
        <f>ROUND(N(data!CA69), 0)</f>
        <v>188854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80201</v>
      </c>
      <c r="X78" s="208">
        <f>ROUND(N(data!CA78), 0)</f>
        <v>0</v>
      </c>
      <c r="Y78" s="208">
        <f>ROUND(N(data!CA79), 0)</f>
        <v>0</v>
      </c>
      <c r="Z78" s="208">
        <f>ROUND(N(data!CA80), 0)</f>
        <v>88841</v>
      </c>
      <c r="AA78" s="208">
        <f>ROUND(N(data!CA81), 0)</f>
        <v>0</v>
      </c>
      <c r="AB78" s="208">
        <f>ROUND(N(data!CA82), 0)</f>
        <v>0</v>
      </c>
      <c r="AC78" s="208">
        <f>ROUND(N(data!CA83), 0)</f>
        <v>19812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252</v>
      </c>
      <c r="AH78" s="208">
        <f>ROUND(N(data!CA91), 0)</f>
        <v>0</v>
      </c>
      <c r="AI78" s="208">
        <f>ROUND(N(data!CA92), 0)</f>
        <v>45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039</v>
      </c>
      <c r="B79" s="210" t="str">
        <f>RIGHT(data!$C$96,4)</f>
        <v>2023</v>
      </c>
      <c r="C79" s="12" t="str">
        <f>data!CB$55</f>
        <v>8770</v>
      </c>
      <c r="D79" s="12" t="s">
        <v>1141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37825</v>
      </c>
      <c r="M79" s="208">
        <f>ROUND(N(data!CB67), 0)</f>
        <v>1400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120</v>
      </c>
      <c r="AH79" s="208">
        <f>ROUND(N(data!CB91), 0)</f>
        <v>0</v>
      </c>
      <c r="AI79" s="208">
        <f>ROUND(N(data!CB92), 0)</f>
        <v>22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039</v>
      </c>
      <c r="B80" s="210" t="str">
        <f>RIGHT(data!$C$96,4)</f>
        <v>2023</v>
      </c>
      <c r="C80" s="12" t="str">
        <f>data!CC$55</f>
        <v>8790</v>
      </c>
      <c r="D80" s="12" t="s">
        <v>1141</v>
      </c>
      <c r="E80" s="208">
        <f>ROUND(N(data!CC59), 0)</f>
        <v>0</v>
      </c>
      <c r="F80" s="316">
        <f>ROUND(N(data!CC60), 2)</f>
        <v>0.83</v>
      </c>
      <c r="G80" s="208">
        <f>ROUND(N(data!CC61), 0)</f>
        <v>75376</v>
      </c>
      <c r="H80" s="208">
        <f>ROUND(N(data!CC62), 0)</f>
        <v>13902</v>
      </c>
      <c r="I80" s="208">
        <f>ROUND(N(data!CC63), 0)</f>
        <v>4910</v>
      </c>
      <c r="J80" s="208">
        <f>ROUND(N(data!CC64), 0)</f>
        <v>30450</v>
      </c>
      <c r="K80" s="208">
        <f>ROUND(N(data!CC65), 0)</f>
        <v>757</v>
      </c>
      <c r="L80" s="208">
        <f>ROUND(N(data!CC66), 0)</f>
        <v>2780893</v>
      </c>
      <c r="M80" s="208">
        <f>ROUND(N(data!CC67), 0)</f>
        <v>1056280</v>
      </c>
      <c r="N80" s="208">
        <f>ROUND(N(data!CC68), 0)</f>
        <v>0</v>
      </c>
      <c r="O80" s="208">
        <f>ROUND(N(data!CC69), 0)</f>
        <v>265398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1350</v>
      </c>
      <c r="X80" s="208">
        <f>ROUND(N(data!CC78), 0)</f>
        <v>0</v>
      </c>
      <c r="Y80" s="208">
        <f>ROUND(N(data!CC79), 0)</f>
        <v>263064</v>
      </c>
      <c r="Z80" s="208">
        <f>ROUND(N(data!CC80), 0)</f>
        <v>724</v>
      </c>
      <c r="AA80" s="208">
        <f>ROUND(N(data!CC81), 0)</f>
        <v>0</v>
      </c>
      <c r="AB80" s="208">
        <f>ROUND(N(data!CC82), 0)</f>
        <v>0</v>
      </c>
      <c r="AC80" s="208">
        <f>ROUND(N(data!CC83), 0)</f>
        <v>260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90556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685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686</v>
      </c>
      <c r="G3" s="10"/>
      <c r="J3" s="108"/>
    </row>
    <row r="4" spans="2:10" x14ac:dyDescent="0.25">
      <c r="B4" s="107"/>
      <c r="F4" s="10" t="s">
        <v>687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688</v>
      </c>
      <c r="G8" s="10"/>
      <c r="J8" s="108"/>
    </row>
    <row r="9" spans="2:10" x14ac:dyDescent="0.25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 x14ac:dyDescent="0.25">
      <c r="B10" s="107"/>
      <c r="F10" s="10" t="s">
        <v>690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691</v>
      </c>
      <c r="G12" s="10"/>
      <c r="J12" s="108"/>
    </row>
    <row r="13" spans="2:10" x14ac:dyDescent="0.25">
      <c r="B13" s="107"/>
      <c r="F13" s="10" t="s">
        <v>692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693</v>
      </c>
      <c r="J16" s="108"/>
    </row>
    <row r="17" spans="2:10" x14ac:dyDescent="0.25">
      <c r="B17" s="104"/>
      <c r="C17" s="113" t="s">
        <v>694</v>
      </c>
      <c r="D17" s="113"/>
      <c r="E17" s="105" t="str">
        <f>+data!C98</f>
        <v>RCCH Trios Health LLC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695</v>
      </c>
      <c r="D18" s="62"/>
      <c r="E18" s="11" t="str">
        <f>+"H-"&amp;data!C97</f>
        <v>H-039</v>
      </c>
      <c r="F18" s="10"/>
      <c r="G18" s="10"/>
      <c r="J18" s="108"/>
    </row>
    <row r="19" spans="2:10" x14ac:dyDescent="0.25">
      <c r="B19" s="107"/>
      <c r="C19" s="62" t="s">
        <v>696</v>
      </c>
      <c r="D19" s="62"/>
      <c r="E19" s="11" t="str">
        <f>+data!C99</f>
        <v>3730 Plaza Way</v>
      </c>
      <c r="F19" s="10"/>
      <c r="G19" s="10"/>
      <c r="J19" s="108"/>
    </row>
    <row r="20" spans="2:10" x14ac:dyDescent="0.25">
      <c r="B20" s="107"/>
      <c r="C20" s="62" t="s">
        <v>697</v>
      </c>
      <c r="D20" s="62"/>
      <c r="E20" s="11" t="str">
        <f>+data!C99</f>
        <v>3730 Plaza Way</v>
      </c>
      <c r="F20" s="10"/>
      <c r="G20" s="10"/>
      <c r="J20" s="108"/>
    </row>
    <row r="21" spans="2:10" x14ac:dyDescent="0.25">
      <c r="B21" s="107"/>
      <c r="C21" s="62" t="s">
        <v>698</v>
      </c>
      <c r="D21" s="62"/>
      <c r="E21" s="11" t="str">
        <f>CONCATENATE(+data!C100,", ",+data!C101)</f>
        <v>Kennewick,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 x14ac:dyDescent="0.25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25">
      <c r="B29" s="107" t="s">
        <v>701</v>
      </c>
      <c r="J29" s="108"/>
    </row>
    <row r="30" spans="2:10" x14ac:dyDescent="0.25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704</v>
      </c>
      <c r="C35" s="115" t="s">
        <v>1377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704</v>
      </c>
      <c r="C41" s="115" t="s">
        <v>1378</v>
      </c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zoomScale="85" zoomScaleNormal="85" workbookViewId="0">
      <selection activeCell="I62" sqref="I6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707</v>
      </c>
    </row>
    <row r="3" spans="1:13" x14ac:dyDescent="0.25">
      <c r="A3" s="63"/>
    </row>
    <row r="4" spans="1:13" x14ac:dyDescent="0.25">
      <c r="A4" s="158" t="s">
        <v>708</v>
      </c>
    </row>
    <row r="5" spans="1:13" x14ac:dyDescent="0.25">
      <c r="A5" s="158" t="s">
        <v>709</v>
      </c>
    </row>
    <row r="6" spans="1:13" x14ac:dyDescent="0.25">
      <c r="A6" s="158" t="s">
        <v>710</v>
      </c>
    </row>
    <row r="7" spans="1:13" x14ac:dyDescent="0.25">
      <c r="A7" s="158"/>
    </row>
    <row r="8" spans="1:13" x14ac:dyDescent="0.25">
      <c r="A8" s="2" t="s">
        <v>711</v>
      </c>
    </row>
    <row r="9" spans="1:13" x14ac:dyDescent="0.25">
      <c r="A9" s="158" t="s">
        <v>27</v>
      </c>
    </row>
    <row r="12" spans="1:13" x14ac:dyDescent="0.25">
      <c r="A12" s="1" t="str">
        <f>data!C97</f>
        <v>039</v>
      </c>
      <c r="B12" s="243" t="str">
        <f>RIGHT('Prior Year'!C96,4)</f>
        <v>2022</v>
      </c>
      <c r="C12" s="243" t="str">
        <f>RIGHT(data!C96,4)</f>
        <v>2023</v>
      </c>
      <c r="D12" s="1" t="str">
        <f>RIGHT('Prior Year'!C96,4)</f>
        <v>2022</v>
      </c>
      <c r="E12" s="243" t="str">
        <f>RIGHT(data!C96,4)</f>
        <v>2023</v>
      </c>
      <c r="F12" s="1" t="str">
        <f>RIGHT('Prior Year'!C96,4)</f>
        <v>2022</v>
      </c>
      <c r="G12" s="243" t="str">
        <f>RIGHT(data!C96,4)</f>
        <v>2023</v>
      </c>
      <c r="H12" s="3"/>
    </row>
    <row r="13" spans="1:13" x14ac:dyDescent="0.25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 x14ac:dyDescent="0.25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 x14ac:dyDescent="0.25">
      <c r="A15" s="1" t="s">
        <v>722</v>
      </c>
      <c r="B15" s="345">
        <f>ROUND(N('Prior Year'!C85), 0)</f>
        <v>6660791</v>
      </c>
      <c r="C15" s="345">
        <f>data!C85</f>
        <v>6353803.0899999999</v>
      </c>
      <c r="D15" s="345">
        <f>ROUND(N('Prior Year'!C59), 0)</f>
        <v>4320</v>
      </c>
      <c r="E15" s="346">
        <f>data!C59</f>
        <v>3157</v>
      </c>
      <c r="F15" s="347">
        <f t="shared" ref="F15:F59" si="0">IF(B15=0,"",IF(D15=0,"",B15/D15))</f>
        <v>1541.8497685185184</v>
      </c>
      <c r="G15" s="347">
        <f t="shared" ref="G15:G29" si="1">IF(C15=0,"",IF(E15=0,"",C15/E15))</f>
        <v>2012.6078840671523</v>
      </c>
      <c r="H15" s="6">
        <f t="shared" ref="H15:H30" si="2">IF(B15 = 0, "", IF(C15 = 0, "", IF(D15 = 0, "", IF(E15 = 0, "", IF(G15 / F15 - 1 &lt; -0.25, G15 / F15 - 1, IF(G15 / F15 - 1 &gt; 0.25, G15 / F15 - 1, ""))))))</f>
        <v>0.30532035296860371</v>
      </c>
      <c r="I15" s="243" t="s">
        <v>1376</v>
      </c>
      <c r="M15" s="7"/>
    </row>
    <row r="16" spans="1:13" x14ac:dyDescent="0.25">
      <c r="A16" s="1" t="s">
        <v>723</v>
      </c>
      <c r="B16" s="243">
        <f>ROUND(N('Prior Year'!D85), 0)</f>
        <v>103</v>
      </c>
      <c r="C16" s="243">
        <f>data!D85</f>
        <v>1451627.88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724</v>
      </c>
      <c r="B17" s="243">
        <f>ROUND(N('Prior Year'!E85), 0)</f>
        <v>9292172</v>
      </c>
      <c r="C17" s="243">
        <f>data!E85</f>
        <v>9591894.1799999997</v>
      </c>
      <c r="D17" s="243">
        <f>ROUND(N('Prior Year'!E59), 0)</f>
        <v>13041</v>
      </c>
      <c r="E17" s="1">
        <f>data!E59</f>
        <v>11833</v>
      </c>
      <c r="F17" s="217">
        <f t="shared" si="0"/>
        <v>712.53523502798862</v>
      </c>
      <c r="G17" s="217">
        <f t="shared" si="1"/>
        <v>810.60544071663992</v>
      </c>
      <c r="H17" s="6" t="str">
        <f t="shared" si="2"/>
        <v/>
      </c>
      <c r="I17" s="243" t="str">
        <f t="shared" si="3"/>
        <v/>
      </c>
      <c r="M17" s="7"/>
    </row>
    <row r="18" spans="1:13" x14ac:dyDescent="0.25">
      <c r="A18" s="1" t="s">
        <v>725</v>
      </c>
      <c r="B18" s="243">
        <f>ROUND(N('Prior Year'!F85), 0)</f>
        <v>6222263</v>
      </c>
      <c r="C18" s="243">
        <f>data!F85</f>
        <v>5626391.4199999999</v>
      </c>
      <c r="D18" s="243">
        <f>ROUND(N('Prior Year'!F59), 0)</f>
        <v>2810</v>
      </c>
      <c r="E18" s="1">
        <f>data!F59</f>
        <v>2987</v>
      </c>
      <c r="F18" s="217">
        <f t="shared" si="0"/>
        <v>2214.3284697508898</v>
      </c>
      <c r="G18" s="217">
        <f t="shared" si="1"/>
        <v>1883.6261868095078</v>
      </c>
      <c r="H18" s="6" t="str">
        <f t="shared" si="2"/>
        <v/>
      </c>
      <c r="I18" s="243" t="str">
        <f t="shared" si="3"/>
        <v/>
      </c>
      <c r="M18" s="7"/>
    </row>
    <row r="19" spans="1:13" x14ac:dyDescent="0.25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25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25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25">
      <c r="A22" s="1" t="s">
        <v>729</v>
      </c>
      <c r="B22" s="243">
        <f>ROUND(N('Prior Year'!J85), 0)</f>
        <v>1981205</v>
      </c>
      <c r="C22" s="243">
        <f>data!J85</f>
        <v>1860475.64</v>
      </c>
      <c r="D22" s="243">
        <f>ROUND(N('Prior Year'!J59), 0)</f>
        <v>2034</v>
      </c>
      <c r="E22" s="1">
        <f>data!J59</f>
        <v>1575</v>
      </c>
      <c r="F22" s="217">
        <f t="shared" si="0"/>
        <v>974.043756145526</v>
      </c>
      <c r="G22" s="217">
        <f t="shared" si="1"/>
        <v>1181.2543746031745</v>
      </c>
      <c r="H22" s="6" t="str">
        <f t="shared" si="2"/>
        <v/>
      </c>
      <c r="I22" s="243" t="str">
        <f t="shared" si="3"/>
        <v/>
      </c>
      <c r="M22" s="7"/>
    </row>
    <row r="23" spans="1:13" x14ac:dyDescent="0.25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25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25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25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25">
      <c r="A27" s="1" t="s">
        <v>734</v>
      </c>
      <c r="B27" s="243">
        <f>ROUND(N('Prior Year'!O85), 0)</f>
        <v>847724</v>
      </c>
      <c r="C27" s="243">
        <f>data!O85</f>
        <v>1254990.43</v>
      </c>
      <c r="D27" s="243">
        <f>ROUND(N('Prior Year'!O59), 0)</f>
        <v>1020</v>
      </c>
      <c r="E27" s="1">
        <f>data!O59</f>
        <v>1421</v>
      </c>
      <c r="F27" s="217">
        <f t="shared" si="0"/>
        <v>831.10196078431375</v>
      </c>
      <c r="G27" s="217">
        <f t="shared" si="1"/>
        <v>883.17412385643911</v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25">
      <c r="A28" s="1" t="s">
        <v>735</v>
      </c>
      <c r="B28" s="243">
        <f>ROUND(N('Prior Year'!P85), 0)</f>
        <v>9870031</v>
      </c>
      <c r="C28" s="243">
        <f>data!P85</f>
        <v>10107047.359999999</v>
      </c>
      <c r="D28" s="243">
        <f>ROUND(N('Prior Year'!P59), 0)</f>
        <v>265220</v>
      </c>
      <c r="E28" s="1">
        <f>data!P59</f>
        <v>274970</v>
      </c>
      <c r="F28" s="217">
        <f t="shared" si="0"/>
        <v>37.214504939295679</v>
      </c>
      <c r="G28" s="217">
        <f t="shared" si="1"/>
        <v>36.756909335563876</v>
      </c>
      <c r="H28" s="6" t="str">
        <f t="shared" si="2"/>
        <v/>
      </c>
      <c r="I28" s="243" t="str">
        <f t="shared" si="3"/>
        <v/>
      </c>
      <c r="M28" s="7"/>
    </row>
    <row r="29" spans="1:13" x14ac:dyDescent="0.25">
      <c r="A29" s="1" t="s">
        <v>736</v>
      </c>
      <c r="B29" s="243">
        <f>ROUND(N('Prior Year'!Q85), 0)</f>
        <v>1147056</v>
      </c>
      <c r="C29" s="243">
        <f>data!Q85</f>
        <v>1007927.0000000001</v>
      </c>
      <c r="D29" s="243">
        <f>ROUND(N('Prior Year'!Q59), 0)</f>
        <v>102126</v>
      </c>
      <c r="E29" s="1">
        <f>data!Q59</f>
        <v>110193</v>
      </c>
      <c r="F29" s="217">
        <f t="shared" si="0"/>
        <v>11.231772516303391</v>
      </c>
      <c r="G29" s="217">
        <f t="shared" si="1"/>
        <v>9.1469240332870516</v>
      </c>
      <c r="H29" s="6" t="str">
        <f t="shared" si="2"/>
        <v/>
      </c>
      <c r="I29" s="243" t="str">
        <f t="shared" si="3"/>
        <v/>
      </c>
      <c r="M29" s="7"/>
    </row>
    <row r="30" spans="1:13" x14ac:dyDescent="0.25">
      <c r="A30" s="1" t="s">
        <v>737</v>
      </c>
      <c r="B30" s="243">
        <f>ROUND(N('Prior Year'!R85), 0)</f>
        <v>1507462</v>
      </c>
      <c r="C30" s="243">
        <f>data!R85</f>
        <v>2000525.8499999999</v>
      </c>
      <c r="D30" s="243">
        <f>ROUND(N('Prior Year'!R59), 0)</f>
        <v>0</v>
      </c>
      <c r="E30" s="1">
        <f>data!R59</f>
        <v>274970</v>
      </c>
      <c r="F30" s="217" t="str">
        <f t="shared" si="0"/>
        <v/>
      </c>
      <c r="G30" s="217">
        <f>IFERROR(IF(C30=0,"",IF(E30=0,"",C30/E30)),"")</f>
        <v>7.2754331381605262</v>
      </c>
      <c r="H30" s="6" t="str">
        <f t="shared" si="2"/>
        <v/>
      </c>
      <c r="I30" s="243" t="str">
        <f t="shared" si="3"/>
        <v/>
      </c>
      <c r="M30" s="7"/>
    </row>
    <row r="31" spans="1:13" x14ac:dyDescent="0.25">
      <c r="A31" s="1" t="s">
        <v>738</v>
      </c>
      <c r="B31" s="243">
        <f>ROUND(N('Prior Year'!S85), 0)</f>
        <v>1308352</v>
      </c>
      <c r="C31" s="243">
        <f>data!S85</f>
        <v>1791014.7199999997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 x14ac:dyDescent="0.25">
      <c r="A32" s="1" t="s">
        <v>740</v>
      </c>
      <c r="B32" s="243">
        <f>ROUND(N('Prior Year'!T85), 0)</f>
        <v>125951</v>
      </c>
      <c r="C32" s="243">
        <f>data!T85</f>
        <v>146360.69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 x14ac:dyDescent="0.25">
      <c r="A33" s="1" t="s">
        <v>741</v>
      </c>
      <c r="B33" s="243">
        <f>ROUND(N('Prior Year'!U85), 0)</f>
        <v>6108817</v>
      </c>
      <c r="C33" s="243">
        <f>data!U85</f>
        <v>5630734.8500000006</v>
      </c>
      <c r="D33" s="243">
        <f>ROUND(N('Prior Year'!U59), 0)</f>
        <v>356838</v>
      </c>
      <c r="E33" s="1">
        <f>data!U59</f>
        <v>365817</v>
      </c>
      <c r="F33" s="217">
        <f t="shared" si="0"/>
        <v>17.119300635022054</v>
      </c>
      <c r="G33" s="217">
        <f t="shared" ref="G33:G69" si="4">IF(C33=0,"",IF(E33=0,"",C33/E33))</f>
        <v>15.392217556865866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25">
      <c r="A34" s="1" t="s">
        <v>742</v>
      </c>
      <c r="B34" s="345">
        <f>ROUND(N('Prior Year'!V85), 0)</f>
        <v>115135</v>
      </c>
      <c r="C34" s="345">
        <f>data!V85</f>
        <v>143378.12</v>
      </c>
      <c r="D34" s="345">
        <f>ROUND(N('Prior Year'!V59), 0)</f>
        <v>263</v>
      </c>
      <c r="E34" s="346">
        <f>data!V59</f>
        <v>245</v>
      </c>
      <c r="F34" s="347">
        <f t="shared" si="0"/>
        <v>437.77566539923953</v>
      </c>
      <c r="G34" s="347">
        <f t="shared" si="4"/>
        <v>585.21681632653065</v>
      </c>
      <c r="H34" s="6">
        <f t="shared" si="5"/>
        <v>0.33679613231317651</v>
      </c>
      <c r="I34" s="243" t="s">
        <v>1375</v>
      </c>
      <c r="M34" s="7"/>
    </row>
    <row r="35" spans="1:13" x14ac:dyDescent="0.25">
      <c r="A35" s="1" t="s">
        <v>743</v>
      </c>
      <c r="B35" s="243">
        <f>ROUND(N('Prior Year'!W85), 0)</f>
        <v>712010</v>
      </c>
      <c r="C35" s="243">
        <f>data!W85</f>
        <v>712624.25999999989</v>
      </c>
      <c r="D35" s="243">
        <f>ROUND(N('Prior Year'!W59), 0)</f>
        <v>2308</v>
      </c>
      <c r="E35" s="1">
        <f>data!W59</f>
        <v>2169</v>
      </c>
      <c r="F35" s="217">
        <f t="shared" si="0"/>
        <v>308.49653379549392</v>
      </c>
      <c r="G35" s="217">
        <f t="shared" si="4"/>
        <v>328.54968188105113</v>
      </c>
      <c r="H35" s="6" t="str">
        <f t="shared" si="5"/>
        <v/>
      </c>
      <c r="I35" s="243" t="str">
        <f t="shared" si="3"/>
        <v/>
      </c>
      <c r="M35" s="7"/>
    </row>
    <row r="36" spans="1:13" x14ac:dyDescent="0.25">
      <c r="A36" s="1" t="s">
        <v>744</v>
      </c>
      <c r="B36" s="243">
        <f>ROUND(N('Prior Year'!X85), 0)</f>
        <v>1434904</v>
      </c>
      <c r="C36" s="243">
        <f>data!X85</f>
        <v>1576239.55</v>
      </c>
      <c r="D36" s="243">
        <f>ROUND(N('Prior Year'!X59), 0)</f>
        <v>13130</v>
      </c>
      <c r="E36" s="1">
        <f>data!X59</f>
        <v>11835</v>
      </c>
      <c r="F36" s="217">
        <f t="shared" si="0"/>
        <v>109.28438690022848</v>
      </c>
      <c r="G36" s="217">
        <f t="shared" si="4"/>
        <v>133.18458386142797</v>
      </c>
      <c r="H36" s="6" t="str">
        <f t="shared" si="5"/>
        <v/>
      </c>
      <c r="I36" s="243" t="str">
        <f t="shared" si="3"/>
        <v/>
      </c>
      <c r="M36" s="7"/>
    </row>
    <row r="37" spans="1:13" x14ac:dyDescent="0.25">
      <c r="A37" s="1" t="s">
        <v>745</v>
      </c>
      <c r="B37" s="243">
        <f>ROUND(N('Prior Year'!Y85), 0)</f>
        <v>6350118</v>
      </c>
      <c r="C37" s="243">
        <f>data!Y85</f>
        <v>6152121.2599999998</v>
      </c>
      <c r="D37" s="243">
        <f>ROUND(N('Prior Year'!Y59), 0)</f>
        <v>46711</v>
      </c>
      <c r="E37" s="1">
        <f>data!Y59</f>
        <v>46677</v>
      </c>
      <c r="F37" s="217">
        <f t="shared" si="0"/>
        <v>135.94480957376206</v>
      </c>
      <c r="G37" s="217">
        <f t="shared" si="4"/>
        <v>131.80198513186366</v>
      </c>
      <c r="H37" s="6" t="str">
        <f t="shared" si="5"/>
        <v/>
      </c>
      <c r="I37" s="243" t="str">
        <f t="shared" si="3"/>
        <v/>
      </c>
      <c r="M37" s="7"/>
    </row>
    <row r="38" spans="1:13" x14ac:dyDescent="0.25">
      <c r="A38" s="1" t="s">
        <v>746</v>
      </c>
      <c r="B38" s="345">
        <f>ROUND(N('Prior Year'!Z85), 0)</f>
        <v>8501525</v>
      </c>
      <c r="C38" s="345">
        <f>data!Z85</f>
        <v>6016870.4500000002</v>
      </c>
      <c r="D38" s="345">
        <f>ROUND(N('Prior Year'!Z59), 0)</f>
        <v>796795</v>
      </c>
      <c r="E38" s="346">
        <f>data!Z59</f>
        <v>448956</v>
      </c>
      <c r="F38" s="347">
        <f t="shared" si="0"/>
        <v>10.669651541488086</v>
      </c>
      <c r="G38" s="347">
        <f t="shared" si="4"/>
        <v>13.401915666568662</v>
      </c>
      <c r="H38" s="6">
        <f t="shared" si="5"/>
        <v>0.25607810287490507</v>
      </c>
      <c r="I38" s="243" t="s">
        <v>1373</v>
      </c>
      <c r="M38" s="7"/>
    </row>
    <row r="39" spans="1:13" x14ac:dyDescent="0.25">
      <c r="A39" s="1" t="s">
        <v>747</v>
      </c>
      <c r="B39" s="243">
        <f>ROUND(N('Prior Year'!AA85), 0)</f>
        <v>358131</v>
      </c>
      <c r="C39" s="243">
        <f>data!AA85</f>
        <v>393712.46</v>
      </c>
      <c r="D39" s="243">
        <f>ROUND(N('Prior Year'!AA59), 0)</f>
        <v>870</v>
      </c>
      <c r="E39" s="1">
        <f>data!AA59</f>
        <v>860</v>
      </c>
      <c r="F39" s="217">
        <f t="shared" si="0"/>
        <v>411.64482758620687</v>
      </c>
      <c r="G39" s="217">
        <f t="shared" si="4"/>
        <v>457.80518604651166</v>
      </c>
      <c r="H39" s="6" t="str">
        <f t="shared" si="5"/>
        <v/>
      </c>
      <c r="I39" s="243" t="str">
        <f t="shared" si="3"/>
        <v/>
      </c>
      <c r="M39" s="7"/>
    </row>
    <row r="40" spans="1:13" x14ac:dyDescent="0.25">
      <c r="A40" s="1" t="s">
        <v>748</v>
      </c>
      <c r="B40" s="243">
        <f>ROUND(N('Prior Year'!AB85), 0)</f>
        <v>7096541</v>
      </c>
      <c r="C40" s="243">
        <f>data!AB85</f>
        <v>5893942.1000000006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 x14ac:dyDescent="0.25">
      <c r="A41" s="1" t="s">
        <v>749</v>
      </c>
      <c r="B41" s="243">
        <f>ROUND(N('Prior Year'!AC85), 0)</f>
        <v>2579298</v>
      </c>
      <c r="C41" s="243">
        <f>data!AC85</f>
        <v>1986634.28</v>
      </c>
      <c r="D41" s="243">
        <f>ROUND(N('Prior Year'!AC59), 0)</f>
        <v>42658</v>
      </c>
      <c r="E41" s="1">
        <f>data!AC59</f>
        <v>38295</v>
      </c>
      <c r="F41" s="217">
        <f t="shared" si="0"/>
        <v>60.46457874255708</v>
      </c>
      <c r="G41" s="217">
        <f t="shared" si="4"/>
        <v>51.877119206162682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25">
      <c r="A42" s="1" t="s">
        <v>750</v>
      </c>
      <c r="B42" s="243">
        <f>ROUND(N('Prior Year'!AD85), 0)</f>
        <v>0</v>
      </c>
      <c r="C42" s="243">
        <f>data!AD85</f>
        <v>40907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25">
      <c r="A43" s="1" t="s">
        <v>751</v>
      </c>
      <c r="B43" s="243">
        <f>ROUND(N('Prior Year'!AE85), 0)</f>
        <v>2288705</v>
      </c>
      <c r="C43" s="243">
        <f>data!AE85</f>
        <v>3457677.37</v>
      </c>
      <c r="D43" s="243">
        <f>ROUND(N('Prior Year'!AE59), 0)</f>
        <v>47521</v>
      </c>
      <c r="E43" s="1">
        <f>data!AE59</f>
        <v>67385</v>
      </c>
      <c r="F43" s="217">
        <f t="shared" si="0"/>
        <v>48.161970497253847</v>
      </c>
      <c r="G43" s="217">
        <f t="shared" si="4"/>
        <v>51.312270831787494</v>
      </c>
      <c r="H43" s="6" t="str">
        <f t="shared" si="6"/>
        <v/>
      </c>
      <c r="I43" s="243" t="str">
        <f t="shared" si="3"/>
        <v/>
      </c>
      <c r="M43" s="7"/>
    </row>
    <row r="44" spans="1:13" x14ac:dyDescent="0.25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25">
      <c r="A45" s="1" t="s">
        <v>753</v>
      </c>
      <c r="B45" s="243">
        <f>ROUND(N('Prior Year'!AG85), 0)</f>
        <v>11175844</v>
      </c>
      <c r="C45" s="243">
        <f>data!AG85</f>
        <v>11307033.740000002</v>
      </c>
      <c r="D45" s="243">
        <f>ROUND(N('Prior Year'!AG59), 0)</f>
        <v>25026</v>
      </c>
      <c r="E45" s="1">
        <f>data!AG59</f>
        <v>25046</v>
      </c>
      <c r="F45" s="217">
        <f t="shared" si="0"/>
        <v>446.56932789898508</v>
      </c>
      <c r="G45" s="217">
        <f t="shared" si="4"/>
        <v>451.45068034815949</v>
      </c>
      <c r="H45" s="6" t="str">
        <f t="shared" si="6"/>
        <v/>
      </c>
      <c r="I45" s="243" t="str">
        <f t="shared" si="3"/>
        <v/>
      </c>
      <c r="M45" s="7"/>
    </row>
    <row r="46" spans="1:13" x14ac:dyDescent="0.25">
      <c r="A46" s="1" t="s">
        <v>754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25">
      <c r="A47" s="1" t="s">
        <v>755</v>
      </c>
      <c r="B47" s="345">
        <f>ROUND(N('Prior Year'!AI85), 0)</f>
        <v>3204042</v>
      </c>
      <c r="C47" s="345">
        <f>data!AI85</f>
        <v>3125798.0999999996</v>
      </c>
      <c r="D47" s="345">
        <f>ROUND(N('Prior Year'!AI59), 0)</f>
        <v>314967</v>
      </c>
      <c r="E47" s="346">
        <f>data!AI59</f>
        <v>182242</v>
      </c>
      <c r="F47" s="347">
        <f t="shared" si="0"/>
        <v>10.172627608606616</v>
      </c>
      <c r="G47" s="347">
        <f t="shared" si="4"/>
        <v>17.151908451399784</v>
      </c>
      <c r="H47" s="6">
        <f t="shared" si="6"/>
        <v>0.68608437380409981</v>
      </c>
      <c r="I47" s="243" t="s">
        <v>1374</v>
      </c>
      <c r="M47" s="7"/>
    </row>
    <row r="48" spans="1:13" x14ac:dyDescent="0.25">
      <c r="A48" s="1" t="s">
        <v>756</v>
      </c>
      <c r="B48" s="243">
        <f>ROUND(N('Prior Year'!AJ85), 0)</f>
        <v>1989873</v>
      </c>
      <c r="C48" s="243">
        <f>data!AJ85</f>
        <v>1979061.71</v>
      </c>
      <c r="D48" s="243">
        <f>ROUND(N('Prior Year'!AJ59), 0)</f>
        <v>8049</v>
      </c>
      <c r="E48" s="1">
        <f>data!AJ59</f>
        <v>6884</v>
      </c>
      <c r="F48" s="217">
        <f t="shared" si="0"/>
        <v>247.21990309355201</v>
      </c>
      <c r="G48" s="217">
        <f t="shared" si="4"/>
        <v>287.48717460778619</v>
      </c>
      <c r="H48" s="6" t="str">
        <f t="shared" si="6"/>
        <v/>
      </c>
      <c r="I48" s="243" t="str">
        <f t="shared" ref="I48:I78" si="7">IF(H48 = "", "", IF(ABS(H48) &gt; 25 %, "Please provide explanation for the fluctuation noted here", ""))</f>
        <v/>
      </c>
      <c r="M48" s="7"/>
    </row>
    <row r="49" spans="1:13" x14ac:dyDescent="0.25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25">
      <c r="A50" s="1" t="s">
        <v>758</v>
      </c>
      <c r="B50" s="345">
        <f>ROUND(N('Prior Year'!AL85), 0)</f>
        <v>424284</v>
      </c>
      <c r="C50" s="345">
        <f>data!AL85</f>
        <v>488974.28</v>
      </c>
      <c r="D50" s="345">
        <f>ROUND(N('Prior Year'!AL59), 0)</f>
        <v>7257</v>
      </c>
      <c r="E50" s="346">
        <f>data!AL59</f>
        <v>6218</v>
      </c>
      <c r="F50" s="347">
        <f t="shared" si="0"/>
        <v>58.465481603968584</v>
      </c>
      <c r="G50" s="347">
        <f t="shared" si="4"/>
        <v>78.638513991637183</v>
      </c>
      <c r="H50" s="6">
        <f t="shared" si="6"/>
        <v>0.34504175513880098</v>
      </c>
      <c r="I50" s="243" t="s">
        <v>1372</v>
      </c>
      <c r="M50" s="7"/>
    </row>
    <row r="51" spans="1:13" x14ac:dyDescent="0.25">
      <c r="A51" s="1" t="s">
        <v>759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25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25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25">
      <c r="A54" s="1" t="s">
        <v>762</v>
      </c>
      <c r="B54" s="243">
        <f>ROUND(N('Prior Year'!AP85), 0)</f>
        <v>36006840</v>
      </c>
      <c r="C54" s="243">
        <f>data!AP85</f>
        <v>37579595.429999992</v>
      </c>
      <c r="D54" s="243">
        <f>ROUND(N('Prior Year'!AP59), 0)</f>
        <v>10267</v>
      </c>
      <c r="E54" s="1">
        <f>data!AP59</f>
        <v>9607</v>
      </c>
      <c r="F54" s="217">
        <f t="shared" si="0"/>
        <v>3507.0458751339243</v>
      </c>
      <c r="G54" s="217">
        <f t="shared" si="4"/>
        <v>3911.688917456021</v>
      </c>
      <c r="H54" s="6" t="str">
        <f t="shared" si="6"/>
        <v/>
      </c>
      <c r="I54" s="243" t="str">
        <f t="shared" si="7"/>
        <v/>
      </c>
      <c r="M54" s="7"/>
    </row>
    <row r="55" spans="1:13" x14ac:dyDescent="0.25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25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25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25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25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25">
      <c r="A60" s="1" t="s">
        <v>768</v>
      </c>
      <c r="B60" s="243">
        <f>ROUND(N('Prior Year'!AV85), 0)</f>
        <v>0</v>
      </c>
      <c r="C60" s="243">
        <f>data!AV85</f>
        <v>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 x14ac:dyDescent="0.25">
      <c r="A61" s="1" t="s">
        <v>769</v>
      </c>
      <c r="B61" s="243">
        <f>ROUND(N('Prior Year'!AW85), 0)</f>
        <v>3214346</v>
      </c>
      <c r="C61" s="243">
        <f>data!AW85</f>
        <v>3523032.34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 x14ac:dyDescent="0.25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 x14ac:dyDescent="0.25">
      <c r="A63" s="1" t="s">
        <v>771</v>
      </c>
      <c r="B63" s="243">
        <f>ROUND(N('Prior Year'!AY85), 0)</f>
        <v>1361302</v>
      </c>
      <c r="C63" s="243">
        <f>data!AY85</f>
        <v>1604228.3300000003</v>
      </c>
      <c r="D63" s="243">
        <f>ROUND(N('Prior Year'!AY59), 0)</f>
        <v>241680</v>
      </c>
      <c r="E63" s="1">
        <f>data!AY59</f>
        <v>320863</v>
      </c>
      <c r="F63" s="217">
        <f>IF(B63=0,"",IF(D63=0,"",B63/D63))</f>
        <v>5.6326630254882488</v>
      </c>
      <c r="G63" s="217">
        <f t="shared" si="4"/>
        <v>4.9997298847171541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 x14ac:dyDescent="0.25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25">
      <c r="A65" s="1" t="s">
        <v>773</v>
      </c>
      <c r="B65" s="243">
        <f>ROUND(N('Prior Year'!BA85), 0)</f>
        <v>336110</v>
      </c>
      <c r="C65" s="243">
        <f>data!BA85</f>
        <v>301311.09999999998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 x14ac:dyDescent="0.25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 x14ac:dyDescent="0.25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 x14ac:dyDescent="0.25">
      <c r="A68" s="1" t="s">
        <v>776</v>
      </c>
      <c r="B68" s="243">
        <f>ROUND(N('Prior Year'!BD85), 0)</f>
        <v>495547</v>
      </c>
      <c r="C68" s="243">
        <f>data!BD85</f>
        <v>913568.46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 x14ac:dyDescent="0.25">
      <c r="A69" s="346" t="s">
        <v>777</v>
      </c>
      <c r="B69" s="345">
        <f>ROUND(N('Prior Year'!BE85), 0)</f>
        <v>3183886</v>
      </c>
      <c r="C69" s="345">
        <f>data!BE85</f>
        <v>3353528.57</v>
      </c>
      <c r="D69" s="345">
        <f>ROUND(N('Prior Year'!BE59), 0)</f>
        <v>511464</v>
      </c>
      <c r="E69" s="346">
        <f>data!BE59</f>
        <v>421704</v>
      </c>
      <c r="F69" s="347">
        <f>IF(B69=0,"",IF(D69=0,"",B69/D69))</f>
        <v>6.2250441868831432</v>
      </c>
      <c r="G69" s="347">
        <f t="shared" si="4"/>
        <v>7.9523281021759331</v>
      </c>
      <c r="H69" s="6">
        <f>IF(B69 = 0, "", IF(C69 = 0, "", IF(D69 = 0, "", IF(E69 = 0, "", IF(G69 / F69 - 1 &lt; -0.25, G69 / F69 - 1, IF(G69 / F69 - 1 &gt; 0.25, G69 / F69 - 1, ""))))))</f>
        <v>0.27747335817027108</v>
      </c>
      <c r="I69" s="243" t="s">
        <v>1371</v>
      </c>
      <c r="M69" s="7"/>
    </row>
    <row r="70" spans="1:13" x14ac:dyDescent="0.25">
      <c r="A70" s="1" t="s">
        <v>778</v>
      </c>
      <c r="B70" s="243">
        <f>ROUND(N('Prior Year'!BF85), 0)</f>
        <v>2234089</v>
      </c>
      <c r="C70" s="243">
        <f>data!BF85</f>
        <v>2618659.8899999997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 x14ac:dyDescent="0.25">
      <c r="A71" s="1" t="s">
        <v>779</v>
      </c>
      <c r="B71" s="243">
        <f>ROUND(N('Prior Year'!BG85), 0)</f>
        <v>665201</v>
      </c>
      <c r="C71" s="243">
        <f>data!BG85</f>
        <v>639254.32999999996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 x14ac:dyDescent="0.25">
      <c r="A72" s="1" t="s">
        <v>780</v>
      </c>
      <c r="B72" s="243">
        <f>ROUND(N('Prior Year'!BH85), 0)</f>
        <v>3565019</v>
      </c>
      <c r="C72" s="243">
        <f>data!BH85</f>
        <v>4527882.7699999996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 x14ac:dyDescent="0.25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 x14ac:dyDescent="0.25">
      <c r="A74" s="1" t="s">
        <v>782</v>
      </c>
      <c r="B74" s="243">
        <f>ROUND(N('Prior Year'!BJ85), 0)</f>
        <v>807066</v>
      </c>
      <c r="C74" s="243">
        <f>data!BJ85</f>
        <v>748918.97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 x14ac:dyDescent="0.25">
      <c r="A75" s="1" t="s">
        <v>783</v>
      </c>
      <c r="B75" s="243">
        <f>ROUND(N('Prior Year'!BK85), 0)</f>
        <v>105833</v>
      </c>
      <c r="C75" s="243">
        <f>data!BK85</f>
        <v>-141439.19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 x14ac:dyDescent="0.25">
      <c r="A76" s="1" t="s">
        <v>784</v>
      </c>
      <c r="B76" s="243">
        <f>ROUND(N('Prior Year'!BL85), 0)</f>
        <v>121595</v>
      </c>
      <c r="C76" s="243">
        <f>data!BL85</f>
        <v>199814.17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 x14ac:dyDescent="0.25">
      <c r="A77" s="1" t="s">
        <v>785</v>
      </c>
      <c r="B77" s="243">
        <f>ROUND(N('Prior Year'!BM85), 0)</f>
        <v>0</v>
      </c>
      <c r="C77" s="243">
        <f>data!BM85</f>
        <v>0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 x14ac:dyDescent="0.25">
      <c r="A78" s="1" t="s">
        <v>786</v>
      </c>
      <c r="B78" s="243">
        <f>ROUND(N('Prior Year'!BN85), 0)</f>
        <v>2548746</v>
      </c>
      <c r="C78" s="243">
        <f>data!BN85</f>
        <v>3092445.2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 x14ac:dyDescent="0.25">
      <c r="A79" s="1" t="s">
        <v>787</v>
      </c>
      <c r="B79" s="243">
        <f>ROUND(N('Prior Year'!BO85), 0)</f>
        <v>358897</v>
      </c>
      <c r="C79" s="243">
        <f>data!BO85</f>
        <v>338195.43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788</v>
      </c>
      <c r="B80" s="243">
        <f>ROUND(N('Prior Year'!BP85), 0)</f>
        <v>278893</v>
      </c>
      <c r="C80" s="243">
        <f>data!BP85</f>
        <v>447026.18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 x14ac:dyDescent="0.25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 x14ac:dyDescent="0.25">
      <c r="A82" s="1" t="s">
        <v>790</v>
      </c>
      <c r="B82" s="243">
        <f>ROUND(N('Prior Year'!BR85), 0)</f>
        <v>1095002</v>
      </c>
      <c r="C82" s="243">
        <f>data!BR85</f>
        <v>1309360.45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 x14ac:dyDescent="0.25">
      <c r="A83" s="1" t="s">
        <v>791</v>
      </c>
      <c r="B83" s="243">
        <f>ROUND(N('Prior Year'!BS85), 0)</f>
        <v>44478</v>
      </c>
      <c r="C83" s="243">
        <f>data!BS85</f>
        <v>-30172.500000000007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 x14ac:dyDescent="0.25">
      <c r="A84" s="1" t="s">
        <v>792</v>
      </c>
      <c r="B84" s="243">
        <f>ROUND(N('Prior Year'!BT85), 0)</f>
        <v>47458</v>
      </c>
      <c r="C84" s="243">
        <f>data!BT85</f>
        <v>27732.550000000003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 x14ac:dyDescent="0.25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 x14ac:dyDescent="0.25">
      <c r="A86" s="1" t="s">
        <v>794</v>
      </c>
      <c r="B86" s="243">
        <f>ROUND(N('Prior Year'!BV85), 0)</f>
        <v>1221041</v>
      </c>
      <c r="C86" s="243">
        <f>data!BV85</f>
        <v>1206532.28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 x14ac:dyDescent="0.25">
      <c r="A87" s="1" t="s">
        <v>795</v>
      </c>
      <c r="B87" s="243">
        <f>ROUND(N('Prior Year'!BW85), 0)</f>
        <v>322085</v>
      </c>
      <c r="C87" s="243">
        <f>data!BW85</f>
        <v>133707.87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 x14ac:dyDescent="0.25">
      <c r="A88" s="1" t="s">
        <v>796</v>
      </c>
      <c r="B88" s="243">
        <f>ROUND(N('Prior Year'!BX85), 0)</f>
        <v>2136077</v>
      </c>
      <c r="C88" s="243">
        <f>data!BX85</f>
        <v>2895721.63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 x14ac:dyDescent="0.25">
      <c r="A89" s="1" t="s">
        <v>797</v>
      </c>
      <c r="B89" s="243">
        <f>ROUND(N('Prior Year'!BY85), 0)</f>
        <v>1357838</v>
      </c>
      <c r="C89" s="243">
        <f>data!BY85</f>
        <v>1344856.77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 x14ac:dyDescent="0.25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 x14ac:dyDescent="0.25">
      <c r="A91" s="1" t="s">
        <v>799</v>
      </c>
      <c r="B91" s="243">
        <f>ROUND(N('Prior Year'!CA85), 0)</f>
        <v>354630</v>
      </c>
      <c r="C91" s="243">
        <f>data!CA85</f>
        <v>515242.04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 x14ac:dyDescent="0.25">
      <c r="A92" s="1" t="s">
        <v>800</v>
      </c>
      <c r="B92" s="243">
        <f>ROUND(N('Prior Year'!CB85), 0)</f>
        <v>401785</v>
      </c>
      <c r="C92" s="243">
        <f>data!CB85</f>
        <v>39225.07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 x14ac:dyDescent="0.25">
      <c r="A93" s="1" t="s">
        <v>801</v>
      </c>
      <c r="B93" s="243">
        <f>ROUND(N('Prior Year'!CC85), 0)</f>
        <v>4282830</v>
      </c>
      <c r="C93" s="243">
        <f>data!CC85</f>
        <v>4227967.13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 x14ac:dyDescent="0.25">
      <c r="A94" s="1" t="s">
        <v>802</v>
      </c>
      <c r="B94" s="243">
        <f>ROUND(N('Prior Year'!CD85), 0)</f>
        <v>11375579</v>
      </c>
      <c r="C94" s="243">
        <f>data!CD85</f>
        <v>8531904.6400000006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G69"/>
  <sheetViews>
    <sheetView workbookViewId="0">
      <selection activeCell="I62" sqref="I62"/>
    </sheetView>
  </sheetViews>
  <sheetFormatPr defaultRowHeight="15" x14ac:dyDescent="0.2"/>
  <sheetData>
    <row r="1" spans="1:4" ht="15.75" x14ac:dyDescent="0.25">
      <c r="A1" s="297" t="s">
        <v>803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804</v>
      </c>
      <c r="B3" s="296"/>
      <c r="C3" s="296"/>
      <c r="D3" s="296"/>
    </row>
    <row r="4" spans="1:4" ht="15.75" x14ac:dyDescent="0.25">
      <c r="A4" s="296" t="s">
        <v>805</v>
      </c>
      <c r="B4" s="296"/>
      <c r="C4" s="296"/>
      <c r="D4" s="296"/>
    </row>
    <row r="5" spans="1:4" ht="15.75" x14ac:dyDescent="0.25">
      <c r="A5" s="296" t="s">
        <v>806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807</v>
      </c>
      <c r="B7" s="296"/>
      <c r="C7" s="296"/>
      <c r="D7" s="296"/>
    </row>
    <row r="8" spans="1:4" ht="15.75" x14ac:dyDescent="0.25">
      <c r="A8" s="296" t="s">
        <v>808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809</v>
      </c>
      <c r="B11" s="296"/>
      <c r="C11" s="296"/>
      <c r="D11" s="296">
        <f>N(data!C380)</f>
        <v>1237316.75</v>
      </c>
    </row>
    <row r="12" spans="1:4" ht="15.75" x14ac:dyDescent="0.2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811</v>
      </c>
      <c r="B14" s="296"/>
      <c r="C14" s="296"/>
      <c r="D14" s="298" t="s">
        <v>812</v>
      </c>
    </row>
    <row r="15" spans="1:4" ht="15.75" x14ac:dyDescent="0.25">
      <c r="A15" s="296" t="s">
        <v>1361</v>
      </c>
      <c r="B15" s="296"/>
      <c r="C15" s="296"/>
      <c r="D15" s="296">
        <v>720</v>
      </c>
    </row>
    <row r="16" spans="1:4" ht="15.75" x14ac:dyDescent="0.25">
      <c r="A16" s="296" t="s">
        <v>1362</v>
      </c>
      <c r="B16" s="296"/>
      <c r="C16" s="296"/>
      <c r="D16" s="296">
        <v>68815</v>
      </c>
    </row>
    <row r="17" spans="1:4" ht="15.75" x14ac:dyDescent="0.25">
      <c r="A17" s="296" t="s">
        <v>1363</v>
      </c>
      <c r="B17" s="296"/>
      <c r="D17" s="296">
        <v>53041.65</v>
      </c>
    </row>
    <row r="18" spans="1:4" ht="15.75" x14ac:dyDescent="0.25">
      <c r="A18" s="296" t="s">
        <v>1364</v>
      </c>
      <c r="B18" s="296"/>
      <c r="C18" s="296"/>
      <c r="D18" s="296">
        <v>334003.23</v>
      </c>
    </row>
    <row r="19" spans="1:4" ht="15.75" x14ac:dyDescent="0.25">
      <c r="A19" s="296" t="s">
        <v>1365</v>
      </c>
      <c r="B19" s="296"/>
      <c r="C19" s="296"/>
      <c r="D19" s="296">
        <v>202170</v>
      </c>
    </row>
    <row r="20" spans="1:4" ht="15.75" x14ac:dyDescent="0.25">
      <c r="A20" s="296" t="s">
        <v>1366</v>
      </c>
      <c r="B20" s="296"/>
      <c r="C20" s="296"/>
      <c r="D20" s="296">
        <v>493613</v>
      </c>
    </row>
    <row r="21" spans="1:4" ht="15.75" x14ac:dyDescent="0.25">
      <c r="A21" s="296" t="s">
        <v>1367</v>
      </c>
      <c r="B21" s="296"/>
      <c r="C21" s="296"/>
      <c r="D21" s="296">
        <v>11783</v>
      </c>
    </row>
    <row r="22" spans="1:4" ht="15.75" x14ac:dyDescent="0.25">
      <c r="A22" s="296" t="s">
        <v>1368</v>
      </c>
      <c r="B22" s="296"/>
      <c r="C22" s="296"/>
      <c r="D22" s="296">
        <v>66203.3</v>
      </c>
    </row>
    <row r="23" spans="1:4" ht="15.75" x14ac:dyDescent="0.25">
      <c r="A23" s="296" t="s">
        <v>1369</v>
      </c>
      <c r="B23" s="296"/>
      <c r="C23" s="296"/>
      <c r="D23" s="344">
        <v>6967.45</v>
      </c>
    </row>
    <row r="24" spans="1:4" ht="15.75" x14ac:dyDescent="0.25">
      <c r="A24" s="296"/>
      <c r="B24" s="296"/>
      <c r="C24" s="296"/>
      <c r="D24" s="296">
        <f>SUM(D15:D23)</f>
        <v>1237316.6299999999</v>
      </c>
    </row>
    <row r="25" spans="1:4" ht="15.75" x14ac:dyDescent="0.25">
      <c r="A25" s="296"/>
      <c r="B25" s="296"/>
      <c r="C25" s="296"/>
      <c r="D25" s="296"/>
    </row>
    <row r="26" spans="1:4" ht="15.75" x14ac:dyDescent="0.25">
      <c r="A26" s="296"/>
      <c r="B26" s="296"/>
      <c r="C26" s="296"/>
      <c r="D26" s="296"/>
    </row>
    <row r="27" spans="1:4" ht="15.75" x14ac:dyDescent="0.25">
      <c r="A27" s="296"/>
      <c r="B27" s="296"/>
      <c r="C27" s="296"/>
      <c r="D27" s="296"/>
    </row>
    <row r="28" spans="1:4" ht="15.75" x14ac:dyDescent="0.25">
      <c r="A28" s="296"/>
      <c r="B28" s="296"/>
      <c r="C28" s="296"/>
      <c r="D28" s="296"/>
    </row>
    <row r="29" spans="1:4" ht="15.75" x14ac:dyDescent="0.25">
      <c r="A29" s="296"/>
      <c r="B29" s="296"/>
      <c r="C29" s="296"/>
      <c r="D29" s="296"/>
    </row>
    <row r="30" spans="1:4" ht="15.75" x14ac:dyDescent="0.25">
      <c r="A30" s="296"/>
      <c r="B30" s="296"/>
      <c r="C30" s="296"/>
      <c r="D30" s="296"/>
    </row>
    <row r="31" spans="1:4" ht="15.75" x14ac:dyDescent="0.25">
      <c r="A31" s="296"/>
      <c r="B31" s="296"/>
      <c r="C31" s="296"/>
      <c r="D31" s="296"/>
    </row>
    <row r="32" spans="1:4" ht="15.75" x14ac:dyDescent="0.25">
      <c r="A32" s="298" t="s">
        <v>813</v>
      </c>
      <c r="B32" s="296"/>
      <c r="C32" s="296"/>
      <c r="D32" s="296">
        <f>N(data!C414)</f>
        <v>974607</v>
      </c>
    </row>
    <row r="33" spans="1:4" ht="15.75" x14ac:dyDescent="0.25">
      <c r="A33" s="298" t="s">
        <v>810</v>
      </c>
      <c r="B33" s="296"/>
      <c r="C33" s="296"/>
      <c r="D33" s="296" t="str">
        <f>IF(OR(N(data!C414)&gt;1000000,N(data!C414)/(N(data!D416))&gt;0.01),"Yes","No")</f>
        <v>No</v>
      </c>
    </row>
    <row r="34" spans="1:4" ht="15.75" x14ac:dyDescent="0.25">
      <c r="A34" s="296"/>
      <c r="B34" s="296"/>
      <c r="C34" s="296"/>
      <c r="D34" s="296"/>
    </row>
    <row r="35" spans="1:4" ht="15.75" x14ac:dyDescent="0.25">
      <c r="A35" s="298" t="s">
        <v>811</v>
      </c>
      <c r="B35" s="296"/>
      <c r="C35" s="296"/>
      <c r="D35" s="298" t="s">
        <v>812</v>
      </c>
    </row>
    <row r="36" spans="1:4" ht="15.75" x14ac:dyDescent="0.25">
      <c r="A36" s="296" t="s">
        <v>814</v>
      </c>
      <c r="B36" s="296"/>
      <c r="C36" s="296"/>
      <c r="D36" s="296"/>
    </row>
    <row r="37" spans="1:4" ht="15.75" x14ac:dyDescent="0.25">
      <c r="A37" s="296" t="s">
        <v>814</v>
      </c>
      <c r="B37" s="296"/>
      <c r="C37" s="296"/>
      <c r="D37" s="296"/>
    </row>
    <row r="38" spans="1:4" ht="15.75" x14ac:dyDescent="0.25">
      <c r="A38" s="296" t="s">
        <v>814</v>
      </c>
      <c r="B38" s="296"/>
      <c r="C38" s="296"/>
      <c r="D38" s="296"/>
    </row>
    <row r="39" spans="1:4" ht="15.75" x14ac:dyDescent="0.25">
      <c r="A39" s="296" t="s">
        <v>814</v>
      </c>
      <c r="B39" s="296"/>
      <c r="C39" s="296"/>
      <c r="D39" s="296"/>
    </row>
    <row r="40" spans="1:4" ht="15.75" x14ac:dyDescent="0.25">
      <c r="A40" s="296" t="s">
        <v>814</v>
      </c>
      <c r="B40" s="296"/>
      <c r="C40" s="296"/>
      <c r="D40" s="296"/>
    </row>
    <row r="41" spans="1:4" ht="15.75" x14ac:dyDescent="0.25">
      <c r="A41" s="296" t="s">
        <v>814</v>
      </c>
      <c r="B41" s="296"/>
      <c r="C41" s="296"/>
      <c r="D41" s="296"/>
    </row>
    <row r="42" spans="1:4" ht="15.75" x14ac:dyDescent="0.25">
      <c r="A42" s="296" t="s">
        <v>814</v>
      </c>
      <c r="B42" s="296"/>
      <c r="C42" s="296"/>
      <c r="D42" s="296"/>
    </row>
    <row r="43" spans="1:4" ht="15.75" x14ac:dyDescent="0.25">
      <c r="A43" s="296"/>
      <c r="B43" s="296"/>
      <c r="C43" s="296"/>
      <c r="D43" s="296"/>
    </row>
    <row r="69" spans="1:7" x14ac:dyDescent="0.2">
      <c r="A69" s="355"/>
      <c r="B69" s="355"/>
      <c r="C69" s="355"/>
      <c r="D69" s="355"/>
      <c r="E69" s="355"/>
      <c r="F69" s="355"/>
      <c r="G69" s="35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69"/>
  <sheetViews>
    <sheetView workbookViewId="0">
      <selection activeCell="I62" sqref="I6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815</v>
      </c>
    </row>
    <row r="2" spans="1:7" ht="20.100000000000001" customHeight="1" x14ac:dyDescent="0.25">
      <c r="A2" s="71" t="s">
        <v>816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H-39</v>
      </c>
      <c r="G4" s="76"/>
    </row>
    <row r="5" spans="1:7" ht="20.100000000000001" customHeight="1" x14ac:dyDescent="0.25">
      <c r="A5" s="72">
        <v>2</v>
      </c>
      <c r="B5" s="73" t="s">
        <v>299</v>
      </c>
      <c r="C5" s="76"/>
      <c r="D5" s="73" t="str">
        <f>"  "&amp;data!C98</f>
        <v xml:space="preserve">  RCCH Trios Health LLC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304</v>
      </c>
      <c r="C6" s="76"/>
      <c r="D6" s="73" t="str">
        <f>"  "&amp;data!C103</f>
        <v xml:space="preserve">  Benton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817</v>
      </c>
      <c r="C7" s="76"/>
      <c r="D7" s="73" t="str">
        <f>"  "&amp;data!C104</f>
        <v xml:space="preserve">  David Elgarico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818</v>
      </c>
      <c r="C8" s="76"/>
      <c r="D8" s="73" t="str">
        <f>"  "&amp;data!C105</f>
        <v xml:space="preserve">  Charlie Pearce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819</v>
      </c>
      <c r="C9" s="76"/>
      <c r="D9" s="73" t="str">
        <f>"  "&amp;data!C106</f>
        <v xml:space="preserve">  Dr. Randall Fong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820</v>
      </c>
      <c r="C10" s="76"/>
      <c r="D10" s="73" t="str">
        <f>"  "&amp;data!C107</f>
        <v xml:space="preserve">  509-221-7000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821</v>
      </c>
      <c r="C11" s="76"/>
      <c r="D11" s="73" t="str">
        <f>"  "&amp;data!C108</f>
        <v xml:space="preserve">  509-221-5892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822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823</v>
      </c>
      <c r="E16" s="244" t="str">
        <f>IF(data!C120&gt;0," X","")</f>
        <v/>
      </c>
      <c r="F16" s="90" t="s">
        <v>318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00000000000001" customHeight="1" x14ac:dyDescent="0.25">
      <c r="A18" s="72"/>
      <c r="B18" s="76" t="s">
        <v>824</v>
      </c>
      <c r="C18" s="76"/>
      <c r="D18" s="76"/>
      <c r="E18" s="244" t="str">
        <f>IF(data!C122&gt;0," X","")</f>
        <v xml:space="preserve"> X</v>
      </c>
      <c r="F18" s="90" t="s">
        <v>320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825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826</v>
      </c>
      <c r="C22" s="73"/>
      <c r="D22" s="73"/>
      <c r="E22" s="73"/>
      <c r="F22" s="87" t="s">
        <v>323</v>
      </c>
      <c r="G22" s="88" t="s">
        <v>242</v>
      </c>
    </row>
    <row r="23" spans="1:7" ht="20.100000000000001" customHeight="1" x14ac:dyDescent="0.25">
      <c r="A23" s="72"/>
      <c r="B23" s="73" t="s">
        <v>827</v>
      </c>
      <c r="C23" s="73"/>
      <c r="D23" s="73"/>
      <c r="E23" s="73"/>
      <c r="F23" s="72">
        <f>data!C127</f>
        <v>6248</v>
      </c>
      <c r="G23" s="76">
        <f>data!D127</f>
        <v>19152</v>
      </c>
    </row>
    <row r="24" spans="1:7" ht="20.100000000000001" customHeight="1" x14ac:dyDescent="0.25">
      <c r="A24" s="72"/>
      <c r="B24" s="73" t="s">
        <v>828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829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327</v>
      </c>
      <c r="C26" s="73"/>
      <c r="D26" s="73"/>
      <c r="E26" s="73"/>
      <c r="F26" s="72">
        <f>data!C130</f>
        <v>1448</v>
      </c>
      <c r="G26" s="76">
        <f>data!D130</f>
        <v>2087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830</v>
      </c>
      <c r="C29" s="76"/>
      <c r="D29" s="88" t="s">
        <v>194</v>
      </c>
      <c r="E29" s="92" t="s">
        <v>830</v>
      </c>
      <c r="F29" s="76"/>
      <c r="G29" s="88" t="s">
        <v>194</v>
      </c>
    </row>
    <row r="30" spans="1:7" ht="20.100000000000001" customHeight="1" x14ac:dyDescent="0.25">
      <c r="A30" s="72"/>
      <c r="B30" s="73" t="s">
        <v>329</v>
      </c>
      <c r="C30" s="76"/>
      <c r="D30" s="76">
        <f>data!C132</f>
        <v>14</v>
      </c>
      <c r="E30" s="73" t="s">
        <v>335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831</v>
      </c>
      <c r="C31" s="76"/>
      <c r="D31" s="76">
        <f>data!C133</f>
        <v>16</v>
      </c>
      <c r="E31" s="73" t="s">
        <v>336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832</v>
      </c>
      <c r="C32" s="76"/>
      <c r="D32" s="76">
        <f>data!C134</f>
        <v>54</v>
      </c>
      <c r="E32" s="73" t="s">
        <v>833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834</v>
      </c>
      <c r="C33" s="76"/>
      <c r="D33" s="76">
        <f>data!C135</f>
        <v>0</v>
      </c>
      <c r="E33" s="73" t="s">
        <v>835</v>
      </c>
      <c r="F33" s="76"/>
      <c r="G33" s="76">
        <f>data!C142</f>
        <v>10</v>
      </c>
    </row>
    <row r="34" spans="1:7" ht="20.100000000000001" customHeight="1" x14ac:dyDescent="0.25">
      <c r="A34" s="72"/>
      <c r="B34" s="92" t="s">
        <v>836</v>
      </c>
      <c r="C34" s="76"/>
      <c r="D34" s="76">
        <f>data!C136</f>
        <v>17</v>
      </c>
      <c r="E34" s="73" t="s">
        <v>338</v>
      </c>
      <c r="F34" s="76"/>
      <c r="G34" s="76">
        <f>data!E143</f>
        <v>111</v>
      </c>
    </row>
    <row r="35" spans="1:7" ht="20.100000000000001" customHeight="1" x14ac:dyDescent="0.25">
      <c r="A35" s="72"/>
      <c r="B35" s="92" t="s">
        <v>837</v>
      </c>
      <c r="C35" s="76"/>
      <c r="D35" s="76">
        <f>data!C137</f>
        <v>0</v>
      </c>
      <c r="E35" s="73" t="s">
        <v>838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111</v>
      </c>
    </row>
    <row r="37" spans="1:7" ht="20.100000000000001" customHeight="1" x14ac:dyDescent="0.25">
      <c r="A37" s="72"/>
      <c r="E37" s="73" t="s">
        <v>340</v>
      </c>
      <c r="F37" s="76"/>
      <c r="G37" s="76">
        <f>data!C145</f>
        <v>10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839</v>
      </c>
      <c r="C40" s="100" t="s">
        <v>298</v>
      </c>
      <c r="D40" s="81">
        <f>data!C147</f>
        <v>0</v>
      </c>
      <c r="E40" s="101"/>
      <c r="F40" s="101"/>
      <c r="G40" s="102"/>
    </row>
    <row r="69" spans="1:7" ht="18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69"/>
  <sheetViews>
    <sheetView zoomScaleNormal="100" workbookViewId="0">
      <selection activeCell="I62" sqref="I62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840</v>
      </c>
      <c r="G1" s="70" t="s">
        <v>841</v>
      </c>
    </row>
    <row r="2" spans="1:7" ht="20.100000000000001" customHeight="1" x14ac:dyDescent="0.25">
      <c r="A2" s="1" t="str">
        <f>"Hospital: "&amp;data!C98</f>
        <v>Hospital: RCCH Trios Health LLC</v>
      </c>
      <c r="G2" s="4" t="s">
        <v>842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130" t="s">
        <v>843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844</v>
      </c>
      <c r="C5" s="83"/>
      <c r="D5" s="83"/>
      <c r="E5" s="134" t="s">
        <v>350</v>
      </c>
      <c r="F5" s="83"/>
      <c r="G5" s="83"/>
    </row>
    <row r="6" spans="1:7" ht="20.100000000000001" customHeight="1" x14ac:dyDescent="0.25">
      <c r="A6" s="135" t="s">
        <v>845</v>
      </c>
      <c r="B6" s="88" t="s">
        <v>323</v>
      </c>
      <c r="C6" s="88" t="s">
        <v>846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344</v>
      </c>
      <c r="B7" s="136">
        <f>data!B154</f>
        <v>2111</v>
      </c>
      <c r="C7" s="136">
        <f>data!B155</f>
        <v>9680</v>
      </c>
      <c r="D7" s="136">
        <f>data!B156</f>
        <v>27887</v>
      </c>
      <c r="E7" s="136">
        <f>data!B157</f>
        <v>124434351</v>
      </c>
      <c r="F7" s="136">
        <f>data!B158</f>
        <v>161856152</v>
      </c>
      <c r="G7" s="136">
        <f>data!B157+data!B158</f>
        <v>286290503</v>
      </c>
    </row>
    <row r="8" spans="1:7" ht="20.100000000000001" customHeight="1" x14ac:dyDescent="0.25">
      <c r="A8" s="72" t="s">
        <v>345</v>
      </c>
      <c r="B8" s="136">
        <f>data!C154</f>
        <v>2278</v>
      </c>
      <c r="C8" s="136">
        <f>data!C155</f>
        <v>5331</v>
      </c>
      <c r="D8" s="136">
        <f>data!C156</f>
        <v>25225</v>
      </c>
      <c r="E8" s="136">
        <f>data!C157</f>
        <v>59261674</v>
      </c>
      <c r="F8" s="136">
        <f>data!C158</f>
        <v>96019253</v>
      </c>
      <c r="G8" s="136">
        <f>data!C157+data!C158</f>
        <v>155280927</v>
      </c>
    </row>
    <row r="9" spans="1:7" ht="20.100000000000001" customHeight="1" x14ac:dyDescent="0.25">
      <c r="A9" s="72" t="s">
        <v>847</v>
      </c>
      <c r="B9" s="136">
        <f>data!D154</f>
        <v>1859</v>
      </c>
      <c r="C9" s="136">
        <f>data!D155</f>
        <v>4141</v>
      </c>
      <c r="D9" s="136">
        <f>data!D156</f>
        <v>30165</v>
      </c>
      <c r="E9" s="136">
        <f>data!D157</f>
        <v>58573021</v>
      </c>
      <c r="F9" s="136">
        <f>data!D158</f>
        <v>139256399</v>
      </c>
      <c r="G9" s="136">
        <f>data!D157+data!D158</f>
        <v>197829420</v>
      </c>
    </row>
    <row r="10" spans="1:7" ht="20.100000000000001" customHeight="1" x14ac:dyDescent="0.25">
      <c r="A10" s="87" t="s">
        <v>230</v>
      </c>
      <c r="B10" s="136">
        <f>data!E154</f>
        <v>6248</v>
      </c>
      <c r="C10" s="136">
        <f>data!E155</f>
        <v>19152</v>
      </c>
      <c r="D10" s="136">
        <f>data!E156</f>
        <v>83277</v>
      </c>
      <c r="E10" s="136">
        <f>data!E157</f>
        <v>242269046</v>
      </c>
      <c r="F10" s="136">
        <f>data!E158</f>
        <v>397131804</v>
      </c>
      <c r="G10" s="136">
        <f>E10+F10</f>
        <v>639400850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848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844</v>
      </c>
      <c r="C14" s="142"/>
      <c r="D14" s="142"/>
      <c r="E14" s="142" t="s">
        <v>350</v>
      </c>
      <c r="F14" s="142"/>
      <c r="G14" s="142"/>
    </row>
    <row r="15" spans="1:7" ht="20.100000000000001" customHeight="1" x14ac:dyDescent="0.25">
      <c r="A15" s="135" t="s">
        <v>845</v>
      </c>
      <c r="B15" s="88" t="s">
        <v>323</v>
      </c>
      <c r="C15" s="88" t="s">
        <v>846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344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847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849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844</v>
      </c>
      <c r="C23" s="83"/>
      <c r="D23" s="83"/>
      <c r="E23" s="83" t="s">
        <v>350</v>
      </c>
      <c r="F23" s="83"/>
      <c r="G23" s="83"/>
    </row>
    <row r="24" spans="1:7" ht="20.100000000000001" customHeight="1" x14ac:dyDescent="0.25">
      <c r="A24" s="135" t="s">
        <v>845</v>
      </c>
      <c r="B24" s="88" t="s">
        <v>323</v>
      </c>
      <c r="C24" s="88" t="s">
        <v>846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847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850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851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852</v>
      </c>
      <c r="C33" s="144">
        <f>data!C173</f>
        <v>0</v>
      </c>
      <c r="D33" s="144"/>
      <c r="E33" s="144"/>
      <c r="F33" s="144"/>
      <c r="G33" s="81"/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G69"/>
  <sheetViews>
    <sheetView topLeftCell="A22" workbookViewId="0">
      <selection activeCell="I62" sqref="I6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353</v>
      </c>
      <c r="B1" s="71"/>
      <c r="C1" s="70" t="s">
        <v>853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RCCH Trios Health LLC</v>
      </c>
      <c r="B3" s="78"/>
      <c r="C3" s="151" t="str">
        <f>"FYE: "&amp;data!C96</f>
        <v>FYE: 12/31/2023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354</v>
      </c>
      <c r="C5" s="132"/>
    </row>
    <row r="6" spans="1:3" ht="20.100000000000001" customHeight="1" x14ac:dyDescent="0.25">
      <c r="A6" s="152">
        <v>2</v>
      </c>
      <c r="B6" s="73" t="s">
        <v>854</v>
      </c>
      <c r="C6" s="72">
        <f>data!C181</f>
        <v>4976864</v>
      </c>
    </row>
    <row r="7" spans="1:3" ht="20.100000000000001" customHeight="1" x14ac:dyDescent="0.25">
      <c r="A7" s="153">
        <v>3</v>
      </c>
      <c r="B7" s="92" t="s">
        <v>356</v>
      </c>
      <c r="C7" s="72">
        <f>data!C182</f>
        <v>530757</v>
      </c>
    </row>
    <row r="8" spans="1:3" ht="20.100000000000001" customHeight="1" x14ac:dyDescent="0.25">
      <c r="A8" s="153">
        <v>4</v>
      </c>
      <c r="B8" s="73" t="s">
        <v>357</v>
      </c>
      <c r="C8" s="72">
        <f>data!C183</f>
        <v>1317982</v>
      </c>
    </row>
    <row r="9" spans="1:3" ht="20.100000000000001" customHeight="1" x14ac:dyDescent="0.25">
      <c r="A9" s="153">
        <v>5</v>
      </c>
      <c r="B9" s="73" t="s">
        <v>358</v>
      </c>
      <c r="C9" s="72">
        <f>data!C184</f>
        <v>5420055</v>
      </c>
    </row>
    <row r="10" spans="1:3" ht="20.100000000000001" customHeight="1" x14ac:dyDescent="0.25">
      <c r="A10" s="153">
        <v>6</v>
      </c>
      <c r="B10" s="73" t="s">
        <v>359</v>
      </c>
      <c r="C10" s="72">
        <f>data!C185</f>
        <v>240701</v>
      </c>
    </row>
    <row r="11" spans="1:3" ht="20.100000000000001" customHeight="1" x14ac:dyDescent="0.25">
      <c r="A11" s="153">
        <v>7</v>
      </c>
      <c r="B11" s="73" t="s">
        <v>360</v>
      </c>
      <c r="C11" s="72">
        <f>data!C186</f>
        <v>1557188</v>
      </c>
    </row>
    <row r="12" spans="1:3" ht="20.100000000000001" customHeight="1" x14ac:dyDescent="0.25">
      <c r="A12" s="153">
        <v>8</v>
      </c>
      <c r="B12" s="73" t="s">
        <v>361</v>
      </c>
      <c r="C12" s="72">
        <f>data!C187</f>
        <v>8453</v>
      </c>
    </row>
    <row r="13" spans="1:3" ht="20.100000000000001" customHeight="1" x14ac:dyDescent="0.25">
      <c r="A13" s="153">
        <v>9</v>
      </c>
      <c r="B13" s="73" t="s">
        <v>361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855</v>
      </c>
      <c r="C14" s="72">
        <f>data!D189</f>
        <v>14052000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362</v>
      </c>
      <c r="C17" s="86"/>
    </row>
    <row r="18" spans="1:3" ht="20.100000000000001" customHeight="1" x14ac:dyDescent="0.25">
      <c r="A18" s="72">
        <v>12</v>
      </c>
      <c r="B18" s="73" t="s">
        <v>856</v>
      </c>
      <c r="C18" s="72">
        <f>data!C191</f>
        <v>305911</v>
      </c>
    </row>
    <row r="19" spans="1:3" ht="20.100000000000001" customHeight="1" x14ac:dyDescent="0.25">
      <c r="A19" s="72">
        <v>13</v>
      </c>
      <c r="B19" s="73" t="s">
        <v>857</v>
      </c>
      <c r="C19" s="72">
        <f>data!C192</f>
        <v>33587</v>
      </c>
    </row>
    <row r="20" spans="1:3" ht="20.100000000000001" customHeight="1" x14ac:dyDescent="0.25">
      <c r="A20" s="72">
        <v>14</v>
      </c>
      <c r="B20" s="73" t="s">
        <v>858</v>
      </c>
      <c r="C20" s="72">
        <f>data!D193</f>
        <v>339498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365</v>
      </c>
      <c r="C23" s="132"/>
    </row>
    <row r="24" spans="1:3" ht="20.100000000000001" customHeight="1" x14ac:dyDescent="0.25">
      <c r="A24" s="72">
        <v>16</v>
      </c>
      <c r="B24" s="84" t="s">
        <v>859</v>
      </c>
      <c r="C24" s="157"/>
    </row>
    <row r="25" spans="1:3" ht="20.100000000000001" customHeight="1" x14ac:dyDescent="0.25">
      <c r="A25" s="72">
        <v>17</v>
      </c>
      <c r="B25" s="73" t="s">
        <v>860</v>
      </c>
      <c r="C25" s="72">
        <f>data!C195</f>
        <v>1031588</v>
      </c>
    </row>
    <row r="26" spans="1:3" ht="20.100000000000001" customHeight="1" x14ac:dyDescent="0.25">
      <c r="A26" s="72">
        <v>18</v>
      </c>
      <c r="B26" s="73" t="s">
        <v>367</v>
      </c>
      <c r="C26" s="72">
        <f>data!C196</f>
        <v>345503</v>
      </c>
    </row>
    <row r="27" spans="1:3" ht="20.100000000000001" customHeight="1" x14ac:dyDescent="0.25">
      <c r="A27" s="72">
        <v>19</v>
      </c>
      <c r="B27" s="73" t="s">
        <v>861</v>
      </c>
      <c r="C27" s="72">
        <f>data!D197</f>
        <v>1377091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862</v>
      </c>
      <c r="C30" s="142"/>
    </row>
    <row r="31" spans="1:3" ht="20.100000000000001" customHeight="1" x14ac:dyDescent="0.25">
      <c r="A31" s="72">
        <v>21</v>
      </c>
      <c r="B31" s="73" t="s">
        <v>369</v>
      </c>
      <c r="C31" s="72">
        <f>data!C199</f>
        <v>1021975</v>
      </c>
    </row>
    <row r="32" spans="1:3" ht="20.100000000000001" customHeight="1" x14ac:dyDescent="0.25">
      <c r="A32" s="72">
        <v>22</v>
      </c>
      <c r="B32" s="73" t="s">
        <v>863</v>
      </c>
      <c r="C32" s="72">
        <f>data!C200</f>
        <v>6047151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864</v>
      </c>
      <c r="C34" s="72">
        <f>data!D202</f>
        <v>7069126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371</v>
      </c>
      <c r="C37" s="132"/>
    </row>
    <row r="38" spans="1:3" ht="20.100000000000001" customHeight="1" x14ac:dyDescent="0.25">
      <c r="A38" s="72">
        <v>26</v>
      </c>
      <c r="B38" s="73" t="s">
        <v>865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373</v>
      </c>
      <c r="C39" s="72">
        <f>data!C205</f>
        <v>3299828</v>
      </c>
    </row>
    <row r="40" spans="1:3" ht="20.100000000000001" customHeight="1" x14ac:dyDescent="0.25">
      <c r="A40" s="72">
        <v>28</v>
      </c>
      <c r="B40" s="73" t="s">
        <v>866</v>
      </c>
      <c r="C40" s="72">
        <f>data!D206</f>
        <v>3299828</v>
      </c>
    </row>
    <row r="41" spans="1:3" x14ac:dyDescent="0.25">
      <c r="A41" s="78"/>
      <c r="B41" s="78"/>
      <c r="C41" s="78"/>
    </row>
    <row r="69" spans="1:7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G69"/>
  <sheetViews>
    <sheetView topLeftCell="A10" workbookViewId="0">
      <selection activeCell="I62" sqref="I6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374</v>
      </c>
      <c r="B1" s="71"/>
      <c r="C1" s="71"/>
      <c r="D1" s="71"/>
      <c r="E1" s="71"/>
      <c r="F1" s="70" t="s">
        <v>867</v>
      </c>
    </row>
    <row r="3" spans="1:6" ht="20.100000000000001" customHeight="1" x14ac:dyDescent="0.25">
      <c r="A3" s="129" t="str">
        <f>"Hospital: "&amp;data!C98</f>
        <v>Hospital: RCCH Trios Health LLC</v>
      </c>
      <c r="F3" s="151" t="str">
        <f>"FYE: "&amp;data!C96</f>
        <v>FYE: 12/31/2023</v>
      </c>
    </row>
    <row r="4" spans="1:6" ht="20.100000000000001" customHeight="1" x14ac:dyDescent="0.25">
      <c r="A4" s="157" t="s">
        <v>375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868</v>
      </c>
      <c r="D5" s="160"/>
      <c r="E5" s="160"/>
      <c r="F5" s="160" t="s">
        <v>869</v>
      </c>
    </row>
    <row r="6" spans="1:6" ht="20.100000000000001" customHeight="1" x14ac:dyDescent="0.25">
      <c r="A6" s="161"/>
      <c r="B6" s="79"/>
      <c r="C6" s="162" t="s">
        <v>870</v>
      </c>
      <c r="D6" s="162" t="s">
        <v>377</v>
      </c>
      <c r="E6" s="162" t="s">
        <v>871</v>
      </c>
      <c r="F6" s="162" t="s">
        <v>870</v>
      </c>
    </row>
    <row r="7" spans="1:6" ht="20.100000000000001" customHeight="1" x14ac:dyDescent="0.25">
      <c r="A7" s="72">
        <v>1</v>
      </c>
      <c r="B7" s="76" t="s">
        <v>380</v>
      </c>
      <c r="C7" s="76">
        <f>data!B211</f>
        <v>11731163</v>
      </c>
      <c r="D7" s="76">
        <f>data!C211</f>
        <v>0</v>
      </c>
      <c r="E7" s="76">
        <f>data!D211</f>
        <v>270000</v>
      </c>
      <c r="F7" s="76">
        <f>data!E211</f>
        <v>11461163</v>
      </c>
    </row>
    <row r="8" spans="1:6" ht="20.100000000000001" customHeight="1" x14ac:dyDescent="0.25">
      <c r="A8" s="72">
        <v>2</v>
      </c>
      <c r="B8" s="76" t="s">
        <v>381</v>
      </c>
      <c r="C8" s="76">
        <f>data!B212</f>
        <v>416308</v>
      </c>
      <c r="D8" s="76">
        <f>data!C212</f>
        <v>0</v>
      </c>
      <c r="E8" s="76">
        <f>data!D212</f>
        <v>0</v>
      </c>
      <c r="F8" s="76">
        <f>data!E212</f>
        <v>416308</v>
      </c>
    </row>
    <row r="9" spans="1:6" ht="20.100000000000001" customHeight="1" x14ac:dyDescent="0.25">
      <c r="A9" s="72">
        <v>3</v>
      </c>
      <c r="B9" s="76" t="s">
        <v>382</v>
      </c>
      <c r="C9" s="76">
        <f>data!B213</f>
        <v>16404711</v>
      </c>
      <c r="D9" s="76">
        <f>data!C213</f>
        <v>1687</v>
      </c>
      <c r="E9" s="76">
        <f>data!D213</f>
        <v>0</v>
      </c>
      <c r="F9" s="76">
        <f>data!E213</f>
        <v>16406398</v>
      </c>
    </row>
    <row r="10" spans="1:6" ht="20.100000000000001" customHeight="1" x14ac:dyDescent="0.25">
      <c r="A10" s="72">
        <v>4</v>
      </c>
      <c r="B10" s="76" t="s">
        <v>872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873</v>
      </c>
      <c r="C11" s="76">
        <f>data!B215</f>
        <v>678037</v>
      </c>
      <c r="D11" s="76">
        <f>data!C215</f>
        <v>326019</v>
      </c>
      <c r="E11" s="76">
        <f>data!D215</f>
        <v>0</v>
      </c>
      <c r="F11" s="76">
        <f>data!E215</f>
        <v>1004056</v>
      </c>
    </row>
    <row r="12" spans="1:6" ht="20.100000000000001" customHeight="1" x14ac:dyDescent="0.25">
      <c r="A12" s="72">
        <v>6</v>
      </c>
      <c r="B12" s="76" t="s">
        <v>874</v>
      </c>
      <c r="C12" s="76">
        <f>data!B216</f>
        <v>21515686</v>
      </c>
      <c r="D12" s="76">
        <f>data!C216</f>
        <v>2747314</v>
      </c>
      <c r="E12" s="76">
        <f>data!D216</f>
        <v>1054303</v>
      </c>
      <c r="F12" s="76">
        <f>data!E216</f>
        <v>23208697</v>
      </c>
    </row>
    <row r="13" spans="1:6" ht="20.100000000000001" customHeight="1" x14ac:dyDescent="0.25">
      <c r="A13" s="72">
        <v>7</v>
      </c>
      <c r="B13" s="76" t="s">
        <v>875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387</v>
      </c>
      <c r="C14" s="76">
        <f>data!B218</f>
        <v>28629497</v>
      </c>
      <c r="D14" s="76">
        <f>data!C218</f>
        <v>674284</v>
      </c>
      <c r="E14" s="76">
        <f>data!D218</f>
        <v>120341</v>
      </c>
      <c r="F14" s="76">
        <f>data!E218</f>
        <v>29183440</v>
      </c>
    </row>
    <row r="15" spans="1:6" ht="20.100000000000001" customHeight="1" x14ac:dyDescent="0.25">
      <c r="A15" s="72">
        <v>9</v>
      </c>
      <c r="B15" s="76" t="s">
        <v>876</v>
      </c>
      <c r="C15" s="76">
        <f>data!B219</f>
        <v>976698</v>
      </c>
      <c r="D15" s="76">
        <f>data!C219</f>
        <v>1611778</v>
      </c>
      <c r="E15" s="76">
        <f>data!D219</f>
        <v>2332074</v>
      </c>
      <c r="F15" s="76">
        <f>data!E219</f>
        <v>256402</v>
      </c>
    </row>
    <row r="16" spans="1:6" ht="20.100000000000001" customHeight="1" x14ac:dyDescent="0.25">
      <c r="A16" s="72">
        <v>10</v>
      </c>
      <c r="B16" s="76" t="s">
        <v>601</v>
      </c>
      <c r="C16" s="76">
        <f>data!B220</f>
        <v>80352100</v>
      </c>
      <c r="D16" s="76">
        <f>data!C220</f>
        <v>5361082</v>
      </c>
      <c r="E16" s="76">
        <f>data!D220</f>
        <v>3776718</v>
      </c>
      <c r="F16" s="76">
        <f>data!E220</f>
        <v>81936464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389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868</v>
      </c>
      <c r="D21" s="4" t="s">
        <v>230</v>
      </c>
      <c r="E21" s="162"/>
      <c r="F21" s="162" t="s">
        <v>869</v>
      </c>
    </row>
    <row r="22" spans="1:6" ht="20.100000000000001" customHeight="1" x14ac:dyDescent="0.25">
      <c r="A22" s="163"/>
      <c r="B22" s="155"/>
      <c r="C22" s="162" t="s">
        <v>870</v>
      </c>
      <c r="D22" s="162" t="s">
        <v>877</v>
      </c>
      <c r="E22" s="162" t="s">
        <v>871</v>
      </c>
      <c r="F22" s="162" t="s">
        <v>870</v>
      </c>
    </row>
    <row r="23" spans="1:6" ht="20.100000000000001" customHeight="1" x14ac:dyDescent="0.25">
      <c r="A23" s="72">
        <v>11</v>
      </c>
      <c r="B23" s="164" t="s">
        <v>380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381</v>
      </c>
      <c r="C24" s="76">
        <f>data!B225</f>
        <v>411459</v>
      </c>
      <c r="D24" s="76">
        <f>data!C225</f>
        <v>1293</v>
      </c>
      <c r="E24" s="76">
        <f>data!D225</f>
        <v>0</v>
      </c>
      <c r="F24" s="76">
        <f>data!E225</f>
        <v>412752</v>
      </c>
    </row>
    <row r="25" spans="1:6" ht="20.100000000000001" customHeight="1" x14ac:dyDescent="0.25">
      <c r="A25" s="72">
        <v>13</v>
      </c>
      <c r="B25" s="76" t="s">
        <v>382</v>
      </c>
      <c r="C25" s="76">
        <f>data!B226</f>
        <v>984596</v>
      </c>
      <c r="D25" s="76">
        <f>data!C226</f>
        <v>234589</v>
      </c>
      <c r="E25" s="76">
        <f>data!D226</f>
        <v>0</v>
      </c>
      <c r="F25" s="76">
        <f>data!E226</f>
        <v>1219185</v>
      </c>
    </row>
    <row r="26" spans="1:6" ht="20.100000000000001" customHeight="1" x14ac:dyDescent="0.25">
      <c r="A26" s="72">
        <v>14</v>
      </c>
      <c r="B26" s="76" t="s">
        <v>872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873</v>
      </c>
      <c r="C27" s="76">
        <f>data!B228</f>
        <v>0</v>
      </c>
      <c r="D27" s="76">
        <f>data!C228</f>
        <v>99109</v>
      </c>
      <c r="E27" s="76">
        <f>data!D228</f>
        <v>0</v>
      </c>
      <c r="F27" s="76">
        <f>data!E228</f>
        <v>99109</v>
      </c>
    </row>
    <row r="28" spans="1:6" ht="20.100000000000001" customHeight="1" x14ac:dyDescent="0.25">
      <c r="A28" s="72">
        <v>16</v>
      </c>
      <c r="B28" s="76" t="s">
        <v>874</v>
      </c>
      <c r="C28" s="76">
        <f>data!B229</f>
        <v>9868157</v>
      </c>
      <c r="D28" s="76">
        <f>data!C229</f>
        <v>3247772</v>
      </c>
      <c r="E28" s="76">
        <f>data!D229</f>
        <v>262588</v>
      </c>
      <c r="F28" s="76">
        <f>data!E229</f>
        <v>12853341</v>
      </c>
    </row>
    <row r="29" spans="1:6" ht="20.100000000000001" customHeight="1" x14ac:dyDescent="0.25">
      <c r="A29" s="72">
        <v>17</v>
      </c>
      <c r="B29" s="76" t="s">
        <v>875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387</v>
      </c>
      <c r="C30" s="76">
        <f>data!B231</f>
        <v>991787</v>
      </c>
      <c r="D30" s="76">
        <f>data!C231</f>
        <v>1336154</v>
      </c>
      <c r="E30" s="76">
        <f>data!D231</f>
        <v>14040</v>
      </c>
      <c r="F30" s="76">
        <f>data!E231</f>
        <v>2313901</v>
      </c>
    </row>
    <row r="31" spans="1:6" ht="20.100000000000001" customHeight="1" x14ac:dyDescent="0.25">
      <c r="A31" s="72">
        <v>19</v>
      </c>
      <c r="B31" s="76" t="s">
        <v>876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601</v>
      </c>
      <c r="C32" s="76">
        <f>data!B233</f>
        <v>12255999</v>
      </c>
      <c r="D32" s="76">
        <f>data!C233</f>
        <v>4918917</v>
      </c>
      <c r="E32" s="76">
        <f>data!D233</f>
        <v>276628</v>
      </c>
      <c r="F32" s="76">
        <f>data!E233</f>
        <v>16898288</v>
      </c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G69"/>
  <sheetViews>
    <sheetView topLeftCell="A7" workbookViewId="0">
      <selection activeCell="I62" sqref="I62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878</v>
      </c>
      <c r="B1" s="71"/>
      <c r="C1" s="71"/>
      <c r="D1" s="70" t="s">
        <v>879</v>
      </c>
    </row>
    <row r="2" spans="1:4" ht="20.100000000000001" customHeight="1" x14ac:dyDescent="0.25">
      <c r="A2" s="129" t="str">
        <f>"Hospital: "&amp;data!C98</f>
        <v>Hospital: RCCH Trios Health LLC</v>
      </c>
      <c r="B2" s="78"/>
      <c r="C2" s="78"/>
      <c r="D2" s="151" t="str">
        <f>"FYE: "&amp;data!C96</f>
        <v>FYE: 12/31/2023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880</v>
      </c>
      <c r="C4" s="165" t="s">
        <v>881</v>
      </c>
      <c r="D4" s="166"/>
    </row>
    <row r="5" spans="1:4" ht="20.100000000000001" customHeight="1" x14ac:dyDescent="0.25">
      <c r="A5" s="133">
        <v>1</v>
      </c>
      <c r="B5" s="167"/>
      <c r="C5" s="89" t="s">
        <v>391</v>
      </c>
      <c r="D5" s="76">
        <f>data!D237</f>
        <v>1089367</v>
      </c>
    </row>
    <row r="6" spans="1:4" ht="20.100000000000001" customHeight="1" x14ac:dyDescent="0.25">
      <c r="A6" s="72">
        <v>2</v>
      </c>
      <c r="B6" s="78"/>
      <c r="C6" s="151" t="s">
        <v>487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344</v>
      </c>
      <c r="D7" s="76">
        <f>data!C239</f>
        <v>241455725</v>
      </c>
    </row>
    <row r="8" spans="1:4" ht="20.100000000000001" customHeight="1" x14ac:dyDescent="0.25">
      <c r="A8" s="72">
        <v>4</v>
      </c>
      <c r="B8" s="167">
        <v>5820</v>
      </c>
      <c r="C8" s="76" t="s">
        <v>345</v>
      </c>
      <c r="D8" s="76">
        <f>data!C240</f>
        <v>117361566</v>
      </c>
    </row>
    <row r="9" spans="1:4" ht="20.100000000000001" customHeight="1" x14ac:dyDescent="0.25">
      <c r="A9" s="72">
        <v>5</v>
      </c>
      <c r="B9" s="167">
        <v>5830</v>
      </c>
      <c r="C9" s="76" t="s">
        <v>357</v>
      </c>
      <c r="D9" s="76">
        <f>data!C241</f>
        <v>6210665</v>
      </c>
    </row>
    <row r="10" spans="1:4" ht="20.100000000000001" customHeight="1" x14ac:dyDescent="0.25">
      <c r="A10" s="72">
        <v>6</v>
      </c>
      <c r="B10" s="167">
        <v>5840</v>
      </c>
      <c r="C10" s="76" t="s">
        <v>396</v>
      </c>
      <c r="D10" s="76">
        <f>data!C242</f>
        <v>8455522</v>
      </c>
    </row>
    <row r="11" spans="1:4" ht="20.100000000000001" customHeight="1" x14ac:dyDescent="0.25">
      <c r="A11" s="72">
        <v>7</v>
      </c>
      <c r="B11" s="167">
        <v>5850</v>
      </c>
      <c r="C11" s="76" t="s">
        <v>882</v>
      </c>
      <c r="D11" s="76">
        <f>data!C243</f>
        <v>95492157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00000000000001" customHeight="1" x14ac:dyDescent="0.25">
      <c r="A13" s="72">
        <v>9</v>
      </c>
      <c r="B13" s="76"/>
      <c r="C13" s="76" t="s">
        <v>883</v>
      </c>
      <c r="D13" s="76">
        <f>data!D245</f>
        <v>468975635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400</v>
      </c>
      <c r="D15" s="162"/>
    </row>
    <row r="16" spans="1:4" ht="20.100000000000001" customHeight="1" x14ac:dyDescent="0.25">
      <c r="A16" s="161">
        <v>12</v>
      </c>
      <c r="B16" s="88"/>
      <c r="C16" s="73" t="s">
        <v>884</v>
      </c>
      <c r="D16" s="72">
        <f>data!C247</f>
        <v>3600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402</v>
      </c>
      <c r="D18" s="76">
        <f>data!C249</f>
        <v>4905140</v>
      </c>
    </row>
    <row r="19" spans="1:4" ht="20.100000000000001" customHeight="1" x14ac:dyDescent="0.25">
      <c r="A19" s="170">
        <v>15</v>
      </c>
      <c r="B19" s="167">
        <v>5910</v>
      </c>
      <c r="C19" s="89" t="s">
        <v>885</v>
      </c>
      <c r="D19" s="76">
        <f>data!C250</f>
        <v>12113825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886</v>
      </c>
      <c r="D22" s="76">
        <f>data!D252</f>
        <v>17018965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406</v>
      </c>
      <c r="D24" s="76">
        <f>data!C254</f>
        <v>2414469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887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888</v>
      </c>
      <c r="C27" s="88"/>
      <c r="D27" s="76">
        <f>data!D256</f>
        <v>2414469</v>
      </c>
    </row>
    <row r="28" spans="1:4" ht="20.100000000000001" customHeight="1" x14ac:dyDescent="0.25">
      <c r="A28" s="81">
        <v>24</v>
      </c>
      <c r="B28" s="147" t="s">
        <v>889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  <row r="69" spans="1:7" ht="20.100000000000001" customHeight="1" x14ac:dyDescent="0.25">
      <c r="A69" s="346"/>
      <c r="B69" s="346"/>
      <c r="C69" s="346"/>
      <c r="D69" s="346"/>
      <c r="E69" s="346"/>
      <c r="F69" s="346"/>
      <c r="G69" s="34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2024-08-08T22:50:53Z</cp:lastPrinted>
  <dcterms:created xsi:type="dcterms:W3CDTF">1999-06-02T22:01:56Z</dcterms:created>
  <dcterms:modified xsi:type="dcterms:W3CDTF">2024-10-01T19:53:04Z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