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CE6A85FA-6D51-4706-8518-9A16C9E269F0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7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5" l="1"/>
  <c r="D30" i="35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D675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D615" i="34" s="1"/>
  <c r="D691" i="34" s="1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E63" i="15"/>
  <c r="D63" i="15"/>
  <c r="B63" i="15"/>
  <c r="F63" i="15" s="1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H50" i="15" s="1"/>
  <c r="I50" i="15" s="1"/>
  <c r="E49" i="15"/>
  <c r="D49" i="15"/>
  <c r="B49" i="15"/>
  <c r="H49" i="15" s="1"/>
  <c r="I49" i="15" s="1"/>
  <c r="E48" i="15"/>
  <c r="D48" i="15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E37" i="15"/>
  <c r="D37" i="15"/>
  <c r="B37" i="15"/>
  <c r="F37" i="15" s="1"/>
  <c r="E36" i="15"/>
  <c r="D36" i="15"/>
  <c r="B36" i="15"/>
  <c r="E35" i="15"/>
  <c r="D35" i="15"/>
  <c r="B35" i="15"/>
  <c r="E34" i="15"/>
  <c r="D34" i="15"/>
  <c r="B34" i="15"/>
  <c r="H34" i="15" s="1"/>
  <c r="I34" i="15" s="1"/>
  <c r="E33" i="15"/>
  <c r="D33" i="15"/>
  <c r="F33" i="15" s="1"/>
  <c r="B33" i="15"/>
  <c r="I32" i="15"/>
  <c r="B32" i="15"/>
  <c r="I31" i="15"/>
  <c r="B31" i="15"/>
  <c r="E30" i="15"/>
  <c r="D30" i="15"/>
  <c r="F30" i="15" s="1"/>
  <c r="B30" i="15"/>
  <c r="E29" i="15"/>
  <c r="D29" i="15"/>
  <c r="B29" i="15"/>
  <c r="F29" i="15" s="1"/>
  <c r="E28" i="15"/>
  <c r="D28" i="15"/>
  <c r="F28" i="15" s="1"/>
  <c r="B28" i="15"/>
  <c r="E27" i="15"/>
  <c r="D27" i="15"/>
  <c r="B27" i="15"/>
  <c r="H27" i="15" s="1"/>
  <c r="I27" i="15" s="1"/>
  <c r="E26" i="15"/>
  <c r="D26" i="15"/>
  <c r="B26" i="15"/>
  <c r="F26" i="15" s="1"/>
  <c r="E25" i="15"/>
  <c r="D25" i="15"/>
  <c r="B25" i="15"/>
  <c r="H25" i="15" s="1"/>
  <c r="I25" i="15" s="1"/>
  <c r="E24" i="15"/>
  <c r="D24" i="15"/>
  <c r="B24" i="15"/>
  <c r="F24" i="15" s="1"/>
  <c r="E23" i="15"/>
  <c r="D23" i="15"/>
  <c r="B23" i="15"/>
  <c r="F23" i="15" s="1"/>
  <c r="E22" i="15"/>
  <c r="D22" i="15"/>
  <c r="B22" i="15"/>
  <c r="F21" i="15"/>
  <c r="E21" i="15"/>
  <c r="D21" i="15"/>
  <c r="B21" i="15"/>
  <c r="H21" i="15" s="1"/>
  <c r="I21" i="15" s="1"/>
  <c r="E20" i="15"/>
  <c r="D20" i="15"/>
  <c r="B20" i="15"/>
  <c r="H20" i="15" s="1"/>
  <c r="I20" i="15" s="1"/>
  <c r="F19" i="15"/>
  <c r="E19" i="15"/>
  <c r="D19" i="15"/>
  <c r="B19" i="15"/>
  <c r="H19" i="15" s="1"/>
  <c r="I19" i="15" s="1"/>
  <c r="E18" i="15"/>
  <c r="D18" i="15"/>
  <c r="B18" i="15"/>
  <c r="E17" i="15"/>
  <c r="D17" i="15"/>
  <c r="B17" i="15"/>
  <c r="F17" i="15" s="1"/>
  <c r="E16" i="15"/>
  <c r="D16" i="15"/>
  <c r="B16" i="15"/>
  <c r="F16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CE91" i="24"/>
  <c r="CF91" i="24" s="1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6" s="1"/>
  <c r="J377" i="36" s="1"/>
  <c r="CE87" i="24"/>
  <c r="I376" i="36" s="1"/>
  <c r="J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6" s="1"/>
  <c r="J370" i="36" s="1"/>
  <c r="CE66" i="24"/>
  <c r="I368" i="36" s="1"/>
  <c r="CE65" i="24"/>
  <c r="I367" i="36" s="1"/>
  <c r="J367" i="36" s="1"/>
  <c r="CE64" i="24"/>
  <c r="CE63" i="24"/>
  <c r="I365" i="36" s="1"/>
  <c r="J365" i="36" s="1"/>
  <c r="CE61" i="24"/>
  <c r="I363" i="36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F35" i="15" l="1"/>
  <c r="J363" i="36"/>
  <c r="F18" i="15"/>
  <c r="F22" i="15"/>
  <c r="F38" i="15"/>
  <c r="E166" i="8"/>
  <c r="H24" i="15"/>
  <c r="I24" i="15" s="1"/>
  <c r="F36" i="15"/>
  <c r="F64" i="15"/>
  <c r="J368" i="36"/>
  <c r="H16" i="15"/>
  <c r="I16" i="15" s="1"/>
  <c r="F25" i="15"/>
  <c r="F69" i="15"/>
  <c r="F20" i="15"/>
  <c r="F27" i="15"/>
  <c r="F34" i="15"/>
  <c r="G10" i="4"/>
  <c r="D383" i="24"/>
  <c r="C137" i="8" s="1"/>
  <c r="J372" i="36" s="1"/>
  <c r="CE89" i="24"/>
  <c r="CE69" i="24"/>
  <c r="I371" i="36" s="1"/>
  <c r="CE48" i="24"/>
  <c r="AD85" i="24"/>
  <c r="C42" i="15" s="1"/>
  <c r="G42" i="15" s="1"/>
  <c r="M27" i="31"/>
  <c r="G113" i="36"/>
  <c r="M75" i="31"/>
  <c r="F337" i="36"/>
  <c r="H14" i="31"/>
  <c r="H44" i="36"/>
  <c r="O85" i="24"/>
  <c r="H22" i="31"/>
  <c r="I76" i="36"/>
  <c r="W85" i="24"/>
  <c r="H30" i="31"/>
  <c r="C140" i="36"/>
  <c r="AE85" i="24"/>
  <c r="H38" i="31"/>
  <c r="D172" i="36"/>
  <c r="AM85" i="24"/>
  <c r="H46" i="31"/>
  <c r="E204" i="36"/>
  <c r="AU85" i="24"/>
  <c r="H54" i="31"/>
  <c r="F236" i="36"/>
  <c r="BC85" i="24"/>
  <c r="H62" i="31"/>
  <c r="G268" i="36"/>
  <c r="BK85" i="24"/>
  <c r="H70" i="31"/>
  <c r="H300" i="36"/>
  <c r="BS85" i="24"/>
  <c r="I332" i="36"/>
  <c r="H78" i="31"/>
  <c r="CA85" i="24"/>
  <c r="M4" i="31"/>
  <c r="E17" i="36"/>
  <c r="M12" i="31"/>
  <c r="F49" i="36"/>
  <c r="M20" i="31"/>
  <c r="G81" i="36"/>
  <c r="M28" i="31"/>
  <c r="H113" i="36"/>
  <c r="M36" i="31"/>
  <c r="I145" i="36"/>
  <c r="M44" i="31"/>
  <c r="C209" i="36"/>
  <c r="M52" i="31"/>
  <c r="D241" i="36"/>
  <c r="M60" i="31"/>
  <c r="E273" i="36"/>
  <c r="M68" i="31"/>
  <c r="F305" i="36"/>
  <c r="M76" i="31"/>
  <c r="G337" i="36"/>
  <c r="M43" i="31"/>
  <c r="I177" i="36"/>
  <c r="H7" i="31"/>
  <c r="H12" i="36"/>
  <c r="H85" i="24"/>
  <c r="H23" i="31"/>
  <c r="C108" i="36"/>
  <c r="X85" i="24"/>
  <c r="H31" i="31"/>
  <c r="D140" i="36"/>
  <c r="AF85" i="24"/>
  <c r="H39" i="31"/>
  <c r="E172" i="36"/>
  <c r="AN85" i="24"/>
  <c r="H47" i="31"/>
  <c r="F204" i="36"/>
  <c r="AV85" i="24"/>
  <c r="H55" i="31"/>
  <c r="G236" i="36"/>
  <c r="BD85" i="24"/>
  <c r="H63" i="31"/>
  <c r="H268" i="36"/>
  <c r="BL85" i="24"/>
  <c r="H71" i="31"/>
  <c r="I300" i="36"/>
  <c r="BT85" i="24"/>
  <c r="H79" i="31"/>
  <c r="C364" i="36"/>
  <c r="CB85" i="24"/>
  <c r="M5" i="31"/>
  <c r="F17" i="36"/>
  <c r="M13" i="31"/>
  <c r="G49" i="36"/>
  <c r="M21" i="31"/>
  <c r="H81" i="36"/>
  <c r="M29" i="31"/>
  <c r="I113" i="36"/>
  <c r="M37" i="31"/>
  <c r="C177" i="36"/>
  <c r="M45" i="31"/>
  <c r="D209" i="36"/>
  <c r="M53" i="31"/>
  <c r="E241" i="36"/>
  <c r="M61" i="31"/>
  <c r="F273" i="36"/>
  <c r="M69" i="31"/>
  <c r="G305" i="36"/>
  <c r="M77" i="31"/>
  <c r="H337" i="36"/>
  <c r="BR85" i="24"/>
  <c r="I378" i="36"/>
  <c r="K612" i="24"/>
  <c r="M3" i="31"/>
  <c r="D17" i="36"/>
  <c r="M67" i="31"/>
  <c r="E305" i="36"/>
  <c r="H6" i="31"/>
  <c r="G12" i="36"/>
  <c r="G85" i="24"/>
  <c r="H15" i="31"/>
  <c r="I44" i="36"/>
  <c r="P85" i="24"/>
  <c r="H8" i="31"/>
  <c r="I12" i="36"/>
  <c r="I85" i="24"/>
  <c r="H16" i="31"/>
  <c r="C76" i="36"/>
  <c r="Q85" i="24"/>
  <c r="H24" i="31"/>
  <c r="D108" i="36"/>
  <c r="Y85" i="24"/>
  <c r="H32" i="31"/>
  <c r="E140" i="36"/>
  <c r="AG85" i="24"/>
  <c r="H40" i="31"/>
  <c r="F172" i="36"/>
  <c r="AO85" i="24"/>
  <c r="H48" i="31"/>
  <c r="G204" i="36"/>
  <c r="AW85" i="24"/>
  <c r="H56" i="31"/>
  <c r="H236" i="36"/>
  <c r="BE85" i="24"/>
  <c r="H64" i="31"/>
  <c r="I268" i="36"/>
  <c r="BM85" i="24"/>
  <c r="H72" i="31"/>
  <c r="C332" i="36"/>
  <c r="BU85" i="24"/>
  <c r="H80" i="31"/>
  <c r="D364" i="36"/>
  <c r="CC85" i="24"/>
  <c r="M6" i="31"/>
  <c r="G17" i="36"/>
  <c r="M14" i="31"/>
  <c r="H49" i="36"/>
  <c r="M22" i="31"/>
  <c r="I81" i="36"/>
  <c r="M30" i="31"/>
  <c r="C145" i="36"/>
  <c r="M38" i="31"/>
  <c r="D177" i="36"/>
  <c r="M46" i="31"/>
  <c r="E209" i="36"/>
  <c r="M54" i="31"/>
  <c r="F241" i="36"/>
  <c r="M62" i="31"/>
  <c r="G273" i="36"/>
  <c r="M70" i="31"/>
  <c r="H305" i="36"/>
  <c r="M78" i="31"/>
  <c r="I337" i="36"/>
  <c r="N85" i="24"/>
  <c r="M19" i="31"/>
  <c r="F81" i="36"/>
  <c r="M59" i="31"/>
  <c r="D273" i="36"/>
  <c r="H9" i="31"/>
  <c r="C44" i="36"/>
  <c r="J85" i="24"/>
  <c r="H17" i="31"/>
  <c r="D76" i="36"/>
  <c r="R85" i="24"/>
  <c r="H25" i="31"/>
  <c r="E108" i="36"/>
  <c r="Z85" i="24"/>
  <c r="H33" i="31"/>
  <c r="F140" i="36"/>
  <c r="AH85" i="24"/>
  <c r="H41" i="31"/>
  <c r="G172" i="36"/>
  <c r="AP85" i="24"/>
  <c r="H49" i="31"/>
  <c r="H204" i="36"/>
  <c r="AX85" i="24"/>
  <c r="H57" i="31"/>
  <c r="I236" i="36"/>
  <c r="BF85" i="24"/>
  <c r="H65" i="31"/>
  <c r="C300" i="36"/>
  <c r="BN85" i="24"/>
  <c r="H73" i="31"/>
  <c r="D332" i="36"/>
  <c r="BV85" i="24"/>
  <c r="M7" i="31"/>
  <c r="H17" i="36"/>
  <c r="M15" i="31"/>
  <c r="I49" i="36"/>
  <c r="M23" i="31"/>
  <c r="C113" i="36"/>
  <c r="M31" i="31"/>
  <c r="D145" i="36"/>
  <c r="M39" i="31"/>
  <c r="E177" i="36"/>
  <c r="M47" i="31"/>
  <c r="F209" i="36"/>
  <c r="M55" i="31"/>
  <c r="G241" i="36"/>
  <c r="M63" i="31"/>
  <c r="H273" i="36"/>
  <c r="M71" i="31"/>
  <c r="I305" i="36"/>
  <c r="M79" i="31"/>
  <c r="C369" i="36"/>
  <c r="M11" i="31"/>
  <c r="E49" i="36"/>
  <c r="H18" i="31"/>
  <c r="E76" i="36"/>
  <c r="S85" i="24"/>
  <c r="H42" i="31"/>
  <c r="H172" i="36"/>
  <c r="AQ85" i="24"/>
  <c r="D300" i="36"/>
  <c r="H66" i="31"/>
  <c r="BO85" i="24"/>
  <c r="M16" i="31"/>
  <c r="C81" i="36"/>
  <c r="M40" i="31"/>
  <c r="F177" i="36"/>
  <c r="M64" i="31"/>
  <c r="I273" i="36"/>
  <c r="M72" i="31"/>
  <c r="C337" i="36"/>
  <c r="M80" i="31"/>
  <c r="D369" i="36"/>
  <c r="M51" i="31"/>
  <c r="C241" i="36"/>
  <c r="H26" i="31"/>
  <c r="F108" i="36"/>
  <c r="AA85" i="24"/>
  <c r="H50" i="31"/>
  <c r="I204" i="36"/>
  <c r="AY85" i="24"/>
  <c r="H74" i="31"/>
  <c r="E332" i="36"/>
  <c r="BW85" i="24"/>
  <c r="M24" i="31"/>
  <c r="D113" i="36"/>
  <c r="M48" i="31"/>
  <c r="G209" i="36"/>
  <c r="H3" i="31"/>
  <c r="D12" i="36"/>
  <c r="D85" i="24"/>
  <c r="H19" i="31"/>
  <c r="F76" i="36"/>
  <c r="T85" i="24"/>
  <c r="H27" i="31"/>
  <c r="G108" i="36"/>
  <c r="AB85" i="24"/>
  <c r="H35" i="31"/>
  <c r="H140" i="36"/>
  <c r="AJ85" i="24"/>
  <c r="H43" i="31"/>
  <c r="I172" i="36"/>
  <c r="AR85" i="24"/>
  <c r="H51" i="31"/>
  <c r="C236" i="36"/>
  <c r="AZ85" i="24"/>
  <c r="H59" i="31"/>
  <c r="D268" i="36"/>
  <c r="BH85" i="24"/>
  <c r="H67" i="31"/>
  <c r="E300" i="36"/>
  <c r="BP85" i="24"/>
  <c r="H75" i="31"/>
  <c r="F332" i="36"/>
  <c r="BX85" i="24"/>
  <c r="M9" i="31"/>
  <c r="C49" i="36"/>
  <c r="M17" i="31"/>
  <c r="D81" i="36"/>
  <c r="M25" i="31"/>
  <c r="E113" i="36"/>
  <c r="M33" i="31"/>
  <c r="F145" i="36"/>
  <c r="M41" i="31"/>
  <c r="G177" i="36"/>
  <c r="M49" i="31"/>
  <c r="H209" i="36"/>
  <c r="M57" i="31"/>
  <c r="I241" i="36"/>
  <c r="M65" i="31"/>
  <c r="C305" i="36"/>
  <c r="M73" i="31"/>
  <c r="D337" i="36"/>
  <c r="M35" i="31"/>
  <c r="H145" i="36"/>
  <c r="H10" i="31"/>
  <c r="D44" i="36"/>
  <c r="K85" i="24"/>
  <c r="H34" i="31"/>
  <c r="G140" i="36"/>
  <c r="AI85" i="24"/>
  <c r="C268" i="36"/>
  <c r="H58" i="31"/>
  <c r="BG85" i="24"/>
  <c r="M8" i="31"/>
  <c r="I17" i="36"/>
  <c r="M32" i="31"/>
  <c r="E145" i="36"/>
  <c r="M56" i="31"/>
  <c r="H241" i="36"/>
  <c r="H11" i="31"/>
  <c r="E44" i="36"/>
  <c r="L85" i="24"/>
  <c r="H4" i="31"/>
  <c r="E12" i="36"/>
  <c r="E85" i="24"/>
  <c r="F44" i="36"/>
  <c r="H12" i="31"/>
  <c r="M85" i="24"/>
  <c r="G76" i="36"/>
  <c r="H20" i="31"/>
  <c r="U85" i="24"/>
  <c r="H28" i="31"/>
  <c r="H108" i="36"/>
  <c r="AC85" i="24"/>
  <c r="I140" i="36"/>
  <c r="H36" i="31"/>
  <c r="AK85" i="24"/>
  <c r="H44" i="31"/>
  <c r="C204" i="36"/>
  <c r="AS85" i="24"/>
  <c r="H52" i="31"/>
  <c r="D236" i="36"/>
  <c r="BA85" i="24"/>
  <c r="H60" i="31"/>
  <c r="E268" i="36"/>
  <c r="BI85" i="24"/>
  <c r="F300" i="36"/>
  <c r="H68" i="31"/>
  <c r="BQ85" i="24"/>
  <c r="H76" i="31"/>
  <c r="G332" i="36"/>
  <c r="BY85" i="24"/>
  <c r="M2" i="31"/>
  <c r="C17" i="36"/>
  <c r="CE67" i="24"/>
  <c r="I369" i="36" s="1"/>
  <c r="J369" i="36" s="1"/>
  <c r="M10" i="31"/>
  <c r="D49" i="36"/>
  <c r="M18" i="31"/>
  <c r="E81" i="36"/>
  <c r="M26" i="31"/>
  <c r="F113" i="36"/>
  <c r="M34" i="31"/>
  <c r="G145" i="36"/>
  <c r="M42" i="31"/>
  <c r="H177" i="36"/>
  <c r="M50" i="31"/>
  <c r="I209" i="36"/>
  <c r="M58" i="31"/>
  <c r="C273" i="36"/>
  <c r="M66" i="31"/>
  <c r="D305" i="36"/>
  <c r="M74" i="31"/>
  <c r="E337" i="36"/>
  <c r="H21" i="31"/>
  <c r="H76" i="36"/>
  <c r="H45" i="31"/>
  <c r="D204" i="36"/>
  <c r="O40" i="31"/>
  <c r="F179" i="36"/>
  <c r="O56" i="31"/>
  <c r="H243" i="36"/>
  <c r="AE13" i="31"/>
  <c r="G58" i="36"/>
  <c r="AE29" i="31"/>
  <c r="I122" i="36"/>
  <c r="CE52" i="24"/>
  <c r="O9" i="31"/>
  <c r="C51" i="36"/>
  <c r="O17" i="31"/>
  <c r="D83" i="36"/>
  <c r="O25" i="31"/>
  <c r="E115" i="36"/>
  <c r="O33" i="31"/>
  <c r="F147" i="36"/>
  <c r="O41" i="31"/>
  <c r="G179" i="36"/>
  <c r="O49" i="31"/>
  <c r="H211" i="36"/>
  <c r="O57" i="31"/>
  <c r="I243" i="36"/>
  <c r="O65" i="31"/>
  <c r="C307" i="36"/>
  <c r="O73" i="31"/>
  <c r="D339" i="36"/>
  <c r="E371" i="36"/>
  <c r="C615" i="24"/>
  <c r="CD85" i="24"/>
  <c r="AE6" i="31"/>
  <c r="G26" i="36"/>
  <c r="AE14" i="31"/>
  <c r="H58" i="36"/>
  <c r="AE22" i="31"/>
  <c r="I90" i="36"/>
  <c r="AE30" i="31"/>
  <c r="C154" i="36"/>
  <c r="AE38" i="31"/>
  <c r="D186" i="36"/>
  <c r="AE46" i="31"/>
  <c r="E218" i="36"/>
  <c r="I383" i="36"/>
  <c r="J612" i="24"/>
  <c r="H5" i="31"/>
  <c r="F12" i="36"/>
  <c r="H37" i="31"/>
  <c r="C172" i="36"/>
  <c r="H61" i="31"/>
  <c r="F268" i="36"/>
  <c r="O24" i="31"/>
  <c r="D115" i="36"/>
  <c r="O64" i="31"/>
  <c r="I275" i="36"/>
  <c r="AE21" i="31"/>
  <c r="H90" i="36"/>
  <c r="AE45" i="31"/>
  <c r="D218" i="36"/>
  <c r="O2" i="31"/>
  <c r="C19" i="36"/>
  <c r="O10" i="31"/>
  <c r="D51" i="36"/>
  <c r="O18" i="31"/>
  <c r="E83" i="36"/>
  <c r="O26" i="31"/>
  <c r="F115" i="36"/>
  <c r="O34" i="31"/>
  <c r="G147" i="36"/>
  <c r="O42" i="31"/>
  <c r="H179" i="36"/>
  <c r="O50" i="31"/>
  <c r="I211" i="36"/>
  <c r="O58" i="31"/>
  <c r="C275" i="36"/>
  <c r="O66" i="31"/>
  <c r="D307" i="36"/>
  <c r="O74" i="31"/>
  <c r="E339" i="36"/>
  <c r="AE7" i="31"/>
  <c r="H26" i="36"/>
  <c r="AE15" i="31"/>
  <c r="I58" i="36"/>
  <c r="AE23" i="31"/>
  <c r="C122" i="36"/>
  <c r="AE31" i="31"/>
  <c r="D154" i="36"/>
  <c r="AE39" i="31"/>
  <c r="E186" i="36"/>
  <c r="AE47" i="31"/>
  <c r="F218" i="36"/>
  <c r="G28" i="4"/>
  <c r="E28" i="4"/>
  <c r="D341" i="24"/>
  <c r="CP2" i="30"/>
  <c r="D416" i="24"/>
  <c r="H332" i="36"/>
  <c r="H77" i="31"/>
  <c r="O48" i="31"/>
  <c r="G211" i="36"/>
  <c r="AE5" i="31"/>
  <c r="F26" i="36"/>
  <c r="AE37" i="31"/>
  <c r="C186" i="36"/>
  <c r="BK2" i="30"/>
  <c r="I362" i="36"/>
  <c r="O3" i="31"/>
  <c r="D19" i="36"/>
  <c r="O11" i="31"/>
  <c r="E51" i="36"/>
  <c r="O19" i="31"/>
  <c r="F83" i="36"/>
  <c r="O27" i="31"/>
  <c r="G115" i="36"/>
  <c r="O35" i="31"/>
  <c r="H147" i="36"/>
  <c r="O43" i="31"/>
  <c r="I179" i="36"/>
  <c r="O51" i="31"/>
  <c r="C243" i="36"/>
  <c r="O59" i="31"/>
  <c r="D275" i="36"/>
  <c r="O67" i="31"/>
  <c r="E307" i="36"/>
  <c r="O75" i="31"/>
  <c r="F339" i="36"/>
  <c r="AE8" i="31"/>
  <c r="I26" i="36"/>
  <c r="AE16" i="31"/>
  <c r="C90" i="36"/>
  <c r="AE24" i="31"/>
  <c r="D122" i="36"/>
  <c r="AE32" i="31"/>
  <c r="E154" i="36"/>
  <c r="AE40" i="31"/>
  <c r="F186" i="36"/>
  <c r="I384" i="36"/>
  <c r="L612" i="24"/>
  <c r="DF2" i="30"/>
  <c r="C170" i="8"/>
  <c r="F420" i="24"/>
  <c r="H53" i="31"/>
  <c r="E236" i="36"/>
  <c r="O16" i="31"/>
  <c r="C83" i="36"/>
  <c r="O72" i="31"/>
  <c r="C339" i="36"/>
  <c r="O4" i="31"/>
  <c r="E19" i="36"/>
  <c r="O12" i="31"/>
  <c r="F51" i="36"/>
  <c r="O20" i="31"/>
  <c r="G83" i="36"/>
  <c r="O28" i="31"/>
  <c r="H115" i="36"/>
  <c r="O36" i="31"/>
  <c r="I147" i="36"/>
  <c r="O44" i="31"/>
  <c r="C211" i="36"/>
  <c r="O52" i="31"/>
  <c r="D243" i="36"/>
  <c r="O60" i="31"/>
  <c r="E275" i="36"/>
  <c r="O68" i="31"/>
  <c r="F307" i="36"/>
  <c r="O76" i="31"/>
  <c r="G339" i="36"/>
  <c r="AE9" i="31"/>
  <c r="C58" i="36"/>
  <c r="AE17" i="31"/>
  <c r="D90" i="36"/>
  <c r="AE25" i="31"/>
  <c r="E122" i="36"/>
  <c r="AE33" i="31"/>
  <c r="F154" i="36"/>
  <c r="AE41" i="31"/>
  <c r="G186" i="36"/>
  <c r="I380" i="36"/>
  <c r="D612" i="24"/>
  <c r="D308" i="24"/>
  <c r="C113" i="8"/>
  <c r="D12" i="35"/>
  <c r="D367" i="24"/>
  <c r="C62" i="24"/>
  <c r="O5" i="31"/>
  <c r="F19" i="36"/>
  <c r="O13" i="31"/>
  <c r="G51" i="36"/>
  <c r="O21" i="31"/>
  <c r="H83" i="36"/>
  <c r="O29" i="31"/>
  <c r="I115" i="36"/>
  <c r="O37" i="31"/>
  <c r="C179" i="36"/>
  <c r="O45" i="31"/>
  <c r="D211" i="36"/>
  <c r="O53" i="31"/>
  <c r="E243" i="36"/>
  <c r="O61" i="31"/>
  <c r="F275" i="36"/>
  <c r="O69" i="31"/>
  <c r="G307" i="36"/>
  <c r="O77" i="31"/>
  <c r="H339" i="36"/>
  <c r="F85" i="24"/>
  <c r="V85" i="24"/>
  <c r="AL85" i="24"/>
  <c r="AT85" i="24"/>
  <c r="BB85" i="24"/>
  <c r="BJ85" i="24"/>
  <c r="BZ85" i="24"/>
  <c r="AE2" i="31"/>
  <c r="C26" i="36"/>
  <c r="AE10" i="31"/>
  <c r="D58" i="36"/>
  <c r="AE18" i="31"/>
  <c r="E90" i="36"/>
  <c r="AE26" i="31"/>
  <c r="F122" i="36"/>
  <c r="AE34" i="31"/>
  <c r="G154" i="36"/>
  <c r="AE42" i="31"/>
  <c r="H186" i="36"/>
  <c r="G19" i="4"/>
  <c r="E19" i="4"/>
  <c r="E220" i="24"/>
  <c r="H612" i="24"/>
  <c r="H13" i="31"/>
  <c r="G44" i="36"/>
  <c r="O32" i="31"/>
  <c r="E147" i="36"/>
  <c r="O80" i="31"/>
  <c r="D371" i="36"/>
  <c r="I382" i="36"/>
  <c r="I612" i="24"/>
  <c r="I366" i="36"/>
  <c r="J366" i="36" s="1"/>
  <c r="F612" i="24"/>
  <c r="O6" i="31"/>
  <c r="G19" i="36"/>
  <c r="O14" i="31"/>
  <c r="H51" i="36"/>
  <c r="O22" i="31"/>
  <c r="I83" i="36"/>
  <c r="O30" i="31"/>
  <c r="C147" i="36"/>
  <c r="O38" i="31"/>
  <c r="D179" i="36"/>
  <c r="O46" i="31"/>
  <c r="E211" i="36"/>
  <c r="O54" i="31"/>
  <c r="F243" i="36"/>
  <c r="O62" i="31"/>
  <c r="G275" i="36"/>
  <c r="O70" i="31"/>
  <c r="H307" i="36"/>
  <c r="O78" i="31"/>
  <c r="I339" i="36"/>
  <c r="AE3" i="31"/>
  <c r="D26" i="36"/>
  <c r="AE11" i="31"/>
  <c r="E58" i="36"/>
  <c r="AE19" i="31"/>
  <c r="F90" i="36"/>
  <c r="AE27" i="31"/>
  <c r="G122" i="36"/>
  <c r="AE35" i="31"/>
  <c r="H154" i="36"/>
  <c r="AE43" i="31"/>
  <c r="I186" i="36"/>
  <c r="I381" i="36"/>
  <c r="G612" i="24"/>
  <c r="F24" i="6"/>
  <c r="E233" i="24"/>
  <c r="F32" i="6" s="1"/>
  <c r="D258" i="24"/>
  <c r="E380" i="24"/>
  <c r="H29" i="31"/>
  <c r="I108" i="36"/>
  <c r="H69" i="31"/>
  <c r="G300" i="36"/>
  <c r="O8" i="31"/>
  <c r="I19" i="36"/>
  <c r="O7" i="31"/>
  <c r="H19" i="36"/>
  <c r="O15" i="31"/>
  <c r="I51" i="36"/>
  <c r="O23" i="31"/>
  <c r="C115" i="36"/>
  <c r="O31" i="31"/>
  <c r="D147" i="36"/>
  <c r="O39" i="31"/>
  <c r="E179" i="36"/>
  <c r="O47" i="31"/>
  <c r="F211" i="36"/>
  <c r="O55" i="31"/>
  <c r="G243" i="36"/>
  <c r="O63" i="31"/>
  <c r="H275" i="36"/>
  <c r="O71" i="31"/>
  <c r="I307" i="36"/>
  <c r="O79" i="31"/>
  <c r="C371" i="36"/>
  <c r="AE4" i="31"/>
  <c r="E26" i="36"/>
  <c r="AE12" i="31"/>
  <c r="F58" i="36"/>
  <c r="AE20" i="31"/>
  <c r="G90" i="36"/>
  <c r="AE28" i="31"/>
  <c r="H122" i="36"/>
  <c r="AE36" i="31"/>
  <c r="I154" i="36"/>
  <c r="AE44" i="31"/>
  <c r="C218" i="36"/>
  <c r="CF2" i="38"/>
  <c r="D5" i="7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D631" i="34"/>
  <c r="D635" i="34"/>
  <c r="D639" i="34"/>
  <c r="D643" i="34"/>
  <c r="D683" i="34"/>
  <c r="D632" i="34"/>
  <c r="D636" i="34"/>
  <c r="D640" i="34"/>
  <c r="D644" i="34"/>
  <c r="D716" i="34"/>
  <c r="D707" i="34"/>
  <c r="D699" i="34"/>
  <c r="D709" i="34"/>
  <c r="D701" i="34"/>
  <c r="D706" i="34"/>
  <c r="D698" i="34"/>
  <c r="D711" i="34"/>
  <c r="D703" i="34"/>
  <c r="D710" i="34"/>
  <c r="D702" i="34"/>
  <c r="D712" i="34"/>
  <c r="D697" i="34"/>
  <c r="D696" i="34"/>
  <c r="D688" i="34"/>
  <c r="D680" i="34"/>
  <c r="D672" i="34"/>
  <c r="D620" i="34"/>
  <c r="D616" i="34"/>
  <c r="D705" i="34"/>
  <c r="D700" i="34"/>
  <c r="D693" i="34"/>
  <c r="D685" i="34"/>
  <c r="D677" i="34"/>
  <c r="D669" i="34"/>
  <c r="D627" i="34"/>
  <c r="D690" i="34"/>
  <c r="D682" i="34"/>
  <c r="D674" i="34"/>
  <c r="D623" i="34"/>
  <c r="D619" i="34"/>
  <c r="D713" i="34"/>
  <c r="D708" i="34"/>
  <c r="D695" i="34"/>
  <c r="D687" i="34"/>
  <c r="D679" i="34"/>
  <c r="D671" i="34"/>
  <c r="D625" i="34"/>
  <c r="D692" i="34"/>
  <c r="D684" i="34"/>
  <c r="D676" i="34"/>
  <c r="D668" i="34"/>
  <c r="D628" i="34"/>
  <c r="D622" i="34"/>
  <c r="D618" i="34"/>
  <c r="E623" i="34" s="1"/>
  <c r="D689" i="34"/>
  <c r="D681" i="34"/>
  <c r="D673" i="34"/>
  <c r="D704" i="34"/>
  <c r="D694" i="34"/>
  <c r="D686" i="34"/>
  <c r="D678" i="34"/>
  <c r="D670" i="34"/>
  <c r="D647" i="34"/>
  <c r="D646" i="34"/>
  <c r="D645" i="34"/>
  <c r="D629" i="34"/>
  <c r="D626" i="34"/>
  <c r="D621" i="34"/>
  <c r="D617" i="34"/>
  <c r="D633" i="34"/>
  <c r="D637" i="34"/>
  <c r="D641" i="34"/>
  <c r="D624" i="34"/>
  <c r="D630" i="34"/>
  <c r="D634" i="34"/>
  <c r="D638" i="34"/>
  <c r="D642" i="34"/>
  <c r="C648" i="34"/>
  <c r="M716" i="34" s="1"/>
  <c r="C715" i="34"/>
  <c r="J371" i="36" l="1"/>
  <c r="H42" i="15"/>
  <c r="C695" i="24"/>
  <c r="I117" i="36"/>
  <c r="E716" i="34"/>
  <c r="C373" i="36"/>
  <c r="C92" i="15"/>
  <c r="G92" i="15" s="1"/>
  <c r="C622" i="24"/>
  <c r="E245" i="36"/>
  <c r="C632" i="24"/>
  <c r="C66" i="15"/>
  <c r="G66" i="15" s="1"/>
  <c r="E277" i="36"/>
  <c r="C634" i="24"/>
  <c r="C73" i="15"/>
  <c r="G73" i="15" s="1"/>
  <c r="E53" i="36"/>
  <c r="C24" i="15"/>
  <c r="G24" i="15" s="1"/>
  <c r="C677" i="24"/>
  <c r="G117" i="36"/>
  <c r="C40" i="15"/>
  <c r="G40" i="15" s="1"/>
  <c r="C693" i="24"/>
  <c r="I213" i="36"/>
  <c r="C625" i="24"/>
  <c r="C63" i="15"/>
  <c r="H181" i="36"/>
  <c r="C55" i="15"/>
  <c r="G55" i="15" s="1"/>
  <c r="C708" i="24"/>
  <c r="G181" i="36"/>
  <c r="C54" i="15"/>
  <c r="C707" i="24"/>
  <c r="D373" i="36"/>
  <c r="C93" i="15"/>
  <c r="G93" i="15" s="1"/>
  <c r="C620" i="24"/>
  <c r="C85" i="36"/>
  <c r="C29" i="15"/>
  <c r="C682" i="24"/>
  <c r="G245" i="36"/>
  <c r="C624" i="24"/>
  <c r="C68" i="15"/>
  <c r="G68" i="15" s="1"/>
  <c r="I341" i="36"/>
  <c r="C91" i="15"/>
  <c r="G91" i="15" s="1"/>
  <c r="C647" i="24"/>
  <c r="H53" i="36"/>
  <c r="C27" i="15"/>
  <c r="G27" i="15" s="1"/>
  <c r="C680" i="24"/>
  <c r="F277" i="36"/>
  <c r="C74" i="15"/>
  <c r="G74" i="15" s="1"/>
  <c r="C617" i="24"/>
  <c r="D715" i="34"/>
  <c r="D213" i="36"/>
  <c r="C58" i="15"/>
  <c r="C711" i="24"/>
  <c r="H2" i="31"/>
  <c r="C12" i="36"/>
  <c r="CE62" i="24"/>
  <c r="I364" i="36" s="1"/>
  <c r="J364" i="36" s="1"/>
  <c r="C85" i="24"/>
  <c r="I149" i="36"/>
  <c r="C49" i="15"/>
  <c r="G49" i="15" s="1"/>
  <c r="C702" i="24"/>
  <c r="C277" i="36"/>
  <c r="C71" i="15"/>
  <c r="G71" i="15" s="1"/>
  <c r="C618" i="24"/>
  <c r="E309" i="36"/>
  <c r="C80" i="15"/>
  <c r="G80" i="15" s="1"/>
  <c r="C621" i="24"/>
  <c r="D85" i="36"/>
  <c r="C30" i="15"/>
  <c r="C683" i="24"/>
  <c r="H245" i="36"/>
  <c r="C69" i="15"/>
  <c r="C614" i="24"/>
  <c r="G21" i="36"/>
  <c r="C19" i="15"/>
  <c r="G19" i="15" s="1"/>
  <c r="C672" i="24"/>
  <c r="D149" i="36"/>
  <c r="C44" i="15"/>
  <c r="C697" i="24"/>
  <c r="F245" i="36"/>
  <c r="C67" i="15"/>
  <c r="G67" i="15" s="1"/>
  <c r="C633" i="24"/>
  <c r="D53" i="36"/>
  <c r="C23" i="15"/>
  <c r="C676" i="24"/>
  <c r="C309" i="36"/>
  <c r="C78" i="15"/>
  <c r="G78" i="15" s="1"/>
  <c r="C619" i="24"/>
  <c r="D181" i="36"/>
  <c r="C51" i="15"/>
  <c r="G51" i="15" s="1"/>
  <c r="C704" i="24"/>
  <c r="E612" i="34"/>
  <c r="E711" i="34" s="1"/>
  <c r="C181" i="36"/>
  <c r="C50" i="15"/>
  <c r="G50" i="15" s="1"/>
  <c r="C703" i="24"/>
  <c r="C121" i="8"/>
  <c r="D384" i="24"/>
  <c r="C167" i="8"/>
  <c r="E414" i="24"/>
  <c r="G341" i="36"/>
  <c r="C89" i="15"/>
  <c r="G89" i="15" s="1"/>
  <c r="C645" i="24"/>
  <c r="C25" i="15"/>
  <c r="G25" i="15" s="1"/>
  <c r="C678" i="24"/>
  <c r="F53" i="36"/>
  <c r="C56" i="15"/>
  <c r="G56" i="15" s="1"/>
  <c r="I181" i="36"/>
  <c r="C709" i="24"/>
  <c r="I245" i="36"/>
  <c r="C70" i="15"/>
  <c r="G70" i="15" s="1"/>
  <c r="C629" i="24"/>
  <c r="C45" i="15"/>
  <c r="C698" i="24"/>
  <c r="E149" i="36"/>
  <c r="G309" i="36"/>
  <c r="C82" i="15"/>
  <c r="G82" i="15" s="1"/>
  <c r="C626" i="24"/>
  <c r="I309" i="36"/>
  <c r="C84" i="15"/>
  <c r="G84" i="15" s="1"/>
  <c r="C640" i="24"/>
  <c r="C149" i="36"/>
  <c r="C43" i="15"/>
  <c r="C696" i="24"/>
  <c r="C245" i="36"/>
  <c r="C64" i="15"/>
  <c r="C628" i="24"/>
  <c r="F181" i="36"/>
  <c r="C53" i="15"/>
  <c r="G53" i="15" s="1"/>
  <c r="C706" i="24"/>
  <c r="H85" i="36"/>
  <c r="C34" i="15"/>
  <c r="G34" i="15" s="1"/>
  <c r="C687" i="24"/>
  <c r="E373" i="36"/>
  <c r="C94" i="15"/>
  <c r="G94" i="15" s="1"/>
  <c r="D245" i="36"/>
  <c r="C630" i="24"/>
  <c r="C65" i="15"/>
  <c r="F85" i="36"/>
  <c r="C32" i="15"/>
  <c r="G32" i="15" s="1"/>
  <c r="C685" i="24"/>
  <c r="F117" i="36"/>
  <c r="C39" i="15"/>
  <c r="C692" i="24"/>
  <c r="E85" i="36"/>
  <c r="C31" i="15"/>
  <c r="G31" i="15" s="1"/>
  <c r="C684" i="24"/>
  <c r="F149" i="36"/>
  <c r="C46" i="15"/>
  <c r="G46" i="15" s="1"/>
  <c r="C699" i="24"/>
  <c r="G53" i="36"/>
  <c r="C26" i="15"/>
  <c r="C679" i="24"/>
  <c r="C341" i="36"/>
  <c r="C85" i="15"/>
  <c r="G85" i="15" s="1"/>
  <c r="C641" i="24"/>
  <c r="I21" i="36"/>
  <c r="C21" i="15"/>
  <c r="G21" i="15" s="1"/>
  <c r="C674" i="24"/>
  <c r="F213" i="36"/>
  <c r="C60" i="15"/>
  <c r="C713" i="24"/>
  <c r="H309" i="36"/>
  <c r="C83" i="15"/>
  <c r="G83" i="15" s="1"/>
  <c r="C639" i="24"/>
  <c r="G85" i="36"/>
  <c r="C33" i="15"/>
  <c r="C686" i="24"/>
  <c r="F21" i="36"/>
  <c r="C18" i="15"/>
  <c r="C671" i="24"/>
  <c r="C87" i="8"/>
  <c r="D350" i="24"/>
  <c r="H117" i="36"/>
  <c r="C41" i="15"/>
  <c r="C694" i="24"/>
  <c r="G149" i="36"/>
  <c r="C47" i="15"/>
  <c r="G47" i="15" s="1"/>
  <c r="C700" i="24"/>
  <c r="D277" i="36"/>
  <c r="C72" i="15"/>
  <c r="G72" i="15" s="1"/>
  <c r="C636" i="24"/>
  <c r="D341" i="36"/>
  <c r="C86" i="15"/>
  <c r="G86" i="15" s="1"/>
  <c r="C642" i="24"/>
  <c r="C53" i="36"/>
  <c r="C22" i="15"/>
  <c r="C675" i="24"/>
  <c r="G213" i="36"/>
  <c r="C61" i="15"/>
  <c r="C631" i="24"/>
  <c r="C117" i="36"/>
  <c r="C36" i="15"/>
  <c r="C689" i="24"/>
  <c r="E213" i="36"/>
  <c r="C59" i="15"/>
  <c r="G59" i="15" s="1"/>
  <c r="C712" i="24"/>
  <c r="F16" i="6"/>
  <c r="F234" i="24"/>
  <c r="H21" i="36"/>
  <c r="C20" i="15"/>
  <c r="G20" i="15" s="1"/>
  <c r="C673" i="24"/>
  <c r="C50" i="8"/>
  <c r="D352" i="24"/>
  <c r="C103" i="8" s="1"/>
  <c r="F309" i="24"/>
  <c r="C81" i="15"/>
  <c r="G81" i="15" s="1"/>
  <c r="F309" i="36"/>
  <c r="C623" i="24"/>
  <c r="E21" i="36"/>
  <c r="C17" i="15"/>
  <c r="C670" i="24"/>
  <c r="H149" i="36"/>
  <c r="C48" i="15"/>
  <c r="C701" i="24"/>
  <c r="E341" i="36"/>
  <c r="C87" i="15"/>
  <c r="G87" i="15" s="1"/>
  <c r="C643" i="24"/>
  <c r="D309" i="36"/>
  <c r="C79" i="15"/>
  <c r="G79" i="15" s="1"/>
  <c r="C627" i="24"/>
  <c r="H213" i="36"/>
  <c r="C62" i="15"/>
  <c r="C616" i="24"/>
  <c r="D117" i="36"/>
  <c r="C690" i="24"/>
  <c r="C37" i="15"/>
  <c r="H277" i="36"/>
  <c r="C76" i="15"/>
  <c r="G76" i="15" s="1"/>
  <c r="C637" i="24"/>
  <c r="I85" i="36"/>
  <c r="C35" i="15"/>
  <c r="C688" i="24"/>
  <c r="C90" i="15"/>
  <c r="G90" i="15" s="1"/>
  <c r="H341" i="36"/>
  <c r="C646" i="24"/>
  <c r="C213" i="36"/>
  <c r="C57" i="15"/>
  <c r="G57" i="15" s="1"/>
  <c r="C710" i="24"/>
  <c r="F341" i="36"/>
  <c r="C644" i="24"/>
  <c r="C88" i="15"/>
  <c r="G88" i="15" s="1"/>
  <c r="D21" i="36"/>
  <c r="C16" i="15"/>
  <c r="G16" i="15" s="1"/>
  <c r="C669" i="24"/>
  <c r="E117" i="36"/>
  <c r="C38" i="15"/>
  <c r="C691" i="24"/>
  <c r="I277" i="36"/>
  <c r="C638" i="24"/>
  <c r="C77" i="15"/>
  <c r="G77" i="15" s="1"/>
  <c r="I53" i="36"/>
  <c r="C28" i="15"/>
  <c r="C681" i="24"/>
  <c r="E181" i="36"/>
  <c r="C52" i="15"/>
  <c r="G52" i="15" s="1"/>
  <c r="C705" i="24"/>
  <c r="G277" i="36"/>
  <c r="C635" i="24"/>
  <c r="C75" i="15"/>
  <c r="G75" i="15" s="1"/>
  <c r="G44" i="15" l="1"/>
  <c r="H44" i="15" s="1"/>
  <c r="I44" i="15" s="1"/>
  <c r="G29" i="15"/>
  <c r="H29" i="15" s="1"/>
  <c r="I29" i="15" s="1"/>
  <c r="E680" i="34"/>
  <c r="E634" i="34"/>
  <c r="E642" i="34"/>
  <c r="E629" i="34"/>
  <c r="E673" i="34"/>
  <c r="E692" i="34"/>
  <c r="E682" i="34"/>
  <c r="E705" i="34"/>
  <c r="E698" i="34"/>
  <c r="G38" i="15"/>
  <c r="H38" i="15" s="1"/>
  <c r="G48" i="15"/>
  <c r="H48" i="15" s="1"/>
  <c r="I48" i="15" s="1"/>
  <c r="G22" i="15"/>
  <c r="H22" i="15"/>
  <c r="I22" i="15" s="1"/>
  <c r="G33" i="15"/>
  <c r="H33" i="15" s="1"/>
  <c r="I33" i="15" s="1"/>
  <c r="G26" i="15"/>
  <c r="H26" i="15"/>
  <c r="I26" i="15" s="1"/>
  <c r="G64" i="15"/>
  <c r="H64" i="15" s="1"/>
  <c r="I64" i="15" s="1"/>
  <c r="G30" i="15"/>
  <c r="H30" i="15" s="1"/>
  <c r="I30" i="15" s="1"/>
  <c r="G58" i="15"/>
  <c r="H58" i="15" s="1"/>
  <c r="I58" i="15" s="1"/>
  <c r="E688" i="34"/>
  <c r="E635" i="34"/>
  <c r="E643" i="34"/>
  <c r="E645" i="34"/>
  <c r="E681" i="34"/>
  <c r="E625" i="34"/>
  <c r="E690" i="34"/>
  <c r="E699" i="34"/>
  <c r="E706" i="34"/>
  <c r="G18" i="15"/>
  <c r="H18" i="15" s="1"/>
  <c r="I18" i="15" s="1"/>
  <c r="G39" i="15"/>
  <c r="H39" i="15" s="1"/>
  <c r="G23" i="15"/>
  <c r="H23" i="15" s="1"/>
  <c r="E696" i="34"/>
  <c r="E636" i="34"/>
  <c r="E644" i="34"/>
  <c r="E646" i="34"/>
  <c r="E689" i="34"/>
  <c r="E671" i="34"/>
  <c r="E710" i="34"/>
  <c r="E707" i="34"/>
  <c r="E704" i="34"/>
  <c r="G28" i="15"/>
  <c r="H28" i="15" s="1"/>
  <c r="I28" i="15" s="1"/>
  <c r="G36" i="15"/>
  <c r="H36" i="15" s="1"/>
  <c r="G63" i="15"/>
  <c r="H63" i="15" s="1"/>
  <c r="E624" i="34"/>
  <c r="E637" i="34"/>
  <c r="E675" i="34"/>
  <c r="E647" i="34"/>
  <c r="E701" i="34"/>
  <c r="E679" i="34"/>
  <c r="E627" i="34"/>
  <c r="E712" i="34"/>
  <c r="G37" i="15"/>
  <c r="H37" i="15" s="1"/>
  <c r="G17" i="15"/>
  <c r="H17" i="15" s="1"/>
  <c r="I17" i="15" s="1"/>
  <c r="C21" i="36"/>
  <c r="C15" i="15"/>
  <c r="C668" i="24"/>
  <c r="C715" i="24" s="1"/>
  <c r="CE85" i="24"/>
  <c r="E630" i="34"/>
  <c r="E638" i="34"/>
  <c r="E683" i="34"/>
  <c r="E670" i="34"/>
  <c r="E628" i="34"/>
  <c r="E687" i="34"/>
  <c r="E669" i="34"/>
  <c r="E700" i="34"/>
  <c r="G41" i="15"/>
  <c r="H41" i="15" s="1"/>
  <c r="G43" i="15"/>
  <c r="H43" i="15" s="1"/>
  <c r="I43" i="15" s="1"/>
  <c r="D615" i="24"/>
  <c r="C648" i="24"/>
  <c r="M716" i="24" s="1"/>
  <c r="E672" i="34"/>
  <c r="E631" i="34"/>
  <c r="E639" i="34"/>
  <c r="E691" i="34"/>
  <c r="E678" i="34"/>
  <c r="E668" i="34"/>
  <c r="E695" i="34"/>
  <c r="E677" i="34"/>
  <c r="E708" i="34"/>
  <c r="G69" i="15"/>
  <c r="H69" i="15" s="1"/>
  <c r="I69" i="15" s="1"/>
  <c r="G54" i="15"/>
  <c r="H54" i="15" s="1"/>
  <c r="I54" i="15" s="1"/>
  <c r="E697" i="34"/>
  <c r="E632" i="34"/>
  <c r="E640" i="34"/>
  <c r="E709" i="34"/>
  <c r="E686" i="34"/>
  <c r="E676" i="34"/>
  <c r="E713" i="34"/>
  <c r="E685" i="34"/>
  <c r="E703" i="34"/>
  <c r="G35" i="15"/>
  <c r="H35" i="15" s="1"/>
  <c r="H65" i="15"/>
  <c r="I65" i="15" s="1"/>
  <c r="G65" i="15"/>
  <c r="G45" i="15"/>
  <c r="H45" i="15" s="1"/>
  <c r="I45" i="15" s="1"/>
  <c r="C138" i="8"/>
  <c r="D417" i="24"/>
  <c r="E702" i="34"/>
  <c r="E633" i="34"/>
  <c r="E641" i="34"/>
  <c r="E626" i="34"/>
  <c r="E694" i="34"/>
  <c r="E684" i="34"/>
  <c r="E674" i="34"/>
  <c r="E693" i="34"/>
  <c r="D711" i="24" l="1"/>
  <c r="D703" i="24"/>
  <c r="D695" i="24"/>
  <c r="D713" i="24"/>
  <c r="D705" i="24"/>
  <c r="D710" i="24"/>
  <c r="D716" i="24"/>
  <c r="D707" i="24"/>
  <c r="D699" i="24"/>
  <c r="D691" i="24"/>
  <c r="D709" i="24"/>
  <c r="D701" i="24"/>
  <c r="D693" i="24"/>
  <c r="D706" i="24"/>
  <c r="D694" i="24"/>
  <c r="D689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702" i="24"/>
  <c r="D688" i="24"/>
  <c r="D680" i="24"/>
  <c r="D672" i="24"/>
  <c r="D620" i="24"/>
  <c r="D616" i="24"/>
  <c r="D696" i="24"/>
  <c r="D685" i="24"/>
  <c r="D677" i="24"/>
  <c r="D712" i="24"/>
  <c r="D704" i="24"/>
  <c r="D697" i="24"/>
  <c r="D682" i="24"/>
  <c r="D674" i="24"/>
  <c r="D623" i="24"/>
  <c r="D619" i="24"/>
  <c r="D698" i="24"/>
  <c r="D687" i="24"/>
  <c r="D679" i="24"/>
  <c r="D671" i="24"/>
  <c r="D625" i="24"/>
  <c r="D708" i="24"/>
  <c r="D684" i="24"/>
  <c r="D676" i="24"/>
  <c r="D668" i="24"/>
  <c r="D628" i="24"/>
  <c r="D622" i="24"/>
  <c r="D618" i="24"/>
  <c r="D700" i="24"/>
  <c r="D692" i="24"/>
  <c r="D681" i="24"/>
  <c r="D673" i="24"/>
  <c r="D627" i="24"/>
  <c r="D670" i="24"/>
  <c r="D647" i="24"/>
  <c r="D626" i="24"/>
  <c r="D686" i="24"/>
  <c r="D646" i="24"/>
  <c r="D669" i="24"/>
  <c r="D617" i="24"/>
  <c r="D645" i="24"/>
  <c r="D629" i="24"/>
  <c r="D621" i="24"/>
  <c r="D690" i="24"/>
  <c r="D678" i="24"/>
  <c r="I373" i="36"/>
  <c r="C716" i="24"/>
  <c r="G15" i="15"/>
  <c r="H15" i="15" s="1"/>
  <c r="I15" i="15" s="1"/>
  <c r="C168" i="8"/>
  <c r="D421" i="24"/>
  <c r="E715" i="34"/>
  <c r="F624" i="34"/>
  <c r="F709" i="34" l="1"/>
  <c r="F701" i="34"/>
  <c r="F711" i="34"/>
  <c r="F703" i="34"/>
  <c r="F708" i="34"/>
  <c r="F700" i="34"/>
  <c r="F713" i="34"/>
  <c r="F705" i="34"/>
  <c r="F697" i="34"/>
  <c r="F712" i="34"/>
  <c r="F704" i="34"/>
  <c r="F710" i="34"/>
  <c r="F690" i="34"/>
  <c r="F682" i="34"/>
  <c r="F674" i="34"/>
  <c r="F698" i="34"/>
  <c r="F695" i="34"/>
  <c r="F687" i="34"/>
  <c r="F679" i="34"/>
  <c r="F671" i="34"/>
  <c r="F625" i="34"/>
  <c r="F716" i="34"/>
  <c r="F692" i="34"/>
  <c r="F684" i="34"/>
  <c r="F676" i="34"/>
  <c r="F668" i="34"/>
  <c r="F628" i="34"/>
  <c r="F706" i="34"/>
  <c r="F689" i="34"/>
  <c r="F681" i="34"/>
  <c r="F673" i="34"/>
  <c r="F694" i="34"/>
  <c r="F686" i="34"/>
  <c r="F678" i="34"/>
  <c r="F670" i="34"/>
  <c r="F647" i="34"/>
  <c r="F646" i="34"/>
  <c r="F645" i="34"/>
  <c r="F629" i="34"/>
  <c r="F626" i="34"/>
  <c r="F699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702" i="34"/>
  <c r="F696" i="34"/>
  <c r="F688" i="34"/>
  <c r="F680" i="34"/>
  <c r="F672" i="34"/>
  <c r="F685" i="34"/>
  <c r="F677" i="34"/>
  <c r="F669" i="34"/>
  <c r="F627" i="34"/>
  <c r="F693" i="34"/>
  <c r="F707" i="34"/>
  <c r="E612" i="24"/>
  <c r="D715" i="24"/>
  <c r="E623" i="24"/>
  <c r="C172" i="8"/>
  <c r="D424" i="24"/>
  <c r="C177" i="8" s="1"/>
  <c r="F715" i="34" l="1"/>
  <c r="G625" i="34"/>
  <c r="E708" i="24"/>
  <c r="E700" i="24"/>
  <c r="E692" i="24"/>
  <c r="E710" i="24"/>
  <c r="E716" i="24"/>
  <c r="E712" i="24"/>
  <c r="E704" i="24"/>
  <c r="E696" i="24"/>
  <c r="E688" i="24"/>
  <c r="E706" i="24"/>
  <c r="E698" i="24"/>
  <c r="E702" i="24"/>
  <c r="E695" i="24"/>
  <c r="E680" i="24"/>
  <c r="E672" i="24"/>
  <c r="E703" i="24"/>
  <c r="E685" i="24"/>
  <c r="E677" i="24"/>
  <c r="E669" i="24"/>
  <c r="E627" i="24"/>
  <c r="E707" i="24"/>
  <c r="E697" i="24"/>
  <c r="E682" i="24"/>
  <c r="E674" i="24"/>
  <c r="E687" i="24"/>
  <c r="E679" i="24"/>
  <c r="E671" i="24"/>
  <c r="E625" i="24"/>
  <c r="E684" i="24"/>
  <c r="E676" i="24"/>
  <c r="E668" i="24"/>
  <c r="E628" i="24"/>
  <c r="E705" i="24"/>
  <c r="E699" i="24"/>
  <c r="E681" i="24"/>
  <c r="E673" i="24"/>
  <c r="E693" i="24"/>
  <c r="E691" i="24"/>
  <c r="E690" i="24"/>
  <c r="E686" i="24"/>
  <c r="E678" i="24"/>
  <c r="E670" i="24"/>
  <c r="E647" i="24"/>
  <c r="E646" i="24"/>
  <c r="E645" i="24"/>
  <c r="E629" i="24"/>
  <c r="E626" i="24"/>
  <c r="E643" i="24"/>
  <c r="E639" i="24"/>
  <c r="E635" i="24"/>
  <c r="E631" i="24"/>
  <c r="E683" i="24"/>
  <c r="E640" i="24"/>
  <c r="E694" i="24"/>
  <c r="E675" i="24"/>
  <c r="E642" i="24"/>
  <c r="E638" i="24"/>
  <c r="E634" i="24"/>
  <c r="E630" i="24"/>
  <c r="E624" i="24"/>
  <c r="E632" i="24"/>
  <c r="E713" i="24"/>
  <c r="E701" i="24"/>
  <c r="E636" i="24"/>
  <c r="E711" i="24"/>
  <c r="E641" i="24"/>
  <c r="E637" i="24"/>
  <c r="E633" i="24"/>
  <c r="E644" i="24"/>
  <c r="E709" i="24"/>
  <c r="E689" i="24"/>
  <c r="E715" i="24" l="1"/>
  <c r="F624" i="24"/>
  <c r="G706" i="34"/>
  <c r="G698" i="34"/>
  <c r="G708" i="34"/>
  <c r="G700" i="34"/>
  <c r="G713" i="34"/>
  <c r="G705" i="34"/>
  <c r="G697" i="34"/>
  <c r="G710" i="34"/>
  <c r="G702" i="34"/>
  <c r="G709" i="34"/>
  <c r="G701" i="34"/>
  <c r="G695" i="34"/>
  <c r="G687" i="34"/>
  <c r="G679" i="34"/>
  <c r="G671" i="34"/>
  <c r="G716" i="34"/>
  <c r="G692" i="34"/>
  <c r="G684" i="34"/>
  <c r="G676" i="34"/>
  <c r="G668" i="34"/>
  <c r="G628" i="34"/>
  <c r="G703" i="34"/>
  <c r="G689" i="34"/>
  <c r="G681" i="34"/>
  <c r="G673" i="34"/>
  <c r="G694" i="34"/>
  <c r="G686" i="34"/>
  <c r="G678" i="34"/>
  <c r="G670" i="34"/>
  <c r="G647" i="34"/>
  <c r="G646" i="34"/>
  <c r="G645" i="34"/>
  <c r="G629" i="34"/>
  <c r="G626" i="34"/>
  <c r="G711" i="34"/>
  <c r="G699" i="34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04" i="34"/>
  <c r="G696" i="34"/>
  <c r="G688" i="34"/>
  <c r="G680" i="34"/>
  <c r="G672" i="34"/>
  <c r="G707" i="34"/>
  <c r="G693" i="34"/>
  <c r="G685" i="34"/>
  <c r="G677" i="34"/>
  <c r="G669" i="34"/>
  <c r="G627" i="34"/>
  <c r="G712" i="34"/>
  <c r="G674" i="34"/>
  <c r="G690" i="34"/>
  <c r="G682" i="34"/>
  <c r="F707" i="24" l="1"/>
  <c r="F688" i="24"/>
  <c r="F704" i="24"/>
  <c r="F668" i="24"/>
  <c r="F691" i="24"/>
  <c r="F629" i="24"/>
  <c r="F642" i="24"/>
  <c r="F634" i="24"/>
  <c r="F680" i="24"/>
  <c r="F645" i="24"/>
  <c r="F635" i="24"/>
  <c r="F712" i="24"/>
  <c r="F685" i="24"/>
  <c r="F687" i="24"/>
  <c r="F628" i="24"/>
  <c r="F690" i="24"/>
  <c r="F626" i="24"/>
  <c r="F641" i="24"/>
  <c r="F633" i="24"/>
  <c r="F672" i="24"/>
  <c r="F692" i="24"/>
  <c r="F709" i="24"/>
  <c r="F677" i="24"/>
  <c r="F679" i="24"/>
  <c r="F708" i="24"/>
  <c r="F686" i="24"/>
  <c r="F694" i="24"/>
  <c r="F640" i="24"/>
  <c r="F632" i="24"/>
  <c r="F643" i="24"/>
  <c r="F701" i="24"/>
  <c r="F669" i="24"/>
  <c r="F671" i="24"/>
  <c r="F699" i="24"/>
  <c r="F678" i="24"/>
  <c r="F689" i="24"/>
  <c r="F639" i="24"/>
  <c r="F631" i="24"/>
  <c r="F676" i="24"/>
  <c r="F702" i="24"/>
  <c r="F713" i="24"/>
  <c r="F693" i="24"/>
  <c r="F627" i="24"/>
  <c r="F710" i="24"/>
  <c r="F681" i="24"/>
  <c r="F670" i="24"/>
  <c r="F683" i="24"/>
  <c r="F638" i="24"/>
  <c r="F630" i="24"/>
  <c r="F674" i="24"/>
  <c r="F705" i="24"/>
  <c r="F711" i="24"/>
  <c r="F696" i="24"/>
  <c r="F698" i="24"/>
  <c r="F673" i="24"/>
  <c r="F647" i="24"/>
  <c r="F675" i="24"/>
  <c r="F637" i="24"/>
  <c r="F706" i="24"/>
  <c r="F695" i="24"/>
  <c r="F697" i="24"/>
  <c r="F703" i="24"/>
  <c r="F682" i="24"/>
  <c r="F684" i="24"/>
  <c r="F700" i="24"/>
  <c r="F646" i="24"/>
  <c r="F644" i="24"/>
  <c r="F636" i="24"/>
  <c r="F625" i="24"/>
  <c r="F716" i="24"/>
  <c r="H628" i="34"/>
  <c r="G715" i="34"/>
  <c r="F715" i="24" l="1"/>
  <c r="G625" i="24"/>
  <c r="H711" i="34"/>
  <c r="H703" i="34"/>
  <c r="H713" i="34"/>
  <c r="H705" i="34"/>
  <c r="H710" i="34"/>
  <c r="H702" i="34"/>
  <c r="H716" i="34"/>
  <c r="H707" i="34"/>
  <c r="H699" i="34"/>
  <c r="H706" i="34"/>
  <c r="H698" i="34"/>
  <c r="H700" i="34"/>
  <c r="H692" i="34"/>
  <c r="H684" i="34"/>
  <c r="H676" i="34"/>
  <c r="H668" i="34"/>
  <c r="H689" i="34"/>
  <c r="H681" i="34"/>
  <c r="H673" i="34"/>
  <c r="H708" i="34"/>
  <c r="H694" i="34"/>
  <c r="H686" i="34"/>
  <c r="H678" i="34"/>
  <c r="H670" i="34"/>
  <c r="H647" i="34"/>
  <c r="H646" i="34"/>
  <c r="H645" i="34"/>
  <c r="H629" i="34"/>
  <c r="H701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04" i="34"/>
  <c r="H696" i="34"/>
  <c r="H688" i="34"/>
  <c r="H680" i="34"/>
  <c r="H672" i="34"/>
  <c r="H709" i="34"/>
  <c r="H693" i="34"/>
  <c r="H685" i="34"/>
  <c r="H677" i="34"/>
  <c r="H669" i="34"/>
  <c r="H712" i="34"/>
  <c r="H697" i="34"/>
  <c r="H690" i="34"/>
  <c r="H682" i="34"/>
  <c r="H674" i="34"/>
  <c r="H671" i="34"/>
  <c r="H695" i="34"/>
  <c r="H687" i="34"/>
  <c r="H679" i="34"/>
  <c r="G712" i="24" l="1"/>
  <c r="G703" i="24"/>
  <c r="G671" i="24"/>
  <c r="G691" i="24"/>
  <c r="G626" i="24"/>
  <c r="G641" i="24"/>
  <c r="G633" i="24"/>
  <c r="G680" i="24"/>
  <c r="G628" i="24"/>
  <c r="G690" i="24"/>
  <c r="G677" i="24"/>
  <c r="G704" i="24"/>
  <c r="G696" i="24"/>
  <c r="G684" i="24"/>
  <c r="G686" i="24"/>
  <c r="G693" i="24"/>
  <c r="G640" i="24"/>
  <c r="G632" i="24"/>
  <c r="G672" i="24"/>
  <c r="G627" i="24"/>
  <c r="G697" i="24"/>
  <c r="G709" i="24"/>
  <c r="G682" i="24"/>
  <c r="G676" i="24"/>
  <c r="G678" i="24"/>
  <c r="G689" i="24"/>
  <c r="G639" i="24"/>
  <c r="G631" i="24"/>
  <c r="G688" i="24"/>
  <c r="G673" i="24"/>
  <c r="G706" i="24"/>
  <c r="G674" i="24"/>
  <c r="G699" i="24"/>
  <c r="G670" i="24"/>
  <c r="G683" i="24"/>
  <c r="G638" i="24"/>
  <c r="G630" i="24"/>
  <c r="G695" i="24"/>
  <c r="G646" i="24"/>
  <c r="G698" i="24"/>
  <c r="G707" i="24"/>
  <c r="G681" i="24"/>
  <c r="G647" i="24"/>
  <c r="G675" i="24"/>
  <c r="G637" i="24"/>
  <c r="G716" i="24"/>
  <c r="G669" i="24"/>
  <c r="G710" i="24"/>
  <c r="G713" i="24"/>
  <c r="G702" i="24"/>
  <c r="G708" i="24"/>
  <c r="G687" i="24"/>
  <c r="G705" i="24"/>
  <c r="G645" i="24"/>
  <c r="G643" i="24"/>
  <c r="G635" i="24"/>
  <c r="G711" i="24"/>
  <c r="G685" i="24"/>
  <c r="G636" i="24"/>
  <c r="G694" i="24"/>
  <c r="G700" i="24"/>
  <c r="G679" i="24"/>
  <c r="G692" i="24"/>
  <c r="G629" i="24"/>
  <c r="G642" i="24"/>
  <c r="G634" i="24"/>
  <c r="G701" i="24"/>
  <c r="G668" i="24"/>
  <c r="G644" i="24"/>
  <c r="H715" i="34"/>
  <c r="I629" i="34"/>
  <c r="G715" i="24" l="1"/>
  <c r="H628" i="24"/>
  <c r="I708" i="34"/>
  <c r="I700" i="34"/>
  <c r="I710" i="34"/>
  <c r="I702" i="34"/>
  <c r="I716" i="34"/>
  <c r="I707" i="34"/>
  <c r="I699" i="34"/>
  <c r="I712" i="34"/>
  <c r="I704" i="34"/>
  <c r="I696" i="34"/>
  <c r="I711" i="34"/>
  <c r="I703" i="34"/>
  <c r="I698" i="34"/>
  <c r="I689" i="34"/>
  <c r="I681" i="34"/>
  <c r="I673" i="34"/>
  <c r="I713" i="34"/>
  <c r="I694" i="34"/>
  <c r="I686" i="34"/>
  <c r="I678" i="34"/>
  <c r="I670" i="34"/>
  <c r="I647" i="34"/>
  <c r="I646" i="34"/>
  <c r="I645" i="34"/>
  <c r="I706" i="34"/>
  <c r="I701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88" i="34"/>
  <c r="I680" i="34"/>
  <c r="I672" i="34"/>
  <c r="I709" i="34"/>
  <c r="I693" i="34"/>
  <c r="I685" i="34"/>
  <c r="I677" i="34"/>
  <c r="I669" i="34"/>
  <c r="I697" i="34"/>
  <c r="I690" i="34"/>
  <c r="I682" i="34"/>
  <c r="I674" i="34"/>
  <c r="I695" i="34"/>
  <c r="I687" i="34"/>
  <c r="I679" i="34"/>
  <c r="I671" i="34"/>
  <c r="I692" i="34"/>
  <c r="I705" i="34"/>
  <c r="I684" i="34"/>
  <c r="I676" i="34"/>
  <c r="I668" i="34"/>
  <c r="H709" i="24" l="1"/>
  <c r="H679" i="24"/>
  <c r="H698" i="24"/>
  <c r="H647" i="24"/>
  <c r="H683" i="24"/>
  <c r="H638" i="24"/>
  <c r="H630" i="24"/>
  <c r="H685" i="24"/>
  <c r="H633" i="24"/>
  <c r="H711" i="24"/>
  <c r="H671" i="24"/>
  <c r="H681" i="24"/>
  <c r="H646" i="24"/>
  <c r="H675" i="24"/>
  <c r="H637" i="24"/>
  <c r="H701" i="24"/>
  <c r="H677" i="24"/>
  <c r="H707" i="24"/>
  <c r="H641" i="24"/>
  <c r="H703" i="24"/>
  <c r="H704" i="24"/>
  <c r="H673" i="24"/>
  <c r="H645" i="24"/>
  <c r="H644" i="24"/>
  <c r="H636" i="24"/>
  <c r="H694" i="24"/>
  <c r="H669" i="24"/>
  <c r="H705" i="24"/>
  <c r="H706" i="24"/>
  <c r="H695" i="24"/>
  <c r="H684" i="24"/>
  <c r="H708" i="24"/>
  <c r="H629" i="24"/>
  <c r="H643" i="24"/>
  <c r="H635" i="24"/>
  <c r="H680" i="24"/>
  <c r="H696" i="24"/>
  <c r="H716" i="24"/>
  <c r="H713" i="24"/>
  <c r="H676" i="24"/>
  <c r="H692" i="24"/>
  <c r="H700" i="24"/>
  <c r="H642" i="24"/>
  <c r="H634" i="24"/>
  <c r="H672" i="24"/>
  <c r="H682" i="24"/>
  <c r="H686" i="24"/>
  <c r="H699" i="24"/>
  <c r="H697" i="24"/>
  <c r="H712" i="24"/>
  <c r="H678" i="24"/>
  <c r="H690" i="24"/>
  <c r="H640" i="24"/>
  <c r="H632" i="24"/>
  <c r="H702" i="24"/>
  <c r="H693" i="24"/>
  <c r="H691" i="24"/>
  <c r="H687" i="24"/>
  <c r="H710" i="24"/>
  <c r="H670" i="24"/>
  <c r="H689" i="24"/>
  <c r="H639" i="24"/>
  <c r="H631" i="24"/>
  <c r="H688" i="24"/>
  <c r="H668" i="24"/>
  <c r="H674" i="24"/>
  <c r="I715" i="34"/>
  <c r="J630" i="34"/>
  <c r="H715" i="24" l="1"/>
  <c r="I629" i="24"/>
  <c r="J713" i="34"/>
  <c r="J705" i="34"/>
  <c r="J697" i="34"/>
  <c r="J716" i="34"/>
  <c r="J707" i="34"/>
  <c r="J699" i="34"/>
  <c r="J712" i="34"/>
  <c r="J704" i="34"/>
  <c r="J696" i="34"/>
  <c r="J709" i="34"/>
  <c r="J701" i="34"/>
  <c r="J708" i="34"/>
  <c r="J700" i="34"/>
  <c r="J694" i="34"/>
  <c r="J686" i="34"/>
  <c r="J678" i="34"/>
  <c r="J670" i="34"/>
  <c r="J647" i="34"/>
  <c r="J646" i="34"/>
  <c r="J645" i="34"/>
  <c r="J706" i="34"/>
  <c r="J703" i="34"/>
  <c r="J691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688" i="34"/>
  <c r="J680" i="34"/>
  <c r="J672" i="34"/>
  <c r="J711" i="34"/>
  <c r="J693" i="34"/>
  <c r="J685" i="34"/>
  <c r="J677" i="34"/>
  <c r="J669" i="34"/>
  <c r="J690" i="34"/>
  <c r="J682" i="34"/>
  <c r="J674" i="34"/>
  <c r="J702" i="34"/>
  <c r="J695" i="34"/>
  <c r="J687" i="34"/>
  <c r="J679" i="34"/>
  <c r="J671" i="34"/>
  <c r="J692" i="34"/>
  <c r="J684" i="34"/>
  <c r="J676" i="34"/>
  <c r="J668" i="34"/>
  <c r="J681" i="34"/>
  <c r="J710" i="34"/>
  <c r="J673" i="34"/>
  <c r="J698" i="34"/>
  <c r="J689" i="34"/>
  <c r="I711" i="24" l="1"/>
  <c r="I697" i="24"/>
  <c r="I686" i="24"/>
  <c r="I683" i="24"/>
  <c r="I638" i="24"/>
  <c r="I630" i="24"/>
  <c r="I677" i="24"/>
  <c r="I703" i="24"/>
  <c r="I681" i="24"/>
  <c r="I708" i="24"/>
  <c r="I684" i="24"/>
  <c r="I678" i="24"/>
  <c r="I675" i="24"/>
  <c r="I637" i="24"/>
  <c r="I701" i="24"/>
  <c r="I669" i="24"/>
  <c r="I646" i="24"/>
  <c r="I633" i="24"/>
  <c r="I700" i="24"/>
  <c r="I676" i="24"/>
  <c r="I670" i="24"/>
  <c r="I644" i="24"/>
  <c r="I636" i="24"/>
  <c r="I680" i="24"/>
  <c r="I709" i="24"/>
  <c r="I679" i="24"/>
  <c r="I704" i="24"/>
  <c r="I713" i="24"/>
  <c r="I692" i="24"/>
  <c r="I668" i="24"/>
  <c r="I705" i="24"/>
  <c r="I643" i="24"/>
  <c r="I635" i="24"/>
  <c r="I672" i="24"/>
  <c r="I695" i="24"/>
  <c r="I645" i="24"/>
  <c r="I712" i="24"/>
  <c r="I710" i="24"/>
  <c r="I698" i="24"/>
  <c r="I693" i="24"/>
  <c r="I642" i="24"/>
  <c r="I634" i="24"/>
  <c r="I716" i="24"/>
  <c r="I682" i="24"/>
  <c r="I671" i="24"/>
  <c r="I641" i="24"/>
  <c r="I696" i="24"/>
  <c r="I694" i="24"/>
  <c r="I673" i="24"/>
  <c r="I690" i="24"/>
  <c r="I640" i="24"/>
  <c r="I632" i="24"/>
  <c r="I688" i="24"/>
  <c r="I647" i="24"/>
  <c r="I702" i="24"/>
  <c r="I674" i="24"/>
  <c r="I706" i="24"/>
  <c r="I707" i="24"/>
  <c r="I699" i="24"/>
  <c r="I689" i="24"/>
  <c r="I639" i="24"/>
  <c r="I631" i="24"/>
  <c r="I685" i="24"/>
  <c r="I687" i="24"/>
  <c r="I691" i="24"/>
  <c r="J715" i="34"/>
  <c r="K644" i="34"/>
  <c r="L647" i="34"/>
  <c r="I715" i="24" l="1"/>
  <c r="J630" i="24"/>
  <c r="L716" i="34"/>
  <c r="L707" i="34"/>
  <c r="L699" i="34"/>
  <c r="L709" i="34"/>
  <c r="L701" i="34"/>
  <c r="L706" i="34"/>
  <c r="L698" i="34"/>
  <c r="L711" i="34"/>
  <c r="L703" i="34"/>
  <c r="L710" i="34"/>
  <c r="L702" i="34"/>
  <c r="L713" i="34"/>
  <c r="L708" i="34"/>
  <c r="L688" i="34"/>
  <c r="L680" i="34"/>
  <c r="L672" i="34"/>
  <c r="L693" i="34"/>
  <c r="L685" i="34"/>
  <c r="L677" i="34"/>
  <c r="L669" i="34"/>
  <c r="L696" i="34"/>
  <c r="L690" i="34"/>
  <c r="L682" i="34"/>
  <c r="L674" i="34"/>
  <c r="L704" i="34"/>
  <c r="L695" i="34"/>
  <c r="L687" i="34"/>
  <c r="L679" i="34"/>
  <c r="L671" i="34"/>
  <c r="L697" i="34"/>
  <c r="L692" i="34"/>
  <c r="L684" i="34"/>
  <c r="L676" i="34"/>
  <c r="L668" i="34"/>
  <c r="L712" i="34"/>
  <c r="L689" i="34"/>
  <c r="L681" i="34"/>
  <c r="L673" i="34"/>
  <c r="L705" i="34"/>
  <c r="M705" i="34" s="1"/>
  <c r="L700" i="34"/>
  <c r="L694" i="34"/>
  <c r="L686" i="34"/>
  <c r="L678" i="34"/>
  <c r="L670" i="34"/>
  <c r="L691" i="34"/>
  <c r="L683" i="34"/>
  <c r="L675" i="34"/>
  <c r="K710" i="34"/>
  <c r="K702" i="34"/>
  <c r="K712" i="34"/>
  <c r="K704" i="34"/>
  <c r="K709" i="34"/>
  <c r="K701" i="34"/>
  <c r="K706" i="34"/>
  <c r="K698" i="34"/>
  <c r="K713" i="34"/>
  <c r="K705" i="34"/>
  <c r="K697" i="34"/>
  <c r="K716" i="34"/>
  <c r="K703" i="34"/>
  <c r="K691" i="34"/>
  <c r="K683" i="34"/>
  <c r="K675" i="34"/>
  <c r="K708" i="34"/>
  <c r="K688" i="34"/>
  <c r="K680" i="34"/>
  <c r="K672" i="34"/>
  <c r="K711" i="34"/>
  <c r="K693" i="34"/>
  <c r="K685" i="34"/>
  <c r="K677" i="34"/>
  <c r="K669" i="34"/>
  <c r="K699" i="34"/>
  <c r="K696" i="34"/>
  <c r="K690" i="34"/>
  <c r="K682" i="34"/>
  <c r="K674" i="34"/>
  <c r="K695" i="34"/>
  <c r="K687" i="34"/>
  <c r="K679" i="34"/>
  <c r="K671" i="34"/>
  <c r="K707" i="34"/>
  <c r="K692" i="34"/>
  <c r="K684" i="34"/>
  <c r="K676" i="34"/>
  <c r="K668" i="34"/>
  <c r="K689" i="34"/>
  <c r="K681" i="34"/>
  <c r="K673" i="34"/>
  <c r="K678" i="34"/>
  <c r="K700" i="34"/>
  <c r="K670" i="34"/>
  <c r="K694" i="34"/>
  <c r="K686" i="34"/>
  <c r="J697" i="24" l="1"/>
  <c r="J673" i="24"/>
  <c r="J645" i="24"/>
  <c r="J680" i="24"/>
  <c r="J702" i="24"/>
  <c r="J671" i="24"/>
  <c r="J634" i="24"/>
  <c r="J636" i="24"/>
  <c r="J677" i="24"/>
  <c r="J689" i="24"/>
  <c r="J712" i="24"/>
  <c r="J708" i="24"/>
  <c r="J672" i="24"/>
  <c r="J695" i="24"/>
  <c r="J676" i="24"/>
  <c r="J641" i="24"/>
  <c r="J632" i="24"/>
  <c r="J696" i="24"/>
  <c r="J709" i="24"/>
  <c r="J716" i="24"/>
  <c r="J710" i="24"/>
  <c r="J692" i="24"/>
  <c r="J694" i="24"/>
  <c r="J682" i="24"/>
  <c r="J643" i="24"/>
  <c r="J637" i="24"/>
  <c r="J631" i="24"/>
  <c r="J701" i="24"/>
  <c r="J707" i="24"/>
  <c r="J686" i="24"/>
  <c r="J691" i="24"/>
  <c r="J688" i="24"/>
  <c r="J674" i="24"/>
  <c r="J639" i="24"/>
  <c r="J633" i="24"/>
  <c r="J711" i="24"/>
  <c r="J693" i="24"/>
  <c r="J699" i="24"/>
  <c r="J678" i="24"/>
  <c r="J690" i="24"/>
  <c r="J685" i="24"/>
  <c r="J703" i="24"/>
  <c r="J635" i="24"/>
  <c r="J684" i="24"/>
  <c r="J670" i="24"/>
  <c r="J713" i="24"/>
  <c r="J698" i="24"/>
  <c r="J647" i="24"/>
  <c r="J675" i="24"/>
  <c r="J669" i="24"/>
  <c r="J687" i="24"/>
  <c r="J642" i="24"/>
  <c r="J644" i="24"/>
  <c r="J704" i="24"/>
  <c r="J668" i="24"/>
  <c r="J705" i="24"/>
  <c r="J681" i="24"/>
  <c r="J646" i="24"/>
  <c r="J700" i="24"/>
  <c r="J706" i="24"/>
  <c r="J679" i="24"/>
  <c r="J638" i="24"/>
  <c r="J640" i="24"/>
  <c r="J683" i="24"/>
  <c r="M700" i="34"/>
  <c r="M684" i="34"/>
  <c r="M674" i="34"/>
  <c r="M672" i="34"/>
  <c r="M711" i="34"/>
  <c r="M675" i="34"/>
  <c r="M692" i="34"/>
  <c r="M682" i="34"/>
  <c r="M680" i="34"/>
  <c r="M698" i="34"/>
  <c r="K715" i="34"/>
  <c r="M683" i="34"/>
  <c r="M673" i="34"/>
  <c r="M697" i="34"/>
  <c r="M690" i="34"/>
  <c r="M688" i="34"/>
  <c r="M706" i="34"/>
  <c r="M691" i="34"/>
  <c r="M681" i="34"/>
  <c r="M671" i="34"/>
  <c r="M696" i="34"/>
  <c r="M708" i="34"/>
  <c r="M701" i="34"/>
  <c r="M670" i="34"/>
  <c r="M689" i="34"/>
  <c r="M679" i="34"/>
  <c r="M669" i="34"/>
  <c r="M713" i="34"/>
  <c r="M709" i="34"/>
  <c r="M678" i="34"/>
  <c r="M712" i="34"/>
  <c r="M687" i="34"/>
  <c r="M677" i="34"/>
  <c r="M702" i="34"/>
  <c r="M699" i="34"/>
  <c r="M686" i="34"/>
  <c r="L715" i="34"/>
  <c r="M668" i="34"/>
  <c r="M695" i="34"/>
  <c r="M685" i="34"/>
  <c r="M710" i="34"/>
  <c r="M707" i="34"/>
  <c r="M694" i="34"/>
  <c r="M676" i="34"/>
  <c r="M704" i="34"/>
  <c r="M693" i="34"/>
  <c r="M703" i="34"/>
  <c r="L647" i="24" l="1"/>
  <c r="L713" i="24"/>
  <c r="L701" i="24"/>
  <c r="L690" i="24"/>
  <c r="L682" i="24"/>
  <c r="L684" i="24"/>
  <c r="L686" i="24"/>
  <c r="L675" i="24"/>
  <c r="L705" i="24"/>
  <c r="L693" i="24"/>
  <c r="L689" i="24"/>
  <c r="L674" i="24"/>
  <c r="L676" i="24"/>
  <c r="L669" i="24"/>
  <c r="L673" i="24"/>
  <c r="L710" i="24"/>
  <c r="L712" i="24"/>
  <c r="L680" i="24"/>
  <c r="L706" i="24"/>
  <c r="L668" i="24"/>
  <c r="L678" i="24"/>
  <c r="L711" i="24"/>
  <c r="L716" i="24"/>
  <c r="L692" i="24"/>
  <c r="L672" i="24"/>
  <c r="L702" i="24"/>
  <c r="L697" i="24"/>
  <c r="L698" i="24"/>
  <c r="L707" i="24"/>
  <c r="L683" i="24"/>
  <c r="L688" i="24"/>
  <c r="L687" i="24"/>
  <c r="L681" i="24"/>
  <c r="L699" i="24"/>
  <c r="L703" i="24"/>
  <c r="L691" i="24"/>
  <c r="L708" i="24"/>
  <c r="L677" i="24"/>
  <c r="L671" i="24"/>
  <c r="L670" i="24"/>
  <c r="L679" i="24"/>
  <c r="L695" i="24"/>
  <c r="L709" i="24"/>
  <c r="L700" i="24"/>
  <c r="L694" i="24"/>
  <c r="L696" i="24"/>
  <c r="L704" i="24"/>
  <c r="L685" i="24"/>
  <c r="J715" i="24"/>
  <c r="K644" i="24"/>
  <c r="M715" i="34"/>
  <c r="L715" i="24" l="1"/>
  <c r="K690" i="24"/>
  <c r="M690" i="24" s="1"/>
  <c r="D119" i="36" s="1"/>
  <c r="K696" i="24"/>
  <c r="M696" i="24" s="1"/>
  <c r="C151" i="36" s="1"/>
  <c r="K675" i="24"/>
  <c r="M675" i="24" s="1"/>
  <c r="C55" i="36" s="1"/>
  <c r="K688" i="24"/>
  <c r="M688" i="24" s="1"/>
  <c r="I87" i="36" s="1"/>
  <c r="K711" i="24"/>
  <c r="M711" i="24" s="1"/>
  <c r="D215" i="36" s="1"/>
  <c r="K668" i="24"/>
  <c r="M668" i="24" s="1"/>
  <c r="K692" i="24"/>
  <c r="M692" i="24" s="1"/>
  <c r="K708" i="24"/>
  <c r="M708" i="24" s="1"/>
  <c r="H183" i="36" s="1"/>
  <c r="K686" i="24"/>
  <c r="M686" i="24" s="1"/>
  <c r="G87" i="36" s="1"/>
  <c r="K705" i="24"/>
  <c r="M705" i="24" s="1"/>
  <c r="E183" i="36" s="1"/>
  <c r="K685" i="24"/>
  <c r="M685" i="24" s="1"/>
  <c r="F87" i="36" s="1"/>
  <c r="K709" i="24"/>
  <c r="M709" i="24" s="1"/>
  <c r="I183" i="36" s="1"/>
  <c r="K681" i="24"/>
  <c r="M681" i="24" s="1"/>
  <c r="I55" i="36" s="1"/>
  <c r="K680" i="24"/>
  <c r="M680" i="24" s="1"/>
  <c r="H55" i="36" s="1"/>
  <c r="K713" i="24"/>
  <c r="M713" i="24" s="1"/>
  <c r="F215" i="36" s="1"/>
  <c r="K678" i="24"/>
  <c r="M678" i="24" s="1"/>
  <c r="K700" i="24"/>
  <c r="M700" i="24" s="1"/>
  <c r="G151" i="36" s="1"/>
  <c r="K677" i="24"/>
  <c r="M677" i="24" s="1"/>
  <c r="K703" i="24"/>
  <c r="M703" i="24" s="1"/>
  <c r="C183" i="36" s="1"/>
  <c r="K673" i="24"/>
  <c r="M673" i="24" s="1"/>
  <c r="H23" i="36" s="1"/>
  <c r="K695" i="24"/>
  <c r="M695" i="24" s="1"/>
  <c r="I119" i="36" s="1"/>
  <c r="K710" i="24"/>
  <c r="M710" i="24" s="1"/>
  <c r="C215" i="36" s="1"/>
  <c r="K670" i="24"/>
  <c r="M670" i="24" s="1"/>
  <c r="E23" i="36" s="1"/>
  <c r="K693" i="24"/>
  <c r="K669" i="24"/>
  <c r="M669" i="24" s="1"/>
  <c r="D23" i="36" s="1"/>
  <c r="K687" i="24"/>
  <c r="M687" i="24" s="1"/>
  <c r="H87" i="36" s="1"/>
  <c r="K697" i="24"/>
  <c r="M697" i="24" s="1"/>
  <c r="D151" i="36" s="1"/>
  <c r="K702" i="24"/>
  <c r="M702" i="24" s="1"/>
  <c r="I151" i="36" s="1"/>
  <c r="K699" i="24"/>
  <c r="M699" i="24" s="1"/>
  <c r="F151" i="36" s="1"/>
  <c r="K689" i="24"/>
  <c r="M689" i="24" s="1"/>
  <c r="C119" i="36" s="1"/>
  <c r="K716" i="24"/>
  <c r="K679" i="24"/>
  <c r="M679" i="24" s="1"/>
  <c r="K707" i="24"/>
  <c r="M707" i="24" s="1"/>
  <c r="G183" i="36" s="1"/>
  <c r="K694" i="24"/>
  <c r="M694" i="24" s="1"/>
  <c r="H119" i="36" s="1"/>
  <c r="K706" i="24"/>
  <c r="M706" i="24" s="1"/>
  <c r="F183" i="36" s="1"/>
  <c r="K712" i="24"/>
  <c r="M712" i="24" s="1"/>
  <c r="E215" i="36" s="1"/>
  <c r="K691" i="24"/>
  <c r="M691" i="24" s="1"/>
  <c r="K672" i="24"/>
  <c r="M672" i="24" s="1"/>
  <c r="G23" i="36" s="1"/>
  <c r="K682" i="24"/>
  <c r="M682" i="24" s="1"/>
  <c r="C87" i="36" s="1"/>
  <c r="K684" i="24"/>
  <c r="M684" i="24" s="1"/>
  <c r="E87" i="36" s="1"/>
  <c r="K671" i="24"/>
  <c r="M671" i="24" s="1"/>
  <c r="F23" i="36" s="1"/>
  <c r="K698" i="24"/>
  <c r="M698" i="24" s="1"/>
  <c r="E151" i="36" s="1"/>
  <c r="K704" i="24"/>
  <c r="M704" i="24" s="1"/>
  <c r="D183" i="36" s="1"/>
  <c r="K683" i="24"/>
  <c r="M683" i="24" s="1"/>
  <c r="D87" i="36" s="1"/>
  <c r="K701" i="24"/>
  <c r="M701" i="24" s="1"/>
  <c r="H151" i="36" s="1"/>
  <c r="K674" i="24"/>
  <c r="M674" i="24" s="1"/>
  <c r="I23" i="36" s="1"/>
  <c r="K676" i="24"/>
  <c r="M676" i="24" s="1"/>
  <c r="D55" i="36" s="1"/>
  <c r="M693" i="24"/>
  <c r="E55" i="36" l="1"/>
  <c r="E119" i="36"/>
  <c r="F55" i="36"/>
  <c r="F119" i="36"/>
  <c r="K715" i="24"/>
  <c r="M715" i="24"/>
  <c r="C23" i="36"/>
  <c r="G119" i="36"/>
  <c r="G55" i="36"/>
</calcChain>
</file>

<file path=xl/sharedStrings.xml><?xml version="1.0" encoding="utf-8"?>
<sst xmlns="http://schemas.openxmlformats.org/spreadsheetml/2006/main" count="4877" uniqueCount="1391">
  <si>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</si>
  <si>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</si>
  <si>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</si>
  <si>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</si>
  <si>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</si>
  <si>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</si>
  <si>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</si>
  <si>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</si>
  <si>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</si>
  <si>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</si>
  <si>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</si>
  <si>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</si>
  <si>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</si>
  <si>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</si>
  <si>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</si>
  <si>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</si>
  <si>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</si>
  <si>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</si>
  <si>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</si>
  <si>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</si>
  <si>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</si>
  <si>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</si>
  <si>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</si>
  <si>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</si>
  <si>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</si>
  <si>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</si>
  <si>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</si>
  <si>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</si>
  <si>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</si>
  <si>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</si>
  <si>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</si>
  <si>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</si>
  <si>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</si>
  <si>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</si>
  <si>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</si>
  <si>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</si>
  <si>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</si>
  <si>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</si>
  <si>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</si>
  <si>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</si>
  <si>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</si>
  <si>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</si>
  <si>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</si>
  <si>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</si>
  <si>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</si>
  <si>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</si>
  <si>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</si>
  <si>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</si>
  <si>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</si>
  <si>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</si>
  <si>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</si>
  <si>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</si>
  <si>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</si>
  <si>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</si>
  <si>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</si>
  <si>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</si>
  <si>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</si>
  <si>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</si>
  <si>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</si>
  <si>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</si>
  <si>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</si>
  <si>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</si>
  <si>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</si>
  <si>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</si>
  <si>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</si>
  <si>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</si>
  <si>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</si>
  <si>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</si>
  <si>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</si>
  <si>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</si>
  <si>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</si>
  <si>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</si>
  <si>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</si>
  <si>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</si>
  <si>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</si>
  <si>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</si>
  <si>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</si>
  <si>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</si>
  <si>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</si>
  <si>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</si>
  <si>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</si>
  <si>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</si>
  <si>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</si>
  <si>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</si>
  <si>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</si>
  <si>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</si>
  <si>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</si>
  <si>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</si>
  <si>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</si>
  <si>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</si>
  <si>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</si>
  <si>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</si>
  <si>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</si>
  <si>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</si>
  <si>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</si>
  <si>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</si>
  <si>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</si>
  <si>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</si>
  <si>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</si>
  <si>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</si>
  <si>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</si>
  <si>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</si>
  <si>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</si>
  <si>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</si>
  <si>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</si>
  <si>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</si>
  <si>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</si>
  <si>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</si>
  <si>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</si>
  <si>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</si>
  <si>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</si>
  <si>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</si>
  <si>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</si>
  <si>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</si>
  <si>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</si>
  <si>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</si>
  <si>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</si>
  <si>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</si>
  <si>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</si>
  <si>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</si>
  <si>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</si>
  <si>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</si>
  <si>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</si>
  <si>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</si>
  <si>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</si>
  <si>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</si>
  <si>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</si>
  <si>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</si>
  <si>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</si>
  <si>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</si>
  <si>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</si>
  <si>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</si>
  <si>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</si>
  <si>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</si>
  <si>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</si>
  <si>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</si>
  <si>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</si>
  <si>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</si>
  <si>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</si>
  <si>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</si>
  <si>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</si>
  <si>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</si>
  <si>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</si>
  <si>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</si>
  <si>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</si>
  <si>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</si>
  <si>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</si>
  <si>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</si>
  <si>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</si>
  <si>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</si>
  <si>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</si>
  <si>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</si>
  <si>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</si>
  <si>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</si>
  <si>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</si>
  <si>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</si>
  <si>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</si>
  <si>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</si>
  <si>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</si>
  <si>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</si>
  <si>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</si>
  <si>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</si>
  <si>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</si>
  <si>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</si>
  <si>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</si>
  <si>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</si>
  <si>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</si>
  <si>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</si>
  <si>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</si>
  <si>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</si>
  <si>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</si>
  <si>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</si>
  <si>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</si>
  <si>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</si>
  <si>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</si>
  <si>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</si>
  <si>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</si>
  <si>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</si>
  <si>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</si>
  <si>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</si>
  <si>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</si>
  <si>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</si>
  <si>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</si>
  <si>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</si>
  <si>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</si>
  <si>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</si>
  <si>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</si>
  <si>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</si>
  <si>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</si>
  <si>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</si>
  <si>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</si>
  <si>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</si>
  <si>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</si>
  <si>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</si>
  <si>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</si>
  <si>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</si>
  <si>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</si>
  <si>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</si>
  <si>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</si>
  <si>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</si>
  <si>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</si>
  <si>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</si>
  <si>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</si>
  <si>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</si>
  <si>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</si>
  <si>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</si>
  <si>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</si>
  <si>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</si>
  <si>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</si>
  <si>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</si>
  <si>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</si>
  <si>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</si>
  <si>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</si>
  <si>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</si>
  <si>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</si>
  <si>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</si>
  <si>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</si>
  <si>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</si>
  <si>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</si>
  <si>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</si>
  <si>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</si>
  <si>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</si>
  <si>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</si>
  <si>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</si>
  <si>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</si>
  <si>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</si>
  <si>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</si>
  <si>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</si>
  <si>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</si>
  <si>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</si>
  <si>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</si>
  <si>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</si>
  <si>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</si>
  <si>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</si>
  <si>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</si>
  <si>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</si>
  <si>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</si>
  <si>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</si>
  <si>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</si>
  <si>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</si>
  <si>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</si>
  <si>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</si>
  <si>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</si>
  <si>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</si>
  <si>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</si>
  <si>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</si>
  <si>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</si>
  <si>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</si>
  <si>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</si>
  <si>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</si>
  <si>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</si>
  <si>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</si>
  <si>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</si>
  <si>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</si>
  <si>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</si>
  <si>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</si>
  <si>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</si>
  <si>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</si>
  <si>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</si>
  <si>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</si>
  <si>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</si>
  <si>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</si>
  <si>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</si>
  <si>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</si>
  <si>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</si>
  <si>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</si>
  <si>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</si>
  <si>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</si>
  <si>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</si>
  <si>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</si>
  <si>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</si>
  <si>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</si>
  <si>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</si>
  <si>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</si>
  <si>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</si>
  <si>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</si>
  <si>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</si>
  <si>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</si>
  <si>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</si>
  <si>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</si>
  <si>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</si>
  <si>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</si>
  <si>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</si>
  <si>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</si>
  <si>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</si>
  <si>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</si>
  <si>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</si>
  <si>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</si>
  <si>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</si>
  <si>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</si>
  <si>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</si>
  <si>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</si>
  <si>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</si>
  <si>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</si>
  <si>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</si>
  <si>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</si>
  <si>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</si>
  <si>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06/30/2023</t>
  </si>
  <si>
    <t>License Number</t>
  </si>
  <si>
    <t>:</t>
  </si>
  <si>
    <t>010</t>
  </si>
  <si>
    <t>Hospital Name</t>
  </si>
  <si>
    <t>Virginia Mason Medical Center</t>
  </si>
  <si>
    <t>Mailing Address</t>
  </si>
  <si>
    <t>PO Box 900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</si>
  <si>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</si>
  <si>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</si>
  <si>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</si>
  <si>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</si>
  <si>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</si>
  <si>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</si>
  <si>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</si>
  <si>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</si>
  <si>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</si>
  <si>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</si>
  <si>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</si>
  <si>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</si>
  <si>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</si>
  <si>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</si>
  <si>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(206) 625-7371</t>
  </si>
  <si>
    <t>Facsimile Number</t>
  </si>
  <si>
    <t>(206) 625-7333</t>
  </si>
  <si>
    <t>Name of Submitter</t>
  </si>
  <si>
    <t>Caroline Leung</t>
  </si>
  <si>
    <t>Email of Submitter</t>
  </si>
  <si>
    <t>caroline.leung@commonspirit.org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</si>
  <si>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</si>
  <si>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</si>
  <si>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</si>
  <si>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</si>
  <si>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</si>
  <si>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</si>
  <si>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</si>
  <si>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</si>
  <si>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</si>
  <si>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</si>
  <si>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</si>
  <si>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</si>
  <si>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</si>
  <si>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</si>
  <si>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</si>
  <si>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</si>
  <si>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</si>
  <si>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</si>
  <si>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</si>
  <si>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</si>
  <si>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</si>
  <si>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</si>
  <si>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</si>
  <si>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</si>
  <si>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</si>
  <si>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</si>
  <si>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</si>
  <si>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</si>
  <si>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</si>
  <si>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</si>
  <si>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</si>
  <si>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</si>
  <si>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</si>
  <si>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</si>
  <si>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</si>
  <si>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</si>
  <si>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</si>
  <si>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</si>
  <si>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</si>
  <si>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</si>
  <si>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</si>
  <si>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</si>
  <si>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</si>
  <si>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</si>
  <si>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</si>
  <si>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</si>
  <si>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</si>
  <si>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</si>
  <si>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</si>
  <si>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</si>
  <si>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</si>
  <si>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</si>
  <si>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</si>
  <si>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</si>
  <si>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</si>
  <si>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</si>
  <si>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</si>
  <si>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</si>
  <si>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</si>
  <si>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</si>
  <si>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</si>
  <si>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</si>
  <si>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</si>
  <si>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</si>
  <si>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</si>
  <si>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</si>
  <si>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</si>
  <si>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</si>
  <si>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</si>
  <si>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</si>
  <si>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</si>
  <si>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</si>
  <si>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</si>
  <si>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</si>
  <si>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</si>
  <si>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</si>
  <si>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</si>
  <si>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</si>
  <si>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</si>
  <si>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</si>
  <si>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</si>
  <si>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</si>
  <si>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</si>
  <si>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</si>
  <si>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</si>
  <si>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</si>
  <si>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</si>
  <si>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</si>
  <si>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</si>
  <si>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</si>
  <si>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</si>
  <si>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</si>
  <si>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</si>
  <si>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</si>
  <si>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</si>
  <si>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</si>
  <si>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</si>
  <si>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</si>
  <si>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</si>
  <si>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</si>
  <si>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</si>
  <si>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</si>
  <si>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</si>
  <si>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</si>
  <si>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</si>
  <si>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</si>
  <si>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</si>
  <si>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</si>
  <si>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</si>
  <si>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</si>
  <si>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</si>
  <si>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</si>
  <si>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</si>
  <si>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</si>
  <si>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</si>
  <si>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</si>
  <si>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</si>
  <si>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</si>
  <si>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</si>
  <si>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</si>
  <si>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</si>
  <si>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</si>
  <si>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</si>
  <si>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</si>
  <si>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</si>
  <si>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</si>
  <si>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</si>
  <si>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</si>
  <si>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</si>
  <si>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</si>
  <si>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</si>
  <si>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</si>
  <si>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</si>
  <si>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</si>
  <si>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</si>
  <si>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</si>
  <si>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</si>
  <si>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</si>
  <si>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</si>
  <si>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</si>
  <si>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</si>
  <si>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</si>
  <si>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</si>
  <si>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</si>
  <si>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</si>
  <si>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</si>
  <si>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</si>
  <si>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</si>
  <si>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</si>
  <si>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</si>
  <si>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</si>
  <si>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</si>
  <si>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</si>
  <si>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</si>
  <si>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</si>
  <si>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</si>
  <si>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</si>
  <si>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</si>
  <si>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</si>
  <si>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</si>
  <si>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</si>
  <si>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</si>
  <si>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</si>
  <si>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</si>
  <si>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</si>
  <si>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</si>
  <si>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</si>
  <si>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</si>
  <si>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</si>
  <si>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</si>
  <si>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</si>
  <si>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</si>
  <si>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</si>
  <si>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</si>
  <si>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</si>
  <si>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</si>
  <si>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</si>
  <si>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</si>
  <si>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</si>
  <si>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</si>
  <si>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</si>
  <si>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</si>
  <si>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</si>
  <si>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</si>
  <si>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</si>
  <si>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</si>
  <si>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</si>
  <si>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</si>
  <si>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</si>
  <si>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</si>
  <si>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</si>
  <si>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</si>
  <si>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</si>
  <si>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</si>
  <si>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</si>
  <si>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</si>
  <si>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</si>
  <si>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</si>
  <si>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</si>
  <si>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</si>
  <si>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</si>
  <si>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</si>
  <si>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</si>
  <si>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</si>
  <si>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</si>
  <si>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</si>
  <si>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</si>
  <si>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</si>
  <si>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</si>
  <si>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</si>
  <si>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</si>
  <si>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</si>
  <si>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</si>
  <si>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</si>
  <si>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</si>
  <si>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</si>
  <si>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</si>
  <si>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</si>
  <si>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</si>
  <si>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</si>
  <si>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</si>
  <si>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</si>
  <si>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</si>
  <si>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</si>
  <si>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</si>
  <si>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</si>
  <si>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</si>
  <si>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</si>
  <si>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</si>
  <si>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</si>
  <si>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</si>
  <si>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</si>
  <si>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</si>
  <si>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</si>
  <si>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</si>
  <si>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</si>
  <si>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</si>
  <si>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</si>
  <si>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</si>
  <si>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</si>
  <si>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</si>
  <si>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</si>
  <si>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</si>
  <si>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</si>
  <si>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</si>
  <si>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</si>
  <si>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</si>
  <si>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</si>
  <si>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</si>
  <si>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</si>
  <si>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</si>
  <si>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</si>
  <si>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</si>
  <si>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</si>
  <si>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</si>
  <si>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</si>
  <si>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</si>
  <si>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</si>
  <si>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</si>
  <si>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</si>
  <si>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</si>
  <si>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</si>
  <si>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</si>
  <si>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</si>
  <si>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</si>
  <si>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</si>
  <si>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</si>
  <si>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</si>
  <si>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</si>
  <si>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</si>
  <si>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</si>
  <si>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</si>
  <si>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</si>
  <si>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</si>
  <si>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</si>
  <si>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</si>
  <si>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</si>
  <si>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</si>
  <si>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</si>
  <si>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</si>
  <si>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</si>
  <si>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</si>
  <si>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</si>
  <si>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</si>
  <si>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</si>
  <si>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</si>
  <si>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</si>
  <si>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</si>
  <si>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</si>
  <si>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</si>
  <si>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</si>
  <si>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</si>
  <si>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</si>
  <si>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</si>
  <si>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</si>
  <si>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</si>
  <si>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</si>
  <si>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</si>
  <si>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</si>
  <si>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</si>
  <si>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</si>
  <si>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</si>
  <si>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</si>
  <si>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</si>
  <si>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</si>
  <si>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</si>
  <si>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</si>
  <si>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</si>
  <si>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</si>
  <si>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</si>
  <si>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</si>
  <si>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</si>
  <si>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</si>
  <si>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</si>
  <si>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</si>
  <si>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</si>
  <si>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</si>
  <si>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</si>
  <si>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</si>
  <si>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</si>
  <si>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</si>
  <si>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</si>
  <si>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</si>
  <si>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</si>
  <si>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</si>
  <si>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</si>
  <si>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</si>
  <si>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</si>
  <si>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</si>
  <si>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</si>
  <si>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</si>
  <si>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</si>
  <si>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</si>
  <si>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</si>
  <si>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</si>
  <si>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</si>
  <si>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</si>
  <si>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</si>
  <si>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</si>
  <si>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</si>
  <si>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</si>
  <si>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</si>
  <si>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</si>
  <si>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</si>
  <si>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</si>
  <si>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</si>
  <si>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</si>
  <si>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</si>
  <si>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</si>
  <si>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</si>
  <si>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</si>
  <si>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</si>
  <si>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</si>
  <si>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</si>
  <si>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</si>
  <si>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</si>
  <si>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</si>
  <si>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</si>
  <si>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</si>
  <si>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</si>
  <si>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</si>
  <si>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</si>
  <si>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</si>
  <si>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</si>
  <si>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</si>
  <si>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</si>
  <si>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</si>
  <si>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</si>
  <si>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</si>
  <si>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</si>
  <si>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</si>
  <si>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</si>
  <si>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</si>
  <si>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</si>
  <si>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</si>
  <si>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</si>
  <si>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</si>
  <si>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</si>
  <si>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</si>
  <si>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</si>
  <si>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</si>
  <si>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</si>
  <si>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</si>
  <si>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</si>
  <si>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</si>
  <si>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</si>
  <si>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</si>
  <si>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</si>
  <si>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</si>
  <si>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</si>
  <si>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</si>
  <si>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</si>
  <si>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</si>
  <si>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</si>
  <si>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</si>
  <si>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</si>
  <si>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</si>
  <si>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</si>
  <si>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</si>
  <si>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</si>
  <si>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</si>
  <si>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</si>
  <si>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</si>
  <si>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</si>
  <si>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</si>
  <si>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</si>
  <si>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</si>
  <si>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</si>
  <si>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</si>
  <si>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</si>
  <si>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</si>
  <si>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</si>
  <si>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</si>
  <si>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</si>
  <si>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</si>
  <si>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</si>
  <si>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</si>
  <si>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</si>
  <si>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</si>
  <si>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</si>
  <si>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</si>
  <si>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</si>
  <si>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</si>
  <si>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</si>
  <si>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</si>
  <si>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</si>
  <si>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</si>
  <si>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</si>
  <si>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</si>
  <si>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</si>
  <si>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</si>
  <si>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</si>
  <si>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</si>
  <si>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</si>
  <si>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</si>
  <si>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</si>
  <si>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</si>
  <si>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</si>
  <si>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</si>
  <si>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</si>
  <si>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</si>
  <si>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</si>
  <si>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</si>
  <si>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</si>
  <si>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</si>
  <si>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</si>
  <si>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</si>
  <si>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</si>
  <si>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</si>
  <si>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</si>
  <si>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</si>
  <si>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</si>
  <si>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</si>
  <si>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</si>
  <si>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</si>
  <si>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</si>
  <si>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</si>
  <si>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</si>
  <si>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</si>
  <si>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</si>
  <si>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</si>
  <si>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</si>
  <si>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</si>
  <si>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</si>
  <si>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</si>
  <si>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</si>
  <si>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</si>
  <si>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</si>
  <si>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</si>
  <si>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</si>
  <si>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</si>
  <si>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</si>
  <si>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</si>
  <si>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</si>
  <si>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</si>
  <si>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</si>
  <si>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</si>
  <si>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</si>
  <si>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</si>
  <si>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</si>
  <si>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</si>
  <si>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</si>
  <si>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</si>
  <si>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</si>
  <si>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</si>
  <si>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</si>
  <si>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</si>
  <si>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</si>
  <si>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</si>
  <si>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</si>
  <si>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</si>
  <si>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</si>
  <si>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</si>
  <si>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</si>
  <si>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</si>
  <si>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</si>
  <si>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</si>
  <si>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</si>
  <si>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</si>
  <si>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</si>
  <si>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</si>
  <si>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</si>
  <si>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</si>
  <si>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</si>
  <si>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</si>
  <si>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</si>
  <si>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</si>
  <si>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</si>
  <si>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</si>
  <si>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</si>
  <si>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</si>
  <si>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</si>
  <si>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</si>
  <si>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</si>
  <si>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</si>
  <si>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</si>
  <si>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</si>
  <si>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</si>
  <si>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</si>
  <si>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</si>
  <si>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</si>
  <si>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</si>
  <si>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</si>
  <si>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</si>
  <si>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</si>
  <si>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</si>
  <si>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</si>
  <si>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</si>
  <si>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</si>
  <si>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</si>
  <si>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</si>
  <si>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</si>
  <si>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</si>
  <si>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</si>
  <si>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</si>
  <si>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</si>
  <si>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</si>
  <si>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</si>
  <si>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</si>
  <si>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</si>
  <si>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</si>
  <si>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</si>
  <si>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</si>
  <si>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</si>
  <si>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</si>
  <si>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</si>
  <si>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</si>
  <si>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</si>
  <si>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</si>
  <si>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</si>
  <si>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</si>
  <si>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</si>
  <si>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</si>
  <si>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</si>
  <si>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</si>
  <si>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</si>
  <si>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</si>
  <si>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</si>
  <si>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</si>
  <si>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</si>
  <si>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</si>
  <si>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</si>
  <si>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</si>
  <si>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</si>
  <si>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</si>
  <si>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</si>
  <si>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</si>
  <si>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</si>
  <si>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</si>
  <si>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</si>
  <si>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</si>
  <si>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</si>
  <si>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</si>
  <si>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</si>
  <si>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</si>
  <si>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</si>
  <si>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</si>
  <si>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</si>
  <si>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</si>
  <si>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</si>
  <si>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</si>
  <si>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</si>
  <si>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</si>
  <si>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</si>
  <si>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</si>
  <si>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</si>
  <si>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</si>
  <si>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</si>
  <si>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</si>
  <si>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</si>
  <si>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</si>
  <si>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</si>
  <si>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</si>
  <si>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</si>
  <si>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</si>
  <si>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</si>
  <si>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</si>
  <si>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</si>
  <si>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</si>
  <si>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</si>
  <si>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</si>
  <si>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</si>
  <si>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</si>
  <si>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</si>
  <si>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</si>
  <si>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</si>
  <si>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</si>
  <si>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</si>
  <si>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</si>
  <si>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</si>
  <si>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</si>
  <si>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</si>
  <si>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</si>
  <si>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</si>
  <si>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</si>
  <si>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</si>
  <si>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</si>
  <si>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</si>
  <si>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</si>
  <si>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</si>
  <si>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</si>
  <si>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</si>
  <si>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</si>
  <si>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</si>
  <si>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</si>
  <si>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</si>
  <si>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</si>
  <si>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</si>
  <si>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</si>
  <si>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</si>
  <si>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</si>
  <si>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</si>
  <si>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</si>
  <si>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</si>
  <si>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</si>
  <si>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</si>
  <si>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</si>
  <si>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</si>
  <si>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</si>
  <si>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</si>
  <si>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</si>
  <si>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</si>
  <si>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</si>
  <si>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</si>
  <si>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</si>
  <si>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</si>
  <si>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</si>
  <si>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</si>
  <si>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</si>
  <si>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</si>
  <si>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</si>
  <si>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</si>
  <si>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</si>
  <si>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</si>
  <si>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</si>
  <si>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</si>
  <si>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</si>
  <si>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</si>
  <si>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</si>
  <si>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</si>
  <si>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</si>
  <si>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</si>
  <si>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</si>
  <si>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</si>
  <si>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</si>
  <si>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</si>
  <si>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</si>
  <si>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</si>
  <si>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</si>
  <si>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</si>
  <si>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</si>
  <si>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</si>
  <si>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</si>
  <si>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</si>
  <si>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</si>
  <si>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</si>
  <si>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</si>
  <si>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</si>
  <si>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</si>
  <si>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</si>
  <si>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</si>
  <si>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</si>
  <si>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</si>
  <si>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</si>
  <si>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</si>
  <si>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</si>
  <si>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</si>
  <si>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</si>
  <si>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</si>
  <si>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</si>
  <si>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</si>
  <si>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</si>
  <si>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</si>
  <si>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</si>
  <si>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</si>
  <si>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</si>
  <si>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</si>
  <si>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</si>
  <si>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</si>
  <si>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</si>
  <si>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</si>
  <si>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</si>
  <si>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</si>
  <si>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</si>
  <si>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</si>
  <si>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</si>
  <si>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</si>
  <si>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</si>
  <si>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</si>
  <si>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</si>
  <si>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</si>
  <si>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</si>
  <si>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</si>
  <si>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</si>
  <si>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</si>
  <si>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</si>
  <si>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</si>
  <si>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</si>
  <si>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</si>
  <si>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</si>
  <si>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</si>
  <si>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</si>
  <si>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</si>
  <si>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</si>
  <si>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</si>
  <si>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</si>
  <si>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</si>
  <si>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</si>
  <si>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</si>
  <si>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</si>
  <si>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</si>
  <si>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</si>
  <si>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</si>
  <si>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</si>
  <si>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</si>
  <si>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</si>
  <si>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</si>
  <si>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</si>
  <si>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</si>
  <si>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</si>
  <si>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</si>
  <si>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</si>
  <si>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</si>
  <si>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</si>
  <si>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</si>
  <si>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</si>
  <si>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</si>
  <si>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</si>
  <si>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</si>
  <si>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</si>
  <si>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</si>
  <si>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</si>
  <si>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</si>
  <si>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</si>
  <si>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</si>
  <si>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</si>
  <si>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</si>
  <si>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</si>
  <si>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</si>
  <si>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</si>
  <si>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</si>
  <si>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</si>
  <si>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</si>
  <si>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</si>
  <si>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</si>
  <si>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</si>
  <si>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</si>
  <si>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</si>
  <si>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</si>
  <si>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</si>
  <si>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</si>
  <si>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</si>
  <si>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</si>
  <si>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</si>
  <si>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</si>
  <si>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</si>
  <si>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</si>
  <si>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</si>
  <si>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</si>
  <si>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</si>
  <si>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</si>
  <si>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</si>
  <si>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</si>
  <si>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</si>
  <si>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</si>
  <si>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</si>
  <si>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</si>
  <si>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</si>
  <si>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</si>
  <si>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</si>
  <si>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</si>
  <si>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</si>
  <si>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</si>
  <si>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</si>
  <si>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</si>
  <si>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</si>
  <si>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</si>
  <si>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</si>
  <si>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</si>
  <si>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</si>
  <si>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</si>
  <si>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</si>
  <si>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</si>
  <si>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</si>
  <si>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</si>
  <si>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</si>
  <si>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</si>
  <si>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</si>
  <si>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</si>
  <si>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</si>
  <si>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</si>
  <si>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</si>
  <si>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</si>
  <si>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</si>
  <si>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</si>
  <si>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</si>
  <si>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</si>
  <si>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</si>
  <si>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</si>
  <si>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</si>
  <si>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</si>
  <si>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</si>
  <si>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</si>
  <si>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</si>
  <si>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</si>
  <si>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</si>
  <si>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</si>
  <si>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</si>
  <si>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</si>
  <si>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</si>
  <si>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</si>
  <si>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</si>
  <si>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</si>
  <si>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</si>
  <si>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</si>
  <si>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</si>
  <si>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</si>
  <si>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</si>
  <si>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</si>
  <si>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</si>
  <si>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</si>
  <si>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</si>
  <si>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</si>
  <si>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</si>
  <si>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</si>
  <si>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</si>
  <si>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</si>
  <si>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</si>
  <si>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</si>
  <si>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</si>
  <si>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</si>
  <si>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</si>
  <si>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</si>
  <si>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</si>
  <si>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</si>
  <si>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</si>
  <si>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</si>
  <si>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</si>
  <si>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</si>
  <si>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</si>
  <si>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</si>
  <si>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</si>
  <si>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</si>
  <si>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</si>
  <si>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</si>
  <si>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</si>
  <si>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</si>
  <si>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</si>
  <si>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</si>
  <si>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</si>
  <si>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</si>
  <si>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</si>
  <si>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</si>
  <si>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</si>
  <si>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</si>
  <si>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</si>
  <si>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</si>
  <si>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</si>
  <si>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</si>
  <si>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</si>
  <si>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</si>
  <si>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</si>
  <si>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</si>
  <si>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</si>
  <si>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</si>
  <si>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</si>
  <si>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</si>
  <si>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</si>
  <si>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</si>
  <si>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</si>
  <si>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</si>
  <si>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</si>
  <si>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</si>
  <si>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</si>
  <si>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</si>
  <si>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</si>
  <si>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</si>
  <si>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</si>
  <si>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</si>
  <si>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</si>
  <si>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</si>
  <si>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</si>
  <si>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</si>
  <si>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</si>
  <si>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</si>
  <si>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</si>
  <si>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</si>
  <si>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</si>
  <si>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</si>
  <si>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</si>
  <si>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</si>
  <si>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</si>
  <si>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</si>
  <si>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</si>
  <si>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</si>
  <si>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</si>
  <si>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</si>
  <si>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</si>
  <si>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</si>
  <si>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</si>
  <si>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</si>
  <si>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</si>
  <si>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</si>
  <si>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</si>
  <si>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</si>
  <si>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</si>
  <si>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</si>
  <si>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</si>
  <si>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</si>
  <si>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</si>
  <si>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</si>
  <si>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</si>
  <si>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</si>
  <si>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</si>
  <si>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</si>
  <si>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</si>
  <si>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</si>
  <si>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</si>
  <si>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</si>
  <si>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</si>
  <si>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</si>
  <si>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</si>
  <si>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</si>
  <si>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</si>
  <si>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</si>
  <si>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</si>
  <si>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</si>
  <si>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</si>
  <si>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</si>
  <si>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</si>
  <si>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</si>
  <si>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</si>
  <si>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</si>
  <si>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</si>
  <si>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</si>
  <si>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</si>
  <si>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</si>
  <si>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</si>
  <si>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</si>
  <si>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</si>
  <si>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</si>
  <si>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</si>
  <si>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</si>
  <si>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</si>
  <si>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</si>
  <si>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</si>
  <si>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</si>
  <si>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</si>
  <si>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</si>
  <si>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</si>
  <si>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</si>
  <si>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</si>
  <si>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</si>
  <si>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</si>
  <si>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</si>
  <si>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</si>
  <si>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</si>
  <si>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</si>
  <si>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</si>
  <si>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</si>
  <si>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</si>
  <si>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</si>
  <si>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</si>
  <si>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</si>
  <si>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</si>
  <si>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</si>
  <si>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</si>
  <si>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</si>
  <si>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</si>
  <si>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</si>
  <si>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</si>
  <si>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</si>
  <si>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</si>
  <si>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</si>
  <si>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</si>
  <si>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</si>
  <si>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</si>
  <si>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</si>
  <si>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</si>
  <si>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</si>
  <si>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</si>
  <si>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</si>
  <si>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</si>
  <si>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</si>
  <si>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</si>
  <si>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</si>
  <si>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</si>
  <si>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</si>
  <si>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</si>
  <si>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</si>
  <si>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</si>
  <si>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</si>
  <si>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</si>
  <si>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</si>
  <si>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</si>
  <si>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</si>
  <si>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</si>
  <si>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</si>
  <si>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</si>
  <si>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</si>
  <si>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</si>
  <si>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</si>
  <si>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</si>
  <si>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</si>
  <si>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</si>
  <si>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</si>
  <si>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</si>
  <si>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</si>
  <si>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</si>
  <si>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</si>
  <si>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</si>
  <si>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</si>
  <si>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</si>
  <si>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</si>
  <si>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</si>
  <si>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</si>
  <si>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06/30/2024</t>
  </si>
  <si>
    <t>Clinic revenue</t>
  </si>
  <si>
    <t>OP pharmacy admin revenue and reimbursement</t>
  </si>
  <si>
    <t>Radiation oncology</t>
  </si>
  <si>
    <t>Transplant program</t>
  </si>
  <si>
    <t>Neurosurgery and neurology</t>
  </si>
  <si>
    <t>General and Vascular Surgery</t>
  </si>
  <si>
    <t>Gastroenterology</t>
  </si>
  <si>
    <t>Exehealth</t>
  </si>
  <si>
    <t>Primary Care</t>
  </si>
  <si>
    <t>Birth Center</t>
  </si>
  <si>
    <t>HIM</t>
  </si>
  <si>
    <t>Others</t>
  </si>
  <si>
    <t>Bank Fees</t>
  </si>
  <si>
    <t>COGS-Pharmacy</t>
  </si>
  <si>
    <t>Donations &amp; Contributions</t>
  </si>
  <si>
    <t>Dues &amp; Subscriptions</t>
  </si>
  <si>
    <t>Licences</t>
  </si>
  <si>
    <t>Misc</t>
  </si>
  <si>
    <t>Postage &amp; Freight</t>
  </si>
  <si>
    <t>Travel</t>
  </si>
  <si>
    <t>Severence</t>
  </si>
  <si>
    <t>During CY, adjusted stat to RVU</t>
  </si>
  <si>
    <t>Adjusted calc method to org standard, changing Floorstock allocation</t>
  </si>
  <si>
    <t>Overall increase in staffing expense</t>
  </si>
  <si>
    <t>More expenses incurred in FY 2024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</si>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</sst>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Calibri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2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6" borderId="0" xfId="0" applyFont="1" applyFill="1"/>
    <xf numFmtId="37" fontId="11" fillId="6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6" borderId="0" xfId="0" quotePrefix="1" applyFont="1" applyFill="1" applyAlignment="1">
      <alignment horizontal="left"/>
    </xf>
    <xf numFmtId="37" fontId="11" fillId="6" borderId="0" xfId="0" applyFont="1" applyFill="1" applyAlignment="1">
      <alignment horizontal="right"/>
    </xf>
    <xf numFmtId="37" fontId="11" fillId="6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6" borderId="0" xfId="0" applyFont="1" applyFill="1" applyAlignment="1">
      <alignment horizontal="centerContinuous"/>
    </xf>
    <xf numFmtId="37" fontId="11" fillId="6" borderId="0" xfId="0" applyFont="1" applyFill="1" applyAlignment="1">
      <alignment horizontal="left" indent="1"/>
    </xf>
    <xf numFmtId="10" fontId="11" fillId="0" borderId="0" xfId="4" applyNumberFormat="1" applyFont="1"/>
    <xf numFmtId="37" fontId="11" fillId="6" borderId="0" xfId="0" applyFont="1" applyFill="1" applyAlignment="1">
      <alignment horizontal="left" indent="2"/>
    </xf>
    <xf numFmtId="37" fontId="11" fillId="6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6" borderId="0" xfId="1" applyFont="1" applyFill="1"/>
    <xf numFmtId="37" fontId="16" fillId="6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7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8" borderId="0" xfId="0" applyFont="1" applyFill="1"/>
    <xf numFmtId="37" fontId="22" fillId="8" borderId="0" xfId="0" applyFont="1" applyFill="1" applyAlignment="1">
      <alignment horizontal="center"/>
    </xf>
    <xf numFmtId="37" fontId="22" fillId="9" borderId="0" xfId="0" applyFont="1" applyFill="1"/>
    <xf numFmtId="37" fontId="22" fillId="9" borderId="0" xfId="0" applyFont="1" applyFill="1" applyAlignment="1">
      <alignment horizontal="left"/>
    </xf>
    <xf numFmtId="37" fontId="22" fillId="9" borderId="0" xfId="0" applyFont="1" applyFill="1" applyAlignment="1">
      <alignment horizontal="center"/>
    </xf>
    <xf numFmtId="39" fontId="22" fillId="9" borderId="0" xfId="0" applyNumberFormat="1" applyFont="1" applyFill="1"/>
    <xf numFmtId="39" fontId="22" fillId="8" borderId="0" xfId="0" applyNumberFormat="1" applyFont="1" applyFill="1"/>
    <xf numFmtId="37" fontId="11" fillId="6" borderId="0" xfId="0" quotePrefix="1" applyFont="1" applyFill="1" applyAlignment="1">
      <alignment horizontal="fill"/>
    </xf>
    <xf numFmtId="38" fontId="11" fillId="6" borderId="0" xfId="0" applyNumberFormat="1" applyFont="1" applyFill="1"/>
    <xf numFmtId="39" fontId="11" fillId="6" borderId="0" xfId="0" applyNumberFormat="1" applyFont="1" applyFill="1"/>
    <xf numFmtId="2" fontId="11" fillId="6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6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1" borderId="1" xfId="0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28" fillId="11" borderId="1" xfId="0" applyFont="1" applyFill="1" applyBorder="1" applyProtection="1">
      <protection locked="0"/>
    </xf>
    <xf numFmtId="37" fontId="13" fillId="11" borderId="1" xfId="1" quotePrefix="1" applyNumberFormat="1" applyFont="1" applyFill="1" applyBorder="1" applyProtection="1">
      <protection locked="0"/>
    </xf>
    <xf numFmtId="37" fontId="13" fillId="11" borderId="1" xfId="1" applyNumberFormat="1" applyFont="1" applyFill="1" applyBorder="1" applyProtection="1">
      <protection locked="0"/>
    </xf>
    <xf numFmtId="2" fontId="13" fillId="11" borderId="1" xfId="0" quotePrefix="1" applyNumberFormat="1" applyFont="1" applyFill="1" applyBorder="1" applyProtection="1">
      <protection locked="0"/>
    </xf>
    <xf numFmtId="2" fontId="13" fillId="11" borderId="1" xfId="1" quotePrefix="1" applyNumberFormat="1" applyFont="1" applyFill="1" applyBorder="1" applyProtection="1">
      <protection locked="0"/>
    </xf>
    <xf numFmtId="2" fontId="13" fillId="11" borderId="1" xfId="4" quotePrefix="1" applyNumberFormat="1" applyFont="1" applyFill="1" applyBorder="1" applyProtection="1">
      <protection locked="0"/>
    </xf>
    <xf numFmtId="2" fontId="13" fillId="11" borderId="1" xfId="1" applyNumberFormat="1" applyFont="1" applyFill="1" applyBorder="1" applyProtection="1">
      <protection locked="0"/>
    </xf>
    <xf numFmtId="37" fontId="13" fillId="11" borderId="1" xfId="4" quotePrefix="1" applyNumberFormat="1" applyFont="1" applyFill="1" applyBorder="1" applyProtection="1">
      <protection locked="0"/>
    </xf>
    <xf numFmtId="1" fontId="13" fillId="11" borderId="1" xfId="0" quotePrefix="1" applyNumberFormat="1" applyFont="1" applyFill="1" applyBorder="1" applyProtection="1">
      <protection locked="0"/>
    </xf>
    <xf numFmtId="37" fontId="13" fillId="10" borderId="1" xfId="0" quotePrefix="1" applyFont="1" applyFill="1" applyBorder="1" applyProtection="1">
      <protection locked="0"/>
    </xf>
    <xf numFmtId="167" fontId="13" fillId="10" borderId="1" xfId="0" quotePrefix="1" applyNumberFormat="1" applyFont="1" applyFill="1" applyBorder="1" applyProtection="1">
      <protection locked="0"/>
    </xf>
    <xf numFmtId="38" fontId="13" fillId="10" borderId="8" xfId="0" applyNumberFormat="1" applyFont="1" applyFill="1" applyBorder="1" applyProtection="1">
      <protection locked="0"/>
    </xf>
    <xf numFmtId="38" fontId="13" fillId="10" borderId="2" xfId="0" applyNumberFormat="1" applyFont="1" applyFill="1" applyBorder="1" applyProtection="1">
      <protection locked="0"/>
    </xf>
    <xf numFmtId="3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4" xfId="0" applyNumberFormat="1" applyFont="1" applyFill="1" applyBorder="1" applyProtection="1">
      <protection locked="0"/>
    </xf>
    <xf numFmtId="166" fontId="13" fillId="10" borderId="14" xfId="0" applyNumberFormat="1" applyFont="1" applyFill="1" applyBorder="1" applyAlignment="1" applyProtection="1">
      <alignment horizontal="left"/>
      <protection locked="0"/>
    </xf>
    <xf numFmtId="49" fontId="13" fillId="10" borderId="1" xfId="0" quotePrefix="1" applyNumberFormat="1" applyFont="1" applyFill="1" applyBorder="1" applyProtection="1">
      <protection locked="0"/>
    </xf>
    <xf numFmtId="16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" xfId="0" applyNumberFormat="1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right"/>
      <protection locked="0"/>
    </xf>
    <xf numFmtId="37" fontId="13" fillId="10" borderId="1" xfId="0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center"/>
      <protection locked="0"/>
    </xf>
    <xf numFmtId="38" fontId="13" fillId="11" borderId="1" xfId="0" applyNumberFormat="1" applyFont="1" applyFill="1" applyBorder="1" applyProtection="1">
      <protection locked="0"/>
    </xf>
    <xf numFmtId="37" fontId="7" fillId="0" borderId="0" xfId="0" applyFont="1" applyAlignment="1">
      <alignment horizontal="center" vertical="center"/>
    </xf>
    <xf numFmtId="37" fontId="30" fillId="0" borderId="0" xfId="0" applyFont="1" applyAlignment="1">
      <alignment vertical="center" wrapText="1"/>
    </xf>
    <xf numFmtId="37" fontId="29" fillId="10" borderId="35" xfId="0" quotePrefix="1" applyFont="1" applyFill="1" applyBorder="1" applyAlignment="1">
      <alignment horizontal="left"/>
    </xf>
    <xf numFmtId="37" fontId="3" fillId="10" borderId="33" xfId="0" applyFont="1" applyFill="1" applyBorder="1"/>
    <xf numFmtId="38" fontId="3" fillId="10" borderId="33" xfId="0" applyNumberFormat="1" applyFont="1" applyFill="1" applyBorder="1"/>
    <xf numFmtId="37" fontId="3" fillId="10" borderId="38" xfId="0" applyFont="1" applyFill="1" applyBorder="1"/>
    <xf numFmtId="37" fontId="3" fillId="10" borderId="36" xfId="0" quotePrefix="1" applyFont="1" applyFill="1" applyBorder="1" applyAlignment="1">
      <alignment vertical="center" readingOrder="1"/>
    </xf>
    <xf numFmtId="37" fontId="3" fillId="10" borderId="0" xfId="0" quotePrefix="1" applyFont="1" applyFill="1" applyAlignment="1">
      <alignment horizontal="left"/>
    </xf>
    <xf numFmtId="38" fontId="3" fillId="10" borderId="0" xfId="0" applyNumberFormat="1" applyFont="1" applyFill="1"/>
    <xf numFmtId="37" fontId="3" fillId="10" borderId="0" xfId="0" applyFont="1" applyFill="1"/>
    <xf numFmtId="37" fontId="3" fillId="10" borderId="39" xfId="0" applyFont="1" applyFill="1" applyBorder="1"/>
    <xf numFmtId="37" fontId="2" fillId="10" borderId="36" xfId="0" quotePrefix="1" applyFont="1" applyFill="1" applyBorder="1"/>
    <xf numFmtId="37" fontId="3" fillId="10" borderId="36" xfId="0" applyFont="1" applyFill="1" applyBorder="1" applyAlignment="1">
      <alignment vertical="center" readingOrder="1"/>
    </xf>
    <xf numFmtId="37" fontId="2" fillId="10" borderId="37" xfId="0" quotePrefix="1" applyFont="1" applyFill="1" applyBorder="1"/>
    <xf numFmtId="37" fontId="3" fillId="10" borderId="34" xfId="0" applyFont="1" applyFill="1" applyBorder="1"/>
    <xf numFmtId="38" fontId="3" fillId="10" borderId="34" xfId="0" applyNumberFormat="1" applyFont="1" applyFill="1" applyBorder="1"/>
    <xf numFmtId="37" fontId="3" fillId="10" borderId="40" xfId="0" applyFont="1" applyFill="1" applyBorder="1"/>
    <xf numFmtId="37" fontId="31" fillId="0" borderId="0" xfId="0" applyFont="1"/>
    <xf numFmtId="37" fontId="11" fillId="10" borderId="0" xfId="0" applyFont="1" applyFill="1" applyProtection="1"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4" borderId="2" xfId="0" applyFont="1" applyFill="1" applyBorder="1"/>
    <xf numFmtId="37" fontId="23" fillId="5" borderId="2" xfId="0" applyFont="1" applyFill="1" applyBorder="1"/>
    <xf numFmtId="37" fontId="26" fillId="0" borderId="0" xfId="0" applyFont="1"/>
    <xf numFmtId="37" fontId="23" fillId="5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5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5" borderId="2" xfId="0" quotePrefix="1" applyFont="1" applyFill="1" applyBorder="1"/>
    <xf numFmtId="39" fontId="23" fillId="5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5" borderId="2" xfId="0" applyNumberFormat="1" applyFont="1" applyFill="1" applyBorder="1"/>
    <xf numFmtId="2" fontId="23" fillId="0" borderId="2" xfId="0" applyNumberFormat="1" applyFont="1" applyBorder="1"/>
    <xf numFmtId="3" fontId="23" fillId="5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1" borderId="0" xfId="0" applyFont="1" applyFill="1"/>
    <xf numFmtId="2" fontId="11" fillId="11" borderId="0" xfId="0" applyNumberFormat="1" applyFont="1" applyFill="1"/>
    <xf numFmtId="37" fontId="32" fillId="0" borderId="33" xfId="0" applyFont="1" applyBorder="1"/>
    <xf numFmtId="37" fontId="13" fillId="3" borderId="0" xfId="0" applyFont="1" applyFill="1" applyAlignment="1">
      <alignment horizontal="center" vertical="center"/>
    </xf>
    <xf numFmtId="37" fontId="36" fillId="0" borderId="0" xfId="0" applyFont="1"/>
    <xf numFmtId="37" fontId="38" fillId="0" borderId="0" xfId="0" applyFont="1" applyAlignment="1">
      <alignment vertical="center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9" fillId="0" borderId="0" xfId="0" applyFont="1" applyAlignment="1">
      <alignment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688788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6235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carolineleung@chifranciscan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5" zoomScaleNormal="85" workbookViewId="0">
      <selection activeCell="H21" sqref="H2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/>
    <row r="2" spans="1:5" x14ac:dyDescent="0.25">
      <c r="E2" s="320" t="s">
        <v>1389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  <c r="C5" s="13"/>
    </row>
    <row r="7" spans="1:5" x14ac:dyDescent="0.25">
      <c r="A7" s="319" t="s">
        <v>1388</v>
      </c>
    </row>
    <row r="8" spans="1:5" x14ac:dyDescent="0.25">
      <c r="C8" s="13"/>
    </row>
    <row r="9" spans="1:5" x14ac:dyDescent="0.25">
      <c r="A9" s="56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59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4" x14ac:dyDescent="0.25">
      <c r="A33" s="14" t="s">
        <v>26</v>
      </c>
      <c r="B33" s="58"/>
      <c r="C33" s="58"/>
      <c r="D33" s="58"/>
    </row>
    <row r="34" spans="1:84" ht="16.5" x14ac:dyDescent="0.25">
      <c r="A34" s="14" t="s">
        <v>27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21" t="s">
        <v>28</v>
      </c>
      <c r="B36" s="322"/>
      <c r="C36" s="323"/>
      <c r="D36" s="322"/>
      <c r="E36" s="322"/>
      <c r="F36" s="322"/>
      <c r="G36" s="322"/>
    </row>
    <row r="37" spans="1:84" x14ac:dyDescent="0.25">
      <c r="A37" s="324" t="s">
        <v>29</v>
      </c>
      <c r="B37" s="325"/>
      <c r="C37" s="323"/>
      <c r="D37" s="322"/>
      <c r="E37" s="322"/>
      <c r="F37" s="322"/>
      <c r="G37" s="322"/>
    </row>
    <row r="38" spans="1:84" x14ac:dyDescent="0.25">
      <c r="A38" s="326" t="s">
        <v>30</v>
      </c>
      <c r="B38" s="325"/>
      <c r="C38" s="323"/>
      <c r="D38" s="322"/>
      <c r="E38" s="322"/>
      <c r="F38" s="322"/>
      <c r="G38" s="322"/>
    </row>
    <row r="39" spans="1:84" x14ac:dyDescent="0.25">
      <c r="A39" s="327" t="s">
        <v>31</v>
      </c>
      <c r="B39" s="322"/>
      <c r="C39" s="323"/>
      <c r="D39" s="322"/>
      <c r="E39" s="322"/>
      <c r="F39" s="322"/>
      <c r="G39" s="322"/>
    </row>
    <row r="40" spans="1:84" x14ac:dyDescent="0.25">
      <c r="A40" s="326" t="s">
        <v>32</v>
      </c>
      <c r="B40" s="322"/>
      <c r="C40" s="323"/>
      <c r="D40" s="322"/>
      <c r="E40" s="322"/>
      <c r="F40" s="322"/>
      <c r="G40" s="322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233">
        <v>83177104.600000009</v>
      </c>
      <c r="C47" s="234">
        <v>2228606.92</v>
      </c>
      <c r="D47" s="234">
        <v>0</v>
      </c>
      <c r="E47" s="234">
        <v>9545418.5999999996</v>
      </c>
      <c r="F47" s="234">
        <v>332.87</v>
      </c>
      <c r="G47" s="234">
        <v>0</v>
      </c>
      <c r="H47" s="234">
        <v>0</v>
      </c>
      <c r="I47" s="234">
        <v>0</v>
      </c>
      <c r="J47" s="234">
        <v>0</v>
      </c>
      <c r="K47" s="234">
        <v>3259375.3699999992</v>
      </c>
      <c r="L47" s="234">
        <v>0</v>
      </c>
      <c r="M47" s="234">
        <v>0</v>
      </c>
      <c r="N47" s="234">
        <v>0</v>
      </c>
      <c r="O47" s="234">
        <v>0</v>
      </c>
      <c r="P47" s="234">
        <v>3354159</v>
      </c>
      <c r="Q47" s="234">
        <v>2345581</v>
      </c>
      <c r="R47" s="234">
        <v>4883297</v>
      </c>
      <c r="S47" s="234">
        <v>1959115</v>
      </c>
      <c r="T47" s="234">
        <v>654043</v>
      </c>
      <c r="U47" s="234">
        <v>3737420.82</v>
      </c>
      <c r="V47" s="234">
        <v>0</v>
      </c>
      <c r="W47" s="234">
        <v>394959</v>
      </c>
      <c r="X47" s="234">
        <v>650303</v>
      </c>
      <c r="Y47" s="234">
        <v>2804353.74</v>
      </c>
      <c r="Z47" s="234">
        <v>2391621</v>
      </c>
      <c r="AA47" s="234">
        <v>267408</v>
      </c>
      <c r="AB47" s="234">
        <v>2632248.9500000002</v>
      </c>
      <c r="AC47" s="234">
        <v>531253.02</v>
      </c>
      <c r="AD47" s="234">
        <v>5315</v>
      </c>
      <c r="AE47" s="234">
        <v>1518638</v>
      </c>
      <c r="AF47" s="234">
        <v>120099</v>
      </c>
      <c r="AG47" s="234">
        <v>2051231</v>
      </c>
      <c r="AH47" s="234">
        <v>0</v>
      </c>
      <c r="AI47" s="234">
        <v>0</v>
      </c>
      <c r="AJ47" s="234">
        <v>30808430.729999993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24695398.179999996</v>
      </c>
      <c r="AQ47" s="234">
        <v>0</v>
      </c>
      <c r="AR47" s="234">
        <v>0</v>
      </c>
      <c r="AS47" s="234">
        <v>0</v>
      </c>
      <c r="AT47" s="234">
        <v>548174</v>
      </c>
      <c r="AU47" s="234">
        <v>0</v>
      </c>
      <c r="AV47" s="234">
        <v>1674640</v>
      </c>
      <c r="AW47" s="234">
        <v>3510994</v>
      </c>
      <c r="AX47" s="234">
        <v>0</v>
      </c>
      <c r="AY47" s="234">
        <v>702921</v>
      </c>
      <c r="AZ47" s="234">
        <v>280009</v>
      </c>
      <c r="BA47" s="234">
        <v>0</v>
      </c>
      <c r="BB47" s="234">
        <v>0</v>
      </c>
      <c r="BC47" s="234">
        <v>0</v>
      </c>
      <c r="BD47" s="234">
        <v>0</v>
      </c>
      <c r="BE47" s="234">
        <v>370203.36</v>
      </c>
      <c r="BF47" s="234">
        <v>1501639</v>
      </c>
      <c r="BG47" s="234">
        <v>2329115</v>
      </c>
      <c r="BH47" s="234">
        <v>497676</v>
      </c>
      <c r="BI47" s="234">
        <v>40151</v>
      </c>
      <c r="BJ47" s="234">
        <v>41473</v>
      </c>
      <c r="BK47" s="234">
        <v>3217292.98</v>
      </c>
      <c r="BL47" s="234">
        <v>1348726</v>
      </c>
      <c r="BM47" s="234">
        <v>153616</v>
      </c>
      <c r="BN47" s="234">
        <v>489677.48</v>
      </c>
      <c r="BO47" s="234">
        <v>27870</v>
      </c>
      <c r="BP47" s="234">
        <v>153164</v>
      </c>
      <c r="BQ47" s="234">
        <v>0</v>
      </c>
      <c r="BR47" s="234">
        <v>293509</v>
      </c>
      <c r="BS47" s="234">
        <v>0</v>
      </c>
      <c r="BT47" s="234">
        <v>0</v>
      </c>
      <c r="BU47" s="234">
        <v>0</v>
      </c>
      <c r="BV47" s="234">
        <v>854003</v>
      </c>
      <c r="BW47" s="234">
        <v>-15742499.419999998</v>
      </c>
      <c r="BX47" s="234">
        <v>328039</v>
      </c>
      <c r="BY47" s="234">
        <v>754073.92</v>
      </c>
      <c r="BZ47" s="234">
        <v>0</v>
      </c>
      <c r="CA47" s="234">
        <v>392128</v>
      </c>
      <c r="CB47" s="234">
        <v>0</v>
      </c>
      <c r="CC47" s="234">
        <v>-21428098.919999987</v>
      </c>
      <c r="CD47" s="16"/>
      <c r="CE47" s="25">
        <f>SUM(C47:CC47)</f>
        <v>83177104.600000009</v>
      </c>
      <c r="CF47" s="315">
        <v>0</v>
      </c>
    </row>
    <row r="48" spans="1:84" x14ac:dyDescent="0.25">
      <c r="A48" s="25" t="s">
        <v>232</v>
      </c>
      <c r="B48" s="233">
        <v>0</v>
      </c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  <c r="CF48" s="315">
        <v>0</v>
      </c>
    </row>
    <row r="49" spans="1:84" x14ac:dyDescent="0.25">
      <c r="A49" s="16" t="s">
        <v>233</v>
      </c>
      <c r="B49" s="25">
        <f>B47+B48</f>
        <v>83177104.600000009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5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5">
        <v>0</v>
      </c>
    </row>
    <row r="51" spans="1:84" x14ac:dyDescent="0.25">
      <c r="A51" s="21" t="s">
        <v>234</v>
      </c>
      <c r="B51" s="234">
        <v>32152302.290000007</v>
      </c>
      <c r="C51" s="234">
        <v>263368.14</v>
      </c>
      <c r="D51" s="234">
        <v>0</v>
      </c>
      <c r="E51" s="234">
        <v>447006.17</v>
      </c>
      <c r="F51" s="234">
        <v>1126217.2999999998</v>
      </c>
      <c r="G51" s="234">
        <v>0</v>
      </c>
      <c r="H51" s="234">
        <v>0</v>
      </c>
      <c r="I51" s="234">
        <v>0</v>
      </c>
      <c r="J51" s="234">
        <v>0</v>
      </c>
      <c r="K51" s="234">
        <v>220061.32</v>
      </c>
      <c r="L51" s="234">
        <v>0</v>
      </c>
      <c r="M51" s="234">
        <v>0</v>
      </c>
      <c r="N51" s="234">
        <v>0</v>
      </c>
      <c r="O51" s="234">
        <v>0</v>
      </c>
      <c r="P51" s="234">
        <v>2670409.8500000006</v>
      </c>
      <c r="Q51" s="234">
        <v>72397.919999999998</v>
      </c>
      <c r="R51" s="234">
        <v>188270.52000000002</v>
      </c>
      <c r="S51" s="234">
        <v>240863.46</v>
      </c>
      <c r="T51" s="234">
        <v>8705.99</v>
      </c>
      <c r="U51" s="234">
        <v>233394.55000000002</v>
      </c>
      <c r="V51" s="234">
        <v>0</v>
      </c>
      <c r="W51" s="234">
        <v>1145695.18</v>
      </c>
      <c r="X51" s="234">
        <v>139409.38999999998</v>
      </c>
      <c r="Y51" s="234">
        <v>1376362.7899999998</v>
      </c>
      <c r="Z51" s="234">
        <v>209012.75999999998</v>
      </c>
      <c r="AA51" s="234">
        <v>92054.16</v>
      </c>
      <c r="AB51" s="234">
        <v>123854.31</v>
      </c>
      <c r="AC51" s="234">
        <v>72838.600000000006</v>
      </c>
      <c r="AD51" s="234">
        <v>0</v>
      </c>
      <c r="AE51" s="234">
        <v>27543.629999999997</v>
      </c>
      <c r="AF51" s="234">
        <v>316.08</v>
      </c>
      <c r="AG51" s="234">
        <v>47635.45</v>
      </c>
      <c r="AH51" s="234">
        <v>0</v>
      </c>
      <c r="AI51" s="234">
        <v>0</v>
      </c>
      <c r="AJ51" s="234">
        <v>2248099.9600000004</v>
      </c>
      <c r="AK51" s="234">
        <v>0</v>
      </c>
      <c r="AL51" s="234">
        <v>0</v>
      </c>
      <c r="AM51" s="234">
        <v>0</v>
      </c>
      <c r="AN51" s="234">
        <v>0</v>
      </c>
      <c r="AO51" s="234">
        <v>0</v>
      </c>
      <c r="AP51" s="234">
        <v>3547896.9799999995</v>
      </c>
      <c r="AQ51" s="234">
        <v>0</v>
      </c>
      <c r="AR51" s="234">
        <v>0</v>
      </c>
      <c r="AS51" s="234">
        <v>0</v>
      </c>
      <c r="AT51" s="234">
        <v>0</v>
      </c>
      <c r="AU51" s="234">
        <v>0</v>
      </c>
      <c r="AV51" s="234">
        <v>382873.04</v>
      </c>
      <c r="AW51" s="234">
        <v>17486.989999999998</v>
      </c>
      <c r="AX51" s="234">
        <v>614.16</v>
      </c>
      <c r="AY51" s="234">
        <v>7663.33</v>
      </c>
      <c r="AZ51" s="234">
        <v>122455.69</v>
      </c>
      <c r="BA51" s="234">
        <v>0</v>
      </c>
      <c r="BB51" s="234">
        <v>0</v>
      </c>
      <c r="BC51" s="234">
        <v>22808.94</v>
      </c>
      <c r="BD51" s="234">
        <v>0</v>
      </c>
      <c r="BE51" s="234">
        <v>12631670.859999999</v>
      </c>
      <c r="BF51" s="234">
        <v>17809.580000000002</v>
      </c>
      <c r="BG51" s="234">
        <v>10776.92</v>
      </c>
      <c r="BH51" s="234">
        <v>2098159.59</v>
      </c>
      <c r="BI51" s="234">
        <v>23349.7</v>
      </c>
      <c r="BJ51" s="234">
        <v>0</v>
      </c>
      <c r="BK51" s="234">
        <v>18501.939999999999</v>
      </c>
      <c r="BL51" s="234">
        <v>877</v>
      </c>
      <c r="BM51" s="234">
        <v>3755.45</v>
      </c>
      <c r="BN51" s="234">
        <v>22632.76</v>
      </c>
      <c r="BO51" s="234">
        <v>2092.5700000000002</v>
      </c>
      <c r="BP51" s="234">
        <v>1433828.1099999999</v>
      </c>
      <c r="BQ51" s="234">
        <v>0</v>
      </c>
      <c r="BR51" s="234">
        <v>0</v>
      </c>
      <c r="BS51" s="234">
        <v>0</v>
      </c>
      <c r="BT51" s="234">
        <v>86.69</v>
      </c>
      <c r="BU51" s="234">
        <v>66570.12</v>
      </c>
      <c r="BV51" s="234">
        <v>68592.420000000013</v>
      </c>
      <c r="BW51" s="234">
        <v>0</v>
      </c>
      <c r="BX51" s="234">
        <v>17657</v>
      </c>
      <c r="BY51" s="234">
        <v>160623.60999999999</v>
      </c>
      <c r="BZ51" s="234">
        <v>0</v>
      </c>
      <c r="CA51" s="234">
        <v>6436.94</v>
      </c>
      <c r="CB51" s="234">
        <v>0</v>
      </c>
      <c r="CC51" s="234">
        <v>513564.37000000005</v>
      </c>
      <c r="CD51" s="16"/>
      <c r="CE51" s="25">
        <f>SUM(C51:CD51)</f>
        <v>32152302.290000007</v>
      </c>
      <c r="CF51" s="315">
        <v>0</v>
      </c>
    </row>
    <row r="52" spans="1:84" x14ac:dyDescent="0.25">
      <c r="A52" s="31" t="s">
        <v>235</v>
      </c>
      <c r="B52" s="235">
        <v>0</v>
      </c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  <c r="CF52" s="315">
        <v>0</v>
      </c>
    </row>
    <row r="53" spans="1:84" x14ac:dyDescent="0.25">
      <c r="A53" s="16" t="s">
        <v>233</v>
      </c>
      <c r="B53" s="25">
        <f>B51+B52</f>
        <v>32152302.290000007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5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5">
        <v>0</v>
      </c>
    </row>
    <row r="55" spans="1:84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5">
        <v>0</v>
      </c>
    </row>
    <row r="56" spans="1:84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5">
        <v>0</v>
      </c>
    </row>
    <row r="57" spans="1:84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5">
        <v>0</v>
      </c>
    </row>
    <row r="58" spans="1:84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5">
        <v>0</v>
      </c>
    </row>
    <row r="59" spans="1:84" x14ac:dyDescent="0.25">
      <c r="A59" s="31" t="s">
        <v>261</v>
      </c>
      <c r="B59" s="25"/>
      <c r="C59" s="234">
        <v>6847</v>
      </c>
      <c r="D59" s="234"/>
      <c r="E59" s="234">
        <v>54379</v>
      </c>
      <c r="F59" s="234">
        <v>2062</v>
      </c>
      <c r="G59" s="234"/>
      <c r="H59" s="234"/>
      <c r="I59" s="234"/>
      <c r="J59" s="234"/>
      <c r="K59" s="234">
        <v>10617</v>
      </c>
      <c r="L59" s="234"/>
      <c r="M59" s="234"/>
      <c r="N59" s="234"/>
      <c r="O59" s="234"/>
      <c r="P59" s="236">
        <v>2283052</v>
      </c>
      <c r="Q59" s="236">
        <v>2173536</v>
      </c>
      <c r="R59" s="236">
        <v>2674452</v>
      </c>
      <c r="S59" s="229">
        <v>0</v>
      </c>
      <c r="T59" s="229">
        <v>0</v>
      </c>
      <c r="U59" s="237">
        <v>2444363</v>
      </c>
      <c r="V59" s="236"/>
      <c r="W59" s="236">
        <v>15434.22</v>
      </c>
      <c r="X59" s="236">
        <v>34526.75</v>
      </c>
      <c r="Y59" s="236">
        <v>57431.31</v>
      </c>
      <c r="Z59" s="236">
        <v>402797.88000000006</v>
      </c>
      <c r="AA59" s="236">
        <v>7102.42</v>
      </c>
      <c r="AB59" s="229">
        <v>0</v>
      </c>
      <c r="AC59" s="236">
        <v>67315</v>
      </c>
      <c r="AD59" s="236">
        <v>19971</v>
      </c>
      <c r="AE59" s="236">
        <v>218155</v>
      </c>
      <c r="AF59" s="236">
        <v>1348</v>
      </c>
      <c r="AG59" s="236">
        <v>22719</v>
      </c>
      <c r="AH59" s="236"/>
      <c r="AI59" s="236"/>
      <c r="AJ59" s="236">
        <v>346826</v>
      </c>
      <c r="AK59" s="236"/>
      <c r="AL59" s="236"/>
      <c r="AM59" s="236"/>
      <c r="AN59" s="236"/>
      <c r="AO59" s="236"/>
      <c r="AP59" s="236">
        <v>579507</v>
      </c>
      <c r="AQ59" s="236"/>
      <c r="AR59" s="236"/>
      <c r="AS59" s="236"/>
      <c r="AT59" s="236">
        <v>81</v>
      </c>
      <c r="AU59" s="236"/>
      <c r="AV59" s="229">
        <v>0</v>
      </c>
      <c r="AW59" s="229">
        <v>0</v>
      </c>
      <c r="AX59" s="229">
        <v>0</v>
      </c>
      <c r="AY59" s="236">
        <v>186918</v>
      </c>
      <c r="AZ59" s="236">
        <v>351252</v>
      </c>
      <c r="BA59" s="229">
        <v>0</v>
      </c>
      <c r="BB59" s="229">
        <v>0</v>
      </c>
      <c r="BC59" s="229">
        <v>0</v>
      </c>
      <c r="BD59" s="229">
        <v>0</v>
      </c>
      <c r="BE59" s="236">
        <v>1475211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  <c r="CF59" s="315">
        <v>0</v>
      </c>
    </row>
    <row r="60" spans="1:84" s="201" customFormat="1" x14ac:dyDescent="0.25">
      <c r="A60" s="206" t="s">
        <v>262</v>
      </c>
      <c r="B60" s="207"/>
      <c r="C60" s="238">
        <v>73.619172602739724</v>
      </c>
      <c r="D60" s="238">
        <v>0</v>
      </c>
      <c r="E60" s="238">
        <v>340.69677465753432</v>
      </c>
      <c r="F60" s="238">
        <v>32.421784931506849</v>
      </c>
      <c r="G60" s="238">
        <v>0</v>
      </c>
      <c r="H60" s="238">
        <v>0</v>
      </c>
      <c r="I60" s="238">
        <v>0</v>
      </c>
      <c r="J60" s="238">
        <v>0.6307191780821918</v>
      </c>
      <c r="K60" s="238">
        <v>133.25676095890415</v>
      </c>
      <c r="L60" s="238">
        <v>0</v>
      </c>
      <c r="M60" s="238">
        <v>0</v>
      </c>
      <c r="N60" s="238">
        <v>0</v>
      </c>
      <c r="O60" s="238">
        <v>0</v>
      </c>
      <c r="P60" s="239">
        <v>112.8275773972603</v>
      </c>
      <c r="Q60" s="239">
        <v>75.400581506849292</v>
      </c>
      <c r="R60" s="239">
        <v>84.474590410958911</v>
      </c>
      <c r="S60" s="240">
        <v>116.37527808219177</v>
      </c>
      <c r="T60" s="240">
        <v>16.773836301369862</v>
      </c>
      <c r="U60" s="241">
        <v>149.03876438356158</v>
      </c>
      <c r="V60" s="239">
        <v>0</v>
      </c>
      <c r="W60" s="239">
        <v>8.8173678082191778</v>
      </c>
      <c r="X60" s="239">
        <v>16.469226027397259</v>
      </c>
      <c r="Y60" s="239">
        <v>91.947752054794506</v>
      </c>
      <c r="Z60" s="239">
        <v>53.675976027397269</v>
      </c>
      <c r="AA60" s="239">
        <v>7.5233602739726022</v>
      </c>
      <c r="AB60" s="240">
        <v>77.573980821917814</v>
      </c>
      <c r="AC60" s="239">
        <v>21.56639109589041</v>
      </c>
      <c r="AD60" s="239">
        <v>8.121438356164383E-2</v>
      </c>
      <c r="AE60" s="239">
        <v>57.525813013698624</v>
      </c>
      <c r="AF60" s="239">
        <v>5.0108636986301365</v>
      </c>
      <c r="AG60" s="239">
        <v>53.512339041095892</v>
      </c>
      <c r="AH60" s="239">
        <v>0</v>
      </c>
      <c r="AI60" s="239">
        <v>0</v>
      </c>
      <c r="AJ60" s="239">
        <v>858.60232260274017</v>
      </c>
      <c r="AK60" s="239">
        <v>0</v>
      </c>
      <c r="AL60" s="239">
        <v>0</v>
      </c>
      <c r="AM60" s="239">
        <v>0</v>
      </c>
      <c r="AN60" s="239">
        <v>0</v>
      </c>
      <c r="AO60" s="239">
        <v>0</v>
      </c>
      <c r="AP60" s="239">
        <v>834.77459589041018</v>
      </c>
      <c r="AQ60" s="239">
        <v>0</v>
      </c>
      <c r="AR60" s="239">
        <v>0</v>
      </c>
      <c r="AS60" s="239">
        <v>0</v>
      </c>
      <c r="AT60" s="239">
        <v>19.385785616438355</v>
      </c>
      <c r="AU60" s="239">
        <v>0</v>
      </c>
      <c r="AV60" s="240">
        <v>49.562167123287651</v>
      </c>
      <c r="AW60" s="240">
        <v>163.34069452054794</v>
      </c>
      <c r="AX60" s="240">
        <v>0</v>
      </c>
      <c r="AY60" s="239">
        <v>40.976767808219172</v>
      </c>
      <c r="AZ60" s="239">
        <v>17.617954794520546</v>
      </c>
      <c r="BA60" s="240">
        <v>0</v>
      </c>
      <c r="BB60" s="240">
        <v>0</v>
      </c>
      <c r="BC60" s="240">
        <v>0</v>
      </c>
      <c r="BD60" s="240">
        <v>0</v>
      </c>
      <c r="BE60" s="239">
        <v>37.411677397260277</v>
      </c>
      <c r="BF60" s="240">
        <v>93.237981506849323</v>
      </c>
      <c r="BG60" s="240">
        <v>164.11966506849313</v>
      </c>
      <c r="BH60" s="240">
        <v>20.759032191780818</v>
      </c>
      <c r="BI60" s="240">
        <v>1.0027308219178082</v>
      </c>
      <c r="BJ60" s="240">
        <v>2.9847472602739731</v>
      </c>
      <c r="BK60" s="240">
        <v>178.29773835616442</v>
      </c>
      <c r="BL60" s="240">
        <v>67.731247260273975</v>
      </c>
      <c r="BM60" s="240">
        <v>5.1005500000000001</v>
      </c>
      <c r="BN60" s="240">
        <v>6.9837273972602745</v>
      </c>
      <c r="BO60" s="240">
        <v>1.0412643835616437</v>
      </c>
      <c r="BP60" s="240">
        <v>5.9021650684931499</v>
      </c>
      <c r="BQ60" s="240">
        <v>0</v>
      </c>
      <c r="BR60" s="240">
        <v>0.44766917808219175</v>
      </c>
      <c r="BS60" s="240">
        <v>0</v>
      </c>
      <c r="BT60" s="240">
        <v>0</v>
      </c>
      <c r="BU60" s="240">
        <v>0</v>
      </c>
      <c r="BV60" s="240">
        <v>47.714334931506855</v>
      </c>
      <c r="BW60" s="240">
        <v>3.8977294520547945</v>
      </c>
      <c r="BX60" s="240">
        <v>11.421545205479449</v>
      </c>
      <c r="BY60" s="240">
        <v>32.433076027397256</v>
      </c>
      <c r="BZ60" s="240">
        <v>0</v>
      </c>
      <c r="CA60" s="240">
        <v>11.944521917808219</v>
      </c>
      <c r="CB60" s="240">
        <v>0</v>
      </c>
      <c r="CC60" s="240">
        <v>8.4306753424657508</v>
      </c>
      <c r="CD60" s="208" t="s">
        <v>248</v>
      </c>
      <c r="CE60" s="226">
        <f t="shared" ref="CE60:CE68" si="6">SUM(C60:CD60)</f>
        <v>4214.3424917808215</v>
      </c>
      <c r="CF60" s="316">
        <v>0</v>
      </c>
    </row>
    <row r="61" spans="1:84" x14ac:dyDescent="0.25">
      <c r="A61" s="31" t="s">
        <v>263</v>
      </c>
      <c r="B61" s="16"/>
      <c r="C61" s="234">
        <v>9528143.9900000002</v>
      </c>
      <c r="D61" s="234">
        <v>0</v>
      </c>
      <c r="E61" s="234">
        <v>41321232.74000001</v>
      </c>
      <c r="F61" s="234">
        <v>4561001.12</v>
      </c>
      <c r="G61" s="234">
        <v>0</v>
      </c>
      <c r="H61" s="234">
        <v>0</v>
      </c>
      <c r="I61" s="234">
        <v>0</v>
      </c>
      <c r="J61" s="234">
        <v>94992.939999999988</v>
      </c>
      <c r="K61" s="234">
        <v>13087076.810000004</v>
      </c>
      <c r="L61" s="234">
        <v>0</v>
      </c>
      <c r="M61" s="234">
        <v>0</v>
      </c>
      <c r="N61" s="234">
        <v>0</v>
      </c>
      <c r="O61" s="234">
        <v>0</v>
      </c>
      <c r="P61" s="236">
        <v>14477797.370000005</v>
      </c>
      <c r="Q61" s="236">
        <v>10102367.41</v>
      </c>
      <c r="R61" s="236">
        <v>25641941.980000004</v>
      </c>
      <c r="S61" s="242">
        <v>8564348.3400000017</v>
      </c>
      <c r="T61" s="242">
        <v>2828519.2600000007</v>
      </c>
      <c r="U61" s="237">
        <v>17928135.820000008</v>
      </c>
      <c r="V61" s="236">
        <v>0</v>
      </c>
      <c r="W61" s="236">
        <v>1915678.62</v>
      </c>
      <c r="X61" s="236">
        <v>3124567.0400000005</v>
      </c>
      <c r="Y61" s="236">
        <v>12882805.070000002</v>
      </c>
      <c r="Z61" s="236">
        <v>13092368.889999999</v>
      </c>
      <c r="AA61" s="236">
        <v>1284509.6599999999</v>
      </c>
      <c r="AB61" s="243">
        <v>11312417.690000001</v>
      </c>
      <c r="AC61" s="236">
        <v>2312940.29</v>
      </c>
      <c r="AD61" s="236">
        <v>29369.06</v>
      </c>
      <c r="AE61" s="236">
        <v>7101225.4600000009</v>
      </c>
      <c r="AF61" s="236">
        <v>594500.75999999989</v>
      </c>
      <c r="AG61" s="236">
        <v>10220168.42</v>
      </c>
      <c r="AH61" s="236">
        <v>0</v>
      </c>
      <c r="AI61" s="236">
        <v>0</v>
      </c>
      <c r="AJ61" s="236">
        <v>165815874.18999994</v>
      </c>
      <c r="AK61" s="236">
        <v>0</v>
      </c>
      <c r="AL61" s="236">
        <v>0</v>
      </c>
      <c r="AM61" s="236">
        <v>0</v>
      </c>
      <c r="AN61" s="236">
        <v>0</v>
      </c>
      <c r="AO61" s="236">
        <v>0</v>
      </c>
      <c r="AP61" s="236">
        <v>124594937.70999983</v>
      </c>
      <c r="AQ61" s="236">
        <v>0</v>
      </c>
      <c r="AR61" s="236">
        <v>0</v>
      </c>
      <c r="AS61" s="236">
        <v>0</v>
      </c>
      <c r="AT61" s="236">
        <v>2504953.9400000004</v>
      </c>
      <c r="AU61" s="236">
        <v>0</v>
      </c>
      <c r="AV61" s="242">
        <v>8105932.9900000012</v>
      </c>
      <c r="AW61" s="242">
        <v>15477975.979999997</v>
      </c>
      <c r="AX61" s="242">
        <v>0</v>
      </c>
      <c r="AY61" s="236">
        <v>3080452.7599999993</v>
      </c>
      <c r="AZ61" s="236">
        <v>1220805.3800000001</v>
      </c>
      <c r="BA61" s="242">
        <v>0</v>
      </c>
      <c r="BB61" s="242">
        <v>0</v>
      </c>
      <c r="BC61" s="242">
        <v>0</v>
      </c>
      <c r="BD61" s="242">
        <v>0</v>
      </c>
      <c r="BE61" s="236">
        <v>2999966.08</v>
      </c>
      <c r="BF61" s="242">
        <v>6006557.0300000003</v>
      </c>
      <c r="BG61" s="242">
        <v>10108565.739999998</v>
      </c>
      <c r="BH61" s="242">
        <v>2287425.7799999998</v>
      </c>
      <c r="BI61" s="242">
        <v>175033.66999999998</v>
      </c>
      <c r="BJ61" s="242">
        <v>300411.96999999997</v>
      </c>
      <c r="BK61" s="242">
        <v>14347318.239999995</v>
      </c>
      <c r="BL61" s="242">
        <v>5881893.6700000009</v>
      </c>
      <c r="BM61" s="242">
        <v>676409.39999999991</v>
      </c>
      <c r="BN61" s="242">
        <v>1850994.79</v>
      </c>
      <c r="BO61" s="242">
        <v>117554.31999999999</v>
      </c>
      <c r="BP61" s="242">
        <v>676881.39</v>
      </c>
      <c r="BQ61" s="242">
        <v>0</v>
      </c>
      <c r="BR61" s="242">
        <v>32041.07</v>
      </c>
      <c r="BS61" s="242">
        <v>0</v>
      </c>
      <c r="BT61" s="242">
        <v>0</v>
      </c>
      <c r="BU61" s="242">
        <v>0</v>
      </c>
      <c r="BV61" s="242">
        <v>3620864.4999999991</v>
      </c>
      <c r="BW61" s="242">
        <v>2872575.9100000006</v>
      </c>
      <c r="BX61" s="242">
        <v>1435587.5000000005</v>
      </c>
      <c r="BY61" s="242">
        <v>3951541.1899999995</v>
      </c>
      <c r="BZ61" s="242">
        <v>0</v>
      </c>
      <c r="CA61" s="242">
        <v>1683021.7699999998</v>
      </c>
      <c r="CB61" s="242">
        <v>0</v>
      </c>
      <c r="CC61" s="242">
        <v>1793882.9999999995</v>
      </c>
      <c r="CD61" s="24" t="s">
        <v>248</v>
      </c>
      <c r="CE61" s="25">
        <f t="shared" si="6"/>
        <v>593625568.70999968</v>
      </c>
      <c r="CF61" s="315">
        <v>0</v>
      </c>
    </row>
    <row r="62" spans="1:84" x14ac:dyDescent="0.25">
      <c r="A62" s="31" t="s">
        <v>11</v>
      </c>
      <c r="B62" s="16"/>
      <c r="C62" s="25">
        <f t="shared" ref="C62:AH62" si="7">ROUND(C47+C48,0)</f>
        <v>2228607</v>
      </c>
      <c r="D62" s="25">
        <f t="shared" si="7"/>
        <v>0</v>
      </c>
      <c r="E62" s="25">
        <f t="shared" si="7"/>
        <v>9545419</v>
      </c>
      <c r="F62" s="25">
        <f t="shared" si="7"/>
        <v>333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3259375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3354159</v>
      </c>
      <c r="Q62" s="25">
        <f t="shared" si="7"/>
        <v>2345581</v>
      </c>
      <c r="R62" s="25">
        <f t="shared" si="7"/>
        <v>4883297</v>
      </c>
      <c r="S62" s="25">
        <f t="shared" si="7"/>
        <v>1959115</v>
      </c>
      <c r="T62" s="25">
        <f t="shared" si="7"/>
        <v>654043</v>
      </c>
      <c r="U62" s="25">
        <f t="shared" si="7"/>
        <v>3737421</v>
      </c>
      <c r="V62" s="25">
        <f t="shared" si="7"/>
        <v>0</v>
      </c>
      <c r="W62" s="25">
        <f t="shared" si="7"/>
        <v>394959</v>
      </c>
      <c r="X62" s="25">
        <f t="shared" si="7"/>
        <v>650303</v>
      </c>
      <c r="Y62" s="25">
        <f t="shared" si="7"/>
        <v>2804354</v>
      </c>
      <c r="Z62" s="25">
        <f t="shared" si="7"/>
        <v>2391621</v>
      </c>
      <c r="AA62" s="25">
        <f t="shared" si="7"/>
        <v>267408</v>
      </c>
      <c r="AB62" s="25">
        <f t="shared" si="7"/>
        <v>2632249</v>
      </c>
      <c r="AC62" s="25">
        <f t="shared" si="7"/>
        <v>531253</v>
      </c>
      <c r="AD62" s="25">
        <f t="shared" si="7"/>
        <v>5315</v>
      </c>
      <c r="AE62" s="25">
        <f t="shared" si="7"/>
        <v>1518638</v>
      </c>
      <c r="AF62" s="25">
        <f t="shared" si="7"/>
        <v>120099</v>
      </c>
      <c r="AG62" s="25">
        <f t="shared" si="7"/>
        <v>2051231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30808431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24695398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548174</v>
      </c>
      <c r="AU62" s="25">
        <f t="shared" si="8"/>
        <v>0</v>
      </c>
      <c r="AV62" s="25">
        <f t="shared" si="8"/>
        <v>1674640</v>
      </c>
      <c r="AW62" s="25">
        <f t="shared" si="8"/>
        <v>3510994</v>
      </c>
      <c r="AX62" s="25">
        <f t="shared" si="8"/>
        <v>0</v>
      </c>
      <c r="AY62" s="25">
        <f t="shared" si="8"/>
        <v>702921</v>
      </c>
      <c r="AZ62" s="25">
        <f t="shared" si="8"/>
        <v>280009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370203</v>
      </c>
      <c r="BF62" s="25">
        <f t="shared" si="8"/>
        <v>1501639</v>
      </c>
      <c r="BG62" s="25">
        <f t="shared" si="8"/>
        <v>2329115</v>
      </c>
      <c r="BH62" s="25">
        <f t="shared" si="8"/>
        <v>497676</v>
      </c>
      <c r="BI62" s="25">
        <f t="shared" si="8"/>
        <v>40151</v>
      </c>
      <c r="BJ62" s="25">
        <f t="shared" si="8"/>
        <v>41473</v>
      </c>
      <c r="BK62" s="25">
        <f t="shared" si="8"/>
        <v>3217293</v>
      </c>
      <c r="BL62" s="25">
        <f t="shared" si="8"/>
        <v>1348726</v>
      </c>
      <c r="BM62" s="25">
        <f t="shared" si="8"/>
        <v>153616</v>
      </c>
      <c r="BN62" s="25">
        <f t="shared" si="8"/>
        <v>489677</v>
      </c>
      <c r="BO62" s="25">
        <f t="shared" ref="BO62:CC62" si="9">ROUND(BO47+BO48,0)</f>
        <v>27870</v>
      </c>
      <c r="BP62" s="25">
        <f t="shared" si="9"/>
        <v>153164</v>
      </c>
      <c r="BQ62" s="25">
        <f t="shared" si="9"/>
        <v>0</v>
      </c>
      <c r="BR62" s="25">
        <f t="shared" si="9"/>
        <v>293509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854003</v>
      </c>
      <c r="BW62" s="25">
        <f t="shared" si="9"/>
        <v>-15742499</v>
      </c>
      <c r="BX62" s="25">
        <f t="shared" si="9"/>
        <v>328039</v>
      </c>
      <c r="BY62" s="25">
        <f t="shared" si="9"/>
        <v>754074</v>
      </c>
      <c r="BZ62" s="25">
        <f t="shared" si="9"/>
        <v>0</v>
      </c>
      <c r="CA62" s="25">
        <f t="shared" si="9"/>
        <v>392128</v>
      </c>
      <c r="CB62" s="25">
        <f t="shared" si="9"/>
        <v>0</v>
      </c>
      <c r="CC62" s="25">
        <f t="shared" si="9"/>
        <v>-21428099</v>
      </c>
      <c r="CD62" s="24" t="s">
        <v>248</v>
      </c>
      <c r="CE62" s="25">
        <f t="shared" si="6"/>
        <v>83177105</v>
      </c>
      <c r="CF62" s="315">
        <v>0</v>
      </c>
    </row>
    <row r="63" spans="1:84" x14ac:dyDescent="0.25">
      <c r="A63" s="31" t="s">
        <v>264</v>
      </c>
      <c r="B63" s="16"/>
      <c r="C63" s="234">
        <v>0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0</v>
      </c>
      <c r="P63" s="236">
        <v>0</v>
      </c>
      <c r="Q63" s="236">
        <v>0</v>
      </c>
      <c r="R63" s="236">
        <v>0</v>
      </c>
      <c r="S63" s="242">
        <v>0</v>
      </c>
      <c r="T63" s="242">
        <v>0</v>
      </c>
      <c r="U63" s="237">
        <v>0</v>
      </c>
      <c r="V63" s="236">
        <v>0</v>
      </c>
      <c r="W63" s="236">
        <v>0</v>
      </c>
      <c r="X63" s="236">
        <v>0</v>
      </c>
      <c r="Y63" s="236">
        <v>0</v>
      </c>
      <c r="Z63" s="236">
        <v>0</v>
      </c>
      <c r="AA63" s="236">
        <v>0</v>
      </c>
      <c r="AB63" s="243">
        <v>0</v>
      </c>
      <c r="AC63" s="236">
        <v>0</v>
      </c>
      <c r="AD63" s="236">
        <v>0</v>
      </c>
      <c r="AE63" s="236">
        <v>0</v>
      </c>
      <c r="AF63" s="236">
        <v>0</v>
      </c>
      <c r="AG63" s="236">
        <v>0</v>
      </c>
      <c r="AH63" s="236">
        <v>0</v>
      </c>
      <c r="AI63" s="236">
        <v>0</v>
      </c>
      <c r="AJ63" s="236">
        <v>8054165.79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0</v>
      </c>
      <c r="AS63" s="236">
        <v>0</v>
      </c>
      <c r="AT63" s="236">
        <v>0</v>
      </c>
      <c r="AU63" s="236">
        <v>0</v>
      </c>
      <c r="AV63" s="242">
        <v>0</v>
      </c>
      <c r="AW63" s="242">
        <v>0</v>
      </c>
      <c r="AX63" s="242">
        <v>0</v>
      </c>
      <c r="AY63" s="236">
        <v>0</v>
      </c>
      <c r="AZ63" s="236">
        <v>0</v>
      </c>
      <c r="BA63" s="242">
        <v>0</v>
      </c>
      <c r="BB63" s="242">
        <v>0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f t="shared" si="6"/>
        <v>8054165.79</v>
      </c>
      <c r="CF63" s="315">
        <v>0</v>
      </c>
    </row>
    <row r="64" spans="1:84" x14ac:dyDescent="0.25">
      <c r="A64" s="31" t="s">
        <v>265</v>
      </c>
      <c r="B64" s="16"/>
      <c r="C64" s="234">
        <v>2742946.25</v>
      </c>
      <c r="D64" s="234">
        <v>0</v>
      </c>
      <c r="E64" s="234">
        <v>3977612.7300000018</v>
      </c>
      <c r="F64" s="234">
        <v>358482.48999999993</v>
      </c>
      <c r="G64" s="234">
        <v>0</v>
      </c>
      <c r="H64" s="234">
        <v>0</v>
      </c>
      <c r="I64" s="234">
        <v>0</v>
      </c>
      <c r="J64" s="234">
        <v>37849.180000000008</v>
      </c>
      <c r="K64" s="234">
        <v>1280054.9300000006</v>
      </c>
      <c r="L64" s="234">
        <v>0</v>
      </c>
      <c r="M64" s="234">
        <v>0</v>
      </c>
      <c r="N64" s="234">
        <v>13786.289999999999</v>
      </c>
      <c r="O64" s="234">
        <v>0</v>
      </c>
      <c r="P64" s="236">
        <v>53748772.119999997</v>
      </c>
      <c r="Q64" s="236">
        <v>1292769.99</v>
      </c>
      <c r="R64" s="236">
        <v>2743655.21</v>
      </c>
      <c r="S64" s="242">
        <v>2491717.8300000005</v>
      </c>
      <c r="T64" s="242">
        <v>643224.6100000001</v>
      </c>
      <c r="U64" s="237">
        <v>10388496.540000001</v>
      </c>
      <c r="V64" s="236">
        <v>0</v>
      </c>
      <c r="W64" s="236">
        <v>418833.55</v>
      </c>
      <c r="X64" s="236">
        <v>1907957.4799999997</v>
      </c>
      <c r="Y64" s="236">
        <v>5935100.0000000009</v>
      </c>
      <c r="Z64" s="236">
        <v>410059.96</v>
      </c>
      <c r="AA64" s="236">
        <v>2603546.4699999997</v>
      </c>
      <c r="AB64" s="243">
        <v>15033015.840000002</v>
      </c>
      <c r="AC64" s="236">
        <v>502012.6700000001</v>
      </c>
      <c r="AD64" s="236">
        <v>51451.280000000006</v>
      </c>
      <c r="AE64" s="236">
        <v>1220425.4400000004</v>
      </c>
      <c r="AF64" s="236">
        <v>3529.14</v>
      </c>
      <c r="AG64" s="236">
        <v>1190761.06</v>
      </c>
      <c r="AH64" s="236">
        <v>0</v>
      </c>
      <c r="AI64" s="236">
        <v>0</v>
      </c>
      <c r="AJ64" s="236">
        <v>81975309.61999999</v>
      </c>
      <c r="AK64" s="236">
        <v>0</v>
      </c>
      <c r="AL64" s="236">
        <v>0</v>
      </c>
      <c r="AM64" s="236">
        <v>0</v>
      </c>
      <c r="AN64" s="236">
        <v>0</v>
      </c>
      <c r="AO64" s="236">
        <v>0</v>
      </c>
      <c r="AP64" s="236">
        <v>39763968.729999989</v>
      </c>
      <c r="AQ64" s="236">
        <v>0</v>
      </c>
      <c r="AR64" s="236">
        <v>0</v>
      </c>
      <c r="AS64" s="236">
        <v>0</v>
      </c>
      <c r="AT64" s="236">
        <v>3789002.89</v>
      </c>
      <c r="AU64" s="236">
        <v>0</v>
      </c>
      <c r="AV64" s="242">
        <v>27652508.310000006</v>
      </c>
      <c r="AW64" s="242">
        <v>196319.53999999998</v>
      </c>
      <c r="AX64" s="242">
        <v>665.28</v>
      </c>
      <c r="AY64" s="236">
        <v>70876.17</v>
      </c>
      <c r="AZ64" s="236">
        <v>56606.209999999992</v>
      </c>
      <c r="BA64" s="242">
        <v>0</v>
      </c>
      <c r="BB64" s="242">
        <v>0</v>
      </c>
      <c r="BC64" s="242">
        <v>129455.59999999999</v>
      </c>
      <c r="BD64" s="242">
        <v>1195329.33</v>
      </c>
      <c r="BE64" s="236">
        <v>1360010.1199999999</v>
      </c>
      <c r="BF64" s="242">
        <v>603560.01000000013</v>
      </c>
      <c r="BG64" s="242">
        <v>3370.14</v>
      </c>
      <c r="BH64" s="242">
        <v>970843.62</v>
      </c>
      <c r="BI64" s="242">
        <v>527406.17000000016</v>
      </c>
      <c r="BJ64" s="242">
        <v>12966.39</v>
      </c>
      <c r="BK64" s="242">
        <v>442808.6100000001</v>
      </c>
      <c r="BL64" s="242">
        <v>23486.179999999997</v>
      </c>
      <c r="BM64" s="242">
        <v>781.25</v>
      </c>
      <c r="BN64" s="242">
        <v>86491.119999999981</v>
      </c>
      <c r="BO64" s="242">
        <v>356076.74000000011</v>
      </c>
      <c r="BP64" s="242">
        <v>3998.0999999999995</v>
      </c>
      <c r="BQ64" s="242">
        <v>0</v>
      </c>
      <c r="BR64" s="242">
        <v>817.16</v>
      </c>
      <c r="BS64" s="242">
        <v>0</v>
      </c>
      <c r="BT64" s="242">
        <v>0</v>
      </c>
      <c r="BU64" s="242">
        <v>5026.88</v>
      </c>
      <c r="BV64" s="242">
        <v>17308.710000000006</v>
      </c>
      <c r="BW64" s="242">
        <v>930.97</v>
      </c>
      <c r="BX64" s="242">
        <v>25712.999999999996</v>
      </c>
      <c r="BY64" s="242">
        <v>275440.52</v>
      </c>
      <c r="BZ64" s="242">
        <v>0</v>
      </c>
      <c r="CA64" s="242">
        <v>7661.4</v>
      </c>
      <c r="CB64" s="242">
        <v>0</v>
      </c>
      <c r="CC64" s="242">
        <v>60812.84</v>
      </c>
      <c r="CD64" s="24" t="s">
        <v>248</v>
      </c>
      <c r="CE64" s="25">
        <f t="shared" si="6"/>
        <v>268611612.6699999</v>
      </c>
      <c r="CF64" s="315">
        <v>0</v>
      </c>
    </row>
    <row r="65" spans="1:84" x14ac:dyDescent="0.25">
      <c r="A65" s="31" t="s">
        <v>266</v>
      </c>
      <c r="B65" s="16"/>
      <c r="C65" s="234">
        <v>10.07</v>
      </c>
      <c r="D65" s="234">
        <v>0</v>
      </c>
      <c r="E65" s="234">
        <v>-166.95000000000002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358302.11000000004</v>
      </c>
      <c r="L65" s="234">
        <v>0</v>
      </c>
      <c r="M65" s="234">
        <v>0</v>
      </c>
      <c r="N65" s="234">
        <v>0</v>
      </c>
      <c r="O65" s="234">
        <v>0</v>
      </c>
      <c r="P65" s="236">
        <v>5759.86</v>
      </c>
      <c r="Q65" s="236">
        <v>-36.29</v>
      </c>
      <c r="R65" s="236">
        <v>42.93</v>
      </c>
      <c r="S65" s="242">
        <v>10.17</v>
      </c>
      <c r="T65" s="242">
        <v>1.26</v>
      </c>
      <c r="U65" s="237">
        <v>1530.2200000000003</v>
      </c>
      <c r="V65" s="236">
        <v>0</v>
      </c>
      <c r="W65" s="236">
        <v>2651.8700000000003</v>
      </c>
      <c r="X65" s="236">
        <v>10.08</v>
      </c>
      <c r="Y65" s="236">
        <v>1436.81</v>
      </c>
      <c r="Z65" s="236">
        <v>404.03999999999996</v>
      </c>
      <c r="AA65" s="236">
        <v>7.57</v>
      </c>
      <c r="AB65" s="243">
        <v>3799.27</v>
      </c>
      <c r="AC65" s="236">
        <v>4.82</v>
      </c>
      <c r="AD65" s="236">
        <v>0</v>
      </c>
      <c r="AE65" s="236">
        <v>-106.23</v>
      </c>
      <c r="AF65" s="236">
        <v>0</v>
      </c>
      <c r="AG65" s="236">
        <v>2.5099999999999998</v>
      </c>
      <c r="AH65" s="236">
        <v>0</v>
      </c>
      <c r="AI65" s="236">
        <v>0</v>
      </c>
      <c r="AJ65" s="236">
        <v>133578.84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1377075.4799999997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42">
        <v>3097.4599999999996</v>
      </c>
      <c r="AW65" s="242">
        <v>2034.86</v>
      </c>
      <c r="AX65" s="242">
        <v>11.33</v>
      </c>
      <c r="AY65" s="236">
        <v>0</v>
      </c>
      <c r="AZ65" s="236">
        <v>38357.61</v>
      </c>
      <c r="BA65" s="242">
        <v>0</v>
      </c>
      <c r="BB65" s="242">
        <v>0</v>
      </c>
      <c r="BC65" s="242">
        <v>0</v>
      </c>
      <c r="BD65" s="242">
        <v>1.26</v>
      </c>
      <c r="BE65" s="236">
        <v>8276144.3000000007</v>
      </c>
      <c r="BF65" s="242">
        <v>1887265.67</v>
      </c>
      <c r="BG65" s="242">
        <v>-519.64</v>
      </c>
      <c r="BH65" s="242">
        <v>2534817.3199999998</v>
      </c>
      <c r="BI65" s="242">
        <v>10.08</v>
      </c>
      <c r="BJ65" s="242">
        <v>1.26</v>
      </c>
      <c r="BK65" s="242">
        <v>200</v>
      </c>
      <c r="BL65" s="242">
        <v>16.36</v>
      </c>
      <c r="BM65" s="242">
        <v>1.26</v>
      </c>
      <c r="BN65" s="242">
        <v>-60.7</v>
      </c>
      <c r="BO65" s="242">
        <v>10.08</v>
      </c>
      <c r="BP65" s="242">
        <v>3.76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25886.32</v>
      </c>
      <c r="BW65" s="242">
        <v>0</v>
      </c>
      <c r="BX65" s="242">
        <v>40.309999999999995</v>
      </c>
      <c r="BY65" s="242">
        <v>45.189999999999991</v>
      </c>
      <c r="BZ65" s="242">
        <v>0</v>
      </c>
      <c r="CA65" s="242">
        <v>0</v>
      </c>
      <c r="CB65" s="242">
        <v>0</v>
      </c>
      <c r="CC65" s="242">
        <v>210621.51</v>
      </c>
      <c r="CD65" s="24" t="s">
        <v>248</v>
      </c>
      <c r="CE65" s="25">
        <f t="shared" si="6"/>
        <v>14862304.040000001</v>
      </c>
      <c r="CF65" s="315">
        <v>0</v>
      </c>
    </row>
    <row r="66" spans="1:84" x14ac:dyDescent="0.25">
      <c r="A66" s="31" t="s">
        <v>267</v>
      </c>
      <c r="B66" s="16"/>
      <c r="C66" s="234">
        <v>90811.04</v>
      </c>
      <c r="D66" s="234">
        <v>0</v>
      </c>
      <c r="E66" s="234">
        <v>990134.23</v>
      </c>
      <c r="F66" s="234">
        <v>1992.76</v>
      </c>
      <c r="G66" s="234">
        <v>0</v>
      </c>
      <c r="H66" s="234">
        <v>0</v>
      </c>
      <c r="I66" s="234">
        <v>0</v>
      </c>
      <c r="J66" s="234">
        <v>1103643.53</v>
      </c>
      <c r="K66" s="234">
        <v>604388.44000000006</v>
      </c>
      <c r="L66" s="234">
        <v>0</v>
      </c>
      <c r="M66" s="234">
        <v>0</v>
      </c>
      <c r="N66" s="234">
        <v>23.53</v>
      </c>
      <c r="O66" s="234">
        <v>0</v>
      </c>
      <c r="P66" s="236">
        <v>2798909.41</v>
      </c>
      <c r="Q66" s="236">
        <v>21682.01</v>
      </c>
      <c r="R66" s="236">
        <v>823452.8</v>
      </c>
      <c r="S66" s="242">
        <v>2741440.8600000003</v>
      </c>
      <c r="T66" s="242">
        <v>40944.129999999997</v>
      </c>
      <c r="U66" s="237">
        <v>557861.68999999994</v>
      </c>
      <c r="V66" s="236">
        <v>0</v>
      </c>
      <c r="W66" s="236">
        <v>158157.80000000002</v>
      </c>
      <c r="X66" s="236">
        <v>374752.77</v>
      </c>
      <c r="Y66" s="236">
        <v>1370208.5699999998</v>
      </c>
      <c r="Z66" s="236">
        <v>1260871.83</v>
      </c>
      <c r="AA66" s="236">
        <v>1487729.23</v>
      </c>
      <c r="AB66" s="243">
        <v>100381.57</v>
      </c>
      <c r="AC66" s="236">
        <v>3474.3500000000004</v>
      </c>
      <c r="AD66" s="236">
        <v>3423019.31</v>
      </c>
      <c r="AE66" s="236">
        <v>51694.37999999999</v>
      </c>
      <c r="AF66" s="236">
        <v>1935.93</v>
      </c>
      <c r="AG66" s="236">
        <v>347375.13</v>
      </c>
      <c r="AH66" s="236">
        <v>0</v>
      </c>
      <c r="AI66" s="236">
        <v>0</v>
      </c>
      <c r="AJ66" s="236">
        <v>-17385450.719999999</v>
      </c>
      <c r="AK66" s="236">
        <v>0</v>
      </c>
      <c r="AL66" s="236">
        <v>0</v>
      </c>
      <c r="AM66" s="236">
        <v>0</v>
      </c>
      <c r="AN66" s="236">
        <v>0</v>
      </c>
      <c r="AO66" s="236">
        <v>0</v>
      </c>
      <c r="AP66" s="236">
        <v>2749913.1799999997</v>
      </c>
      <c r="AQ66" s="236">
        <v>0</v>
      </c>
      <c r="AR66" s="236">
        <v>0</v>
      </c>
      <c r="AS66" s="236">
        <v>0</v>
      </c>
      <c r="AT66" s="236">
        <v>2207952.52</v>
      </c>
      <c r="AU66" s="236">
        <v>0</v>
      </c>
      <c r="AV66" s="242">
        <v>206095.34</v>
      </c>
      <c r="AW66" s="242">
        <v>6524405.1399999997</v>
      </c>
      <c r="AX66" s="242">
        <v>382250.93</v>
      </c>
      <c r="AY66" s="236">
        <v>1793845.8900000001</v>
      </c>
      <c r="AZ66" s="236">
        <v>3182762.18</v>
      </c>
      <c r="BA66" s="242">
        <v>1131.27</v>
      </c>
      <c r="BB66" s="242">
        <v>0</v>
      </c>
      <c r="BC66" s="242">
        <v>677548.78</v>
      </c>
      <c r="BD66" s="242">
        <v>69403.199999999997</v>
      </c>
      <c r="BE66" s="236">
        <v>1322452.4099999999</v>
      </c>
      <c r="BF66" s="242">
        <v>962055.51</v>
      </c>
      <c r="BG66" s="242">
        <v>17509.14</v>
      </c>
      <c r="BH66" s="242">
        <v>9467976.5100000016</v>
      </c>
      <c r="BI66" s="242">
        <v>9586972.4600000009</v>
      </c>
      <c r="BJ66" s="242">
        <v>516077.28</v>
      </c>
      <c r="BK66" s="242">
        <v>2092138.0399999998</v>
      </c>
      <c r="BL66" s="242">
        <v>8348.130000000001</v>
      </c>
      <c r="BM66" s="242">
        <v>1707005.07</v>
      </c>
      <c r="BN66" s="242">
        <v>336085.5</v>
      </c>
      <c r="BO66" s="242">
        <v>6458.02</v>
      </c>
      <c r="BP66" s="242">
        <v>51631.409999999996</v>
      </c>
      <c r="BQ66" s="242">
        <v>0</v>
      </c>
      <c r="BR66" s="242">
        <v>112611.76000000001</v>
      </c>
      <c r="BS66" s="242">
        <v>0</v>
      </c>
      <c r="BT66" s="242">
        <v>0</v>
      </c>
      <c r="BU66" s="242">
        <v>42.05</v>
      </c>
      <c r="BV66" s="242">
        <v>1448729.7999999998</v>
      </c>
      <c r="BW66" s="242">
        <v>330686.86000000004</v>
      </c>
      <c r="BX66" s="242">
        <v>1904558.01</v>
      </c>
      <c r="BY66" s="242">
        <v>238268.2</v>
      </c>
      <c r="BZ66" s="242">
        <v>0</v>
      </c>
      <c r="CA66" s="242">
        <v>57204.4</v>
      </c>
      <c r="CB66" s="242">
        <v>0</v>
      </c>
      <c r="CC66" s="242">
        <v>14211755.91</v>
      </c>
      <c r="CD66" s="24" t="s">
        <v>248</v>
      </c>
      <c r="CE66" s="25">
        <f t="shared" si="6"/>
        <v>63143309.480000004</v>
      </c>
      <c r="CF66" s="315">
        <v>0</v>
      </c>
    </row>
    <row r="67" spans="1:84" x14ac:dyDescent="0.25">
      <c r="A67" s="31" t="s">
        <v>16</v>
      </c>
      <c r="B67" s="16"/>
      <c r="C67" s="25">
        <f t="shared" ref="C67:AH67" si="10">ROUND(C51+C52,0)</f>
        <v>263368</v>
      </c>
      <c r="D67" s="25">
        <f t="shared" si="10"/>
        <v>0</v>
      </c>
      <c r="E67" s="25">
        <f t="shared" si="10"/>
        <v>447006</v>
      </c>
      <c r="F67" s="25">
        <f t="shared" si="10"/>
        <v>1126217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220061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2670410</v>
      </c>
      <c r="Q67" s="25">
        <f t="shared" si="10"/>
        <v>72398</v>
      </c>
      <c r="R67" s="25">
        <f t="shared" si="10"/>
        <v>188271</v>
      </c>
      <c r="S67" s="25">
        <f t="shared" si="10"/>
        <v>240863</v>
      </c>
      <c r="T67" s="25">
        <f t="shared" si="10"/>
        <v>8706</v>
      </c>
      <c r="U67" s="25">
        <f t="shared" si="10"/>
        <v>233395</v>
      </c>
      <c r="V67" s="25">
        <f t="shared" si="10"/>
        <v>0</v>
      </c>
      <c r="W67" s="25">
        <f t="shared" si="10"/>
        <v>1145695</v>
      </c>
      <c r="X67" s="25">
        <f t="shared" si="10"/>
        <v>139409</v>
      </c>
      <c r="Y67" s="25">
        <f t="shared" si="10"/>
        <v>1376363</v>
      </c>
      <c r="Z67" s="25">
        <f t="shared" si="10"/>
        <v>209013</v>
      </c>
      <c r="AA67" s="25">
        <f t="shared" si="10"/>
        <v>92054</v>
      </c>
      <c r="AB67" s="25">
        <f t="shared" si="10"/>
        <v>123854</v>
      </c>
      <c r="AC67" s="25">
        <f t="shared" si="10"/>
        <v>72839</v>
      </c>
      <c r="AD67" s="25">
        <f t="shared" si="10"/>
        <v>0</v>
      </c>
      <c r="AE67" s="25">
        <f t="shared" si="10"/>
        <v>27544</v>
      </c>
      <c r="AF67" s="25">
        <f t="shared" si="10"/>
        <v>316</v>
      </c>
      <c r="AG67" s="25">
        <f t="shared" si="10"/>
        <v>47635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2248100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3547897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382873</v>
      </c>
      <c r="AW67" s="25">
        <f t="shared" si="11"/>
        <v>17487</v>
      </c>
      <c r="AX67" s="25">
        <f t="shared" si="11"/>
        <v>614</v>
      </c>
      <c r="AY67" s="25">
        <f t="shared" si="11"/>
        <v>7663</v>
      </c>
      <c r="AZ67" s="25">
        <f t="shared" si="11"/>
        <v>122456</v>
      </c>
      <c r="BA67" s="25">
        <f t="shared" si="11"/>
        <v>0</v>
      </c>
      <c r="BB67" s="25">
        <f t="shared" si="11"/>
        <v>0</v>
      </c>
      <c r="BC67" s="25">
        <f t="shared" si="11"/>
        <v>22809</v>
      </c>
      <c r="BD67" s="25">
        <f t="shared" si="11"/>
        <v>0</v>
      </c>
      <c r="BE67" s="25">
        <f t="shared" si="11"/>
        <v>12631671</v>
      </c>
      <c r="BF67" s="25">
        <f t="shared" si="11"/>
        <v>17810</v>
      </c>
      <c r="BG67" s="25">
        <f t="shared" si="11"/>
        <v>10777</v>
      </c>
      <c r="BH67" s="25">
        <f t="shared" si="11"/>
        <v>2098160</v>
      </c>
      <c r="BI67" s="25">
        <f t="shared" si="11"/>
        <v>23350</v>
      </c>
      <c r="BJ67" s="25">
        <f t="shared" si="11"/>
        <v>0</v>
      </c>
      <c r="BK67" s="25">
        <f t="shared" si="11"/>
        <v>18502</v>
      </c>
      <c r="BL67" s="25">
        <f t="shared" si="11"/>
        <v>877</v>
      </c>
      <c r="BM67" s="25">
        <f t="shared" si="11"/>
        <v>3755</v>
      </c>
      <c r="BN67" s="25">
        <f t="shared" si="11"/>
        <v>22633</v>
      </c>
      <c r="BO67" s="25">
        <f t="shared" ref="BO67:CC67" si="12">ROUND(BO51+BO52,0)</f>
        <v>2093</v>
      </c>
      <c r="BP67" s="25">
        <f t="shared" si="12"/>
        <v>1433828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87</v>
      </c>
      <c r="BU67" s="25">
        <f t="shared" si="12"/>
        <v>66570</v>
      </c>
      <c r="BV67" s="25">
        <f t="shared" si="12"/>
        <v>68592</v>
      </c>
      <c r="BW67" s="25">
        <f t="shared" si="12"/>
        <v>0</v>
      </c>
      <c r="BX67" s="25">
        <f t="shared" si="12"/>
        <v>17657</v>
      </c>
      <c r="BY67" s="25">
        <f t="shared" si="12"/>
        <v>160624</v>
      </c>
      <c r="BZ67" s="25">
        <f t="shared" si="12"/>
        <v>0</v>
      </c>
      <c r="CA67" s="25">
        <f t="shared" si="12"/>
        <v>6437</v>
      </c>
      <c r="CB67" s="25">
        <f t="shared" si="12"/>
        <v>0</v>
      </c>
      <c r="CC67" s="25">
        <f t="shared" si="12"/>
        <v>513564</v>
      </c>
      <c r="CD67" s="24" t="s">
        <v>248</v>
      </c>
      <c r="CE67" s="25">
        <f t="shared" si="6"/>
        <v>32152303</v>
      </c>
      <c r="CF67" s="315">
        <v>0</v>
      </c>
    </row>
    <row r="68" spans="1:84" x14ac:dyDescent="0.25">
      <c r="A68" s="31" t="s">
        <v>268</v>
      </c>
      <c r="B68" s="25"/>
      <c r="C68" s="234">
        <v>1065647.2</v>
      </c>
      <c r="D68" s="234">
        <v>0</v>
      </c>
      <c r="E68" s="234">
        <v>7278604.9899999993</v>
      </c>
      <c r="F68" s="234">
        <v>642812.89</v>
      </c>
      <c r="G68" s="234">
        <v>0</v>
      </c>
      <c r="H68" s="234">
        <v>0</v>
      </c>
      <c r="I68" s="234">
        <v>0</v>
      </c>
      <c r="J68" s="234">
        <v>82520</v>
      </c>
      <c r="K68" s="234">
        <v>1049402.26</v>
      </c>
      <c r="L68" s="234">
        <v>0</v>
      </c>
      <c r="M68" s="234">
        <v>0</v>
      </c>
      <c r="N68" s="234">
        <v>1133.22</v>
      </c>
      <c r="O68" s="234">
        <v>0</v>
      </c>
      <c r="P68" s="236">
        <v>2627814.0499999998</v>
      </c>
      <c r="Q68" s="236">
        <v>1304036.4099999999</v>
      </c>
      <c r="R68" s="236">
        <v>750718.32</v>
      </c>
      <c r="S68" s="242">
        <v>679760</v>
      </c>
      <c r="T68" s="242">
        <v>37080</v>
      </c>
      <c r="U68" s="237">
        <v>1615288.35</v>
      </c>
      <c r="V68" s="236">
        <v>0</v>
      </c>
      <c r="W68" s="236">
        <v>158485.48000000001</v>
      </c>
      <c r="X68" s="236">
        <v>162439.79999999999</v>
      </c>
      <c r="Y68" s="236">
        <v>1380709.98</v>
      </c>
      <c r="Z68" s="236">
        <v>452885</v>
      </c>
      <c r="AA68" s="236">
        <v>244332.42</v>
      </c>
      <c r="AB68" s="243">
        <v>457745.95999999996</v>
      </c>
      <c r="AC68" s="236">
        <v>144756.08000000002</v>
      </c>
      <c r="AD68" s="236">
        <v>65984.490000000005</v>
      </c>
      <c r="AE68" s="236">
        <v>466332.12</v>
      </c>
      <c r="AF68" s="236">
        <v>21849</v>
      </c>
      <c r="AG68" s="236">
        <v>625860.14</v>
      </c>
      <c r="AH68" s="236">
        <v>0</v>
      </c>
      <c r="AI68" s="236">
        <v>0</v>
      </c>
      <c r="AJ68" s="236">
        <v>8866886.6699999981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10340983.569999998</v>
      </c>
      <c r="AQ68" s="236">
        <v>0</v>
      </c>
      <c r="AR68" s="236">
        <v>0</v>
      </c>
      <c r="AS68" s="236">
        <v>0</v>
      </c>
      <c r="AT68" s="236">
        <v>88490</v>
      </c>
      <c r="AU68" s="236">
        <v>0</v>
      </c>
      <c r="AV68" s="242">
        <v>903910.59</v>
      </c>
      <c r="AW68" s="242">
        <v>318603.55</v>
      </c>
      <c r="AX68" s="242">
        <v>138912</v>
      </c>
      <c r="AY68" s="236">
        <v>220950</v>
      </c>
      <c r="AZ68" s="236">
        <v>683390</v>
      </c>
      <c r="BA68" s="242">
        <v>128010</v>
      </c>
      <c r="BB68" s="242">
        <v>0</v>
      </c>
      <c r="BC68" s="242">
        <v>21230</v>
      </c>
      <c r="BD68" s="242">
        <v>0</v>
      </c>
      <c r="BE68" s="236">
        <v>510358.70999999996</v>
      </c>
      <c r="BF68" s="242">
        <v>328122.69</v>
      </c>
      <c r="BG68" s="242">
        <v>401061.78</v>
      </c>
      <c r="BH68" s="242">
        <v>2088104.2</v>
      </c>
      <c r="BI68" s="242">
        <v>288676.25</v>
      </c>
      <c r="BJ68" s="242">
        <v>141905.74</v>
      </c>
      <c r="BK68" s="242">
        <v>91201.08</v>
      </c>
      <c r="BL68" s="242">
        <v>350522.42</v>
      </c>
      <c r="BM68" s="242">
        <v>31095.01</v>
      </c>
      <c r="BN68" s="242">
        <v>629350.17999999993</v>
      </c>
      <c r="BO68" s="242">
        <v>41940</v>
      </c>
      <c r="BP68" s="242">
        <v>138339.79</v>
      </c>
      <c r="BQ68" s="242">
        <v>0</v>
      </c>
      <c r="BR68" s="242">
        <v>0</v>
      </c>
      <c r="BS68" s="242">
        <v>0</v>
      </c>
      <c r="BT68" s="242">
        <v>33890</v>
      </c>
      <c r="BU68" s="242">
        <v>135200</v>
      </c>
      <c r="BV68" s="242">
        <v>292768.28000000003</v>
      </c>
      <c r="BW68" s="242">
        <v>0</v>
      </c>
      <c r="BX68" s="242">
        <v>478252</v>
      </c>
      <c r="BY68" s="242">
        <v>265805.39</v>
      </c>
      <c r="BZ68" s="242">
        <v>0</v>
      </c>
      <c r="CA68" s="242">
        <v>145530</v>
      </c>
      <c r="CB68" s="242">
        <v>0</v>
      </c>
      <c r="CC68" s="242">
        <v>-30881934.140000004</v>
      </c>
      <c r="CD68" s="24" t="s">
        <v>248</v>
      </c>
      <c r="CE68" s="25">
        <f t="shared" si="6"/>
        <v>18537753.919999998</v>
      </c>
      <c r="CF68" s="315">
        <v>0</v>
      </c>
    </row>
    <row r="69" spans="1:84" x14ac:dyDescent="0.25">
      <c r="A69" s="31" t="s">
        <v>269</v>
      </c>
      <c r="B69" s="16"/>
      <c r="C69" s="25">
        <f t="shared" ref="C69:AH69" si="13">SUM(C70:C83)</f>
        <v>6551267.4000000004</v>
      </c>
      <c r="D69" s="25">
        <f t="shared" si="13"/>
        <v>0</v>
      </c>
      <c r="E69" s="25">
        <f t="shared" si="13"/>
        <v>26142781.429999992</v>
      </c>
      <c r="F69" s="25">
        <f t="shared" si="13"/>
        <v>1461898.74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37355.870000000003</v>
      </c>
      <c r="K69" s="25">
        <f t="shared" si="13"/>
        <v>1450859.25</v>
      </c>
      <c r="L69" s="25">
        <f t="shared" si="13"/>
        <v>0</v>
      </c>
      <c r="M69" s="25">
        <f t="shared" si="13"/>
        <v>0</v>
      </c>
      <c r="N69" s="25">
        <f t="shared" si="13"/>
        <v>-15043.849999999999</v>
      </c>
      <c r="O69" s="25">
        <f t="shared" si="13"/>
        <v>0</v>
      </c>
      <c r="P69" s="25">
        <f t="shared" si="13"/>
        <v>10403758.859999999</v>
      </c>
      <c r="Q69" s="25">
        <f t="shared" si="13"/>
        <v>2552346.1199999996</v>
      </c>
      <c r="R69" s="25">
        <f t="shared" si="13"/>
        <v>7942041.7400000002</v>
      </c>
      <c r="S69" s="25">
        <f t="shared" si="13"/>
        <v>1302298.77</v>
      </c>
      <c r="T69" s="25">
        <f t="shared" si="13"/>
        <v>38574.550000000003</v>
      </c>
      <c r="U69" s="25">
        <f t="shared" si="13"/>
        <v>12897084.850000001</v>
      </c>
      <c r="V69" s="25">
        <f t="shared" si="13"/>
        <v>0</v>
      </c>
      <c r="W69" s="25">
        <f t="shared" si="13"/>
        <v>428118.56000000006</v>
      </c>
      <c r="X69" s="25">
        <f t="shared" si="13"/>
        <v>1946135.0999999999</v>
      </c>
      <c r="Y69" s="25">
        <f t="shared" si="13"/>
        <v>5339551.25</v>
      </c>
      <c r="Z69" s="25">
        <f t="shared" si="13"/>
        <v>924329.53</v>
      </c>
      <c r="AA69" s="25">
        <f t="shared" si="13"/>
        <v>233080.53</v>
      </c>
      <c r="AB69" s="25">
        <f t="shared" si="13"/>
        <v>1069870.5900000001</v>
      </c>
      <c r="AC69" s="25">
        <f t="shared" si="13"/>
        <v>110493.12</v>
      </c>
      <c r="AD69" s="25">
        <f t="shared" si="13"/>
        <v>82788.460000000006</v>
      </c>
      <c r="AE69" s="25">
        <f t="shared" si="13"/>
        <v>386281.76</v>
      </c>
      <c r="AF69" s="25">
        <f t="shared" si="13"/>
        <v>10187.299999999999</v>
      </c>
      <c r="AG69" s="25">
        <f t="shared" si="13"/>
        <v>3175506.95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27689290.380000003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16117779.050000004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402447.32</v>
      </c>
      <c r="AU69" s="25">
        <f t="shared" si="14"/>
        <v>0</v>
      </c>
      <c r="AV69" s="25">
        <f t="shared" si="14"/>
        <v>2531983.9000000004</v>
      </c>
      <c r="AW69" s="25">
        <f t="shared" si="14"/>
        <v>1173225.42</v>
      </c>
      <c r="AX69" s="25">
        <f t="shared" si="14"/>
        <v>163490.49</v>
      </c>
      <c r="AY69" s="25">
        <f t="shared" si="14"/>
        <v>248973.39</v>
      </c>
      <c r="AZ69" s="25">
        <f t="shared" si="14"/>
        <v>649251.42999999993</v>
      </c>
      <c r="BA69" s="25">
        <f t="shared" si="14"/>
        <v>2309608.44</v>
      </c>
      <c r="BB69" s="25">
        <f t="shared" si="14"/>
        <v>0</v>
      </c>
      <c r="BC69" s="25">
        <f t="shared" si="14"/>
        <v>2249229.2100000004</v>
      </c>
      <c r="BD69" s="25">
        <f t="shared" si="14"/>
        <v>270369.31</v>
      </c>
      <c r="BE69" s="25">
        <f t="shared" si="14"/>
        <v>9395453.4400000013</v>
      </c>
      <c r="BF69" s="25">
        <f t="shared" si="14"/>
        <v>4252204.41</v>
      </c>
      <c r="BG69" s="25">
        <f t="shared" si="14"/>
        <v>226614.51</v>
      </c>
      <c r="BH69" s="25">
        <f t="shared" si="14"/>
        <v>12358285.960000001</v>
      </c>
      <c r="BI69" s="25">
        <f t="shared" si="14"/>
        <v>550862.99</v>
      </c>
      <c r="BJ69" s="25">
        <f t="shared" si="14"/>
        <v>255215.19000000003</v>
      </c>
      <c r="BK69" s="25">
        <f t="shared" si="14"/>
        <v>1283900.55</v>
      </c>
      <c r="BL69" s="25">
        <f t="shared" si="14"/>
        <v>377038.84000000008</v>
      </c>
      <c r="BM69" s="25">
        <f t="shared" si="14"/>
        <v>185612.55</v>
      </c>
      <c r="BN69" s="25">
        <f t="shared" si="14"/>
        <v>2119070.86</v>
      </c>
      <c r="BO69" s="25">
        <f t="shared" ref="BO69:CD69" si="15">SUM(BO70:BO83)</f>
        <v>2273.56</v>
      </c>
      <c r="BP69" s="25">
        <f t="shared" si="15"/>
        <v>68760.76999999999</v>
      </c>
      <c r="BQ69" s="25">
        <f t="shared" si="15"/>
        <v>0</v>
      </c>
      <c r="BR69" s="25">
        <f t="shared" si="15"/>
        <v>28194.11</v>
      </c>
      <c r="BS69" s="25">
        <f t="shared" si="15"/>
        <v>0</v>
      </c>
      <c r="BT69" s="25">
        <f t="shared" si="15"/>
        <v>0</v>
      </c>
      <c r="BU69" s="25">
        <f t="shared" si="15"/>
        <v>384439.96</v>
      </c>
      <c r="BV69" s="25">
        <f t="shared" si="15"/>
        <v>607797.16</v>
      </c>
      <c r="BW69" s="25">
        <f t="shared" si="15"/>
        <v>1726247.12</v>
      </c>
      <c r="BX69" s="25">
        <f t="shared" si="15"/>
        <v>102586.73</v>
      </c>
      <c r="BY69" s="25">
        <f t="shared" si="15"/>
        <v>1106105.03</v>
      </c>
      <c r="BZ69" s="25">
        <f t="shared" si="15"/>
        <v>0</v>
      </c>
      <c r="CA69" s="25">
        <f t="shared" si="15"/>
        <v>111534.74000000002</v>
      </c>
      <c r="CB69" s="25">
        <f t="shared" si="15"/>
        <v>0</v>
      </c>
      <c r="CC69" s="25">
        <f t="shared" si="15"/>
        <v>2563437.0700000003</v>
      </c>
      <c r="CD69" s="25">
        <f t="shared" si="15"/>
        <v>25396395.229999997</v>
      </c>
      <c r="CE69" s="25">
        <f>SUM(CE70:CE83)</f>
        <v>201379245.99999997</v>
      </c>
      <c r="CF69" s="315">
        <v>0</v>
      </c>
    </row>
    <row r="70" spans="1:84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3402306.95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100000</v>
      </c>
      <c r="CE70" s="25">
        <f t="shared" ref="CE70:CE85" si="16">SUM(C70:CD70)</f>
        <v>3502306.95</v>
      </c>
      <c r="CF70" s="315">
        <v>0</v>
      </c>
    </row>
    <row r="71" spans="1:84" x14ac:dyDescent="0.25">
      <c r="A71" s="26" t="s">
        <v>271</v>
      </c>
      <c r="B71" s="27"/>
      <c r="C71" s="244">
        <v>5002741.58</v>
      </c>
      <c r="D71" s="244">
        <v>0</v>
      </c>
      <c r="E71" s="244">
        <v>24972714.609999992</v>
      </c>
      <c r="F71" s="244">
        <v>1367193.07</v>
      </c>
      <c r="G71" s="244">
        <v>0</v>
      </c>
      <c r="H71" s="244">
        <v>0</v>
      </c>
      <c r="I71" s="244">
        <v>0</v>
      </c>
      <c r="J71" s="244">
        <v>17968.75</v>
      </c>
      <c r="K71" s="244">
        <v>545558.97</v>
      </c>
      <c r="L71" s="244">
        <v>0</v>
      </c>
      <c r="M71" s="244">
        <v>0</v>
      </c>
      <c r="N71" s="244">
        <v>0</v>
      </c>
      <c r="O71" s="244">
        <v>0</v>
      </c>
      <c r="P71" s="244">
        <v>5969404.0999999996</v>
      </c>
      <c r="Q71" s="244">
        <v>2425389.86</v>
      </c>
      <c r="R71" s="244">
        <v>6854875.9400000004</v>
      </c>
      <c r="S71" s="244">
        <v>946029.5</v>
      </c>
      <c r="T71" s="244">
        <v>7728</v>
      </c>
      <c r="U71" s="244">
        <v>35443</v>
      </c>
      <c r="V71" s="244">
        <v>0</v>
      </c>
      <c r="W71" s="244">
        <v>229659.7</v>
      </c>
      <c r="X71" s="244">
        <v>792380.89999999991</v>
      </c>
      <c r="Y71" s="244">
        <v>3726220.9200000004</v>
      </c>
      <c r="Z71" s="244">
        <v>112584.72</v>
      </c>
      <c r="AA71" s="244">
        <v>95347.5</v>
      </c>
      <c r="AB71" s="244">
        <v>3901.3199999999997</v>
      </c>
      <c r="AC71" s="244">
        <v>0</v>
      </c>
      <c r="AD71" s="244">
        <v>0</v>
      </c>
      <c r="AE71" s="244">
        <v>219865.91</v>
      </c>
      <c r="AF71" s="244">
        <v>0</v>
      </c>
      <c r="AG71" s="244">
        <v>2573927.12</v>
      </c>
      <c r="AH71" s="244">
        <v>0</v>
      </c>
      <c r="AI71" s="244">
        <v>0</v>
      </c>
      <c r="AJ71" s="244">
        <v>10645767.229999999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2913082.52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1270735.07</v>
      </c>
      <c r="AW71" s="244">
        <v>7500</v>
      </c>
      <c r="AX71" s="244">
        <v>0</v>
      </c>
      <c r="AY71" s="244">
        <v>207164.76</v>
      </c>
      <c r="AZ71" s="244">
        <v>456239.35999999999</v>
      </c>
      <c r="BA71" s="244">
        <v>0</v>
      </c>
      <c r="BB71" s="244">
        <v>0</v>
      </c>
      <c r="BC71" s="244">
        <v>2101323.2400000002</v>
      </c>
      <c r="BD71" s="244">
        <v>250126.16</v>
      </c>
      <c r="BE71" s="244">
        <v>2089346.71</v>
      </c>
      <c r="BF71" s="244">
        <v>3894480.14</v>
      </c>
      <c r="BG71" s="244">
        <v>0</v>
      </c>
      <c r="BH71" s="244">
        <v>0</v>
      </c>
      <c r="BI71" s="244">
        <v>2250</v>
      </c>
      <c r="BJ71" s="244">
        <v>242533.01</v>
      </c>
      <c r="BK71" s="244">
        <v>0</v>
      </c>
      <c r="BL71" s="244">
        <v>351680.18000000005</v>
      </c>
      <c r="BM71" s="244">
        <v>184800</v>
      </c>
      <c r="BN71" s="244">
        <v>25563.47</v>
      </c>
      <c r="BO71" s="244">
        <v>575</v>
      </c>
      <c r="BP71" s="244">
        <v>39211.25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505358.94</v>
      </c>
      <c r="BZ71" s="244">
        <v>0</v>
      </c>
      <c r="CA71" s="244">
        <v>0</v>
      </c>
      <c r="CB71" s="244">
        <v>0</v>
      </c>
      <c r="CC71" s="244">
        <v>0</v>
      </c>
      <c r="CD71" s="244">
        <v>-4153913.1799999997</v>
      </c>
      <c r="CE71" s="25">
        <f t="shared" si="16"/>
        <v>76932759.329999983</v>
      </c>
      <c r="CF71" s="315">
        <v>0</v>
      </c>
    </row>
    <row r="72" spans="1:84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si="16"/>
        <v>0</v>
      </c>
      <c r="CF72" s="315">
        <v>0</v>
      </c>
    </row>
    <row r="73" spans="1:84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41108.04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481959.94</v>
      </c>
      <c r="S73" s="244">
        <v>0</v>
      </c>
      <c r="T73" s="244">
        <v>0</v>
      </c>
      <c r="U73" s="244">
        <v>98197.88</v>
      </c>
      <c r="V73" s="244">
        <v>0</v>
      </c>
      <c r="W73" s="244">
        <v>11819.32</v>
      </c>
      <c r="X73" s="244">
        <v>9945</v>
      </c>
      <c r="Y73" s="244">
        <v>31058.27</v>
      </c>
      <c r="Z73" s="244">
        <v>197427.3</v>
      </c>
      <c r="AA73" s="244">
        <v>6658.2</v>
      </c>
      <c r="AB73" s="244">
        <v>996</v>
      </c>
      <c r="AC73" s="244">
        <v>0</v>
      </c>
      <c r="AD73" s="244">
        <v>693.5</v>
      </c>
      <c r="AE73" s="244">
        <v>31849.95</v>
      </c>
      <c r="AF73" s="244">
        <v>4991.82</v>
      </c>
      <c r="AG73" s="244">
        <v>254487.43</v>
      </c>
      <c r="AH73" s="244">
        <v>0</v>
      </c>
      <c r="AI73" s="244">
        <v>0</v>
      </c>
      <c r="AJ73" s="244">
        <v>3023698.3599999994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1518254.1900000006</v>
      </c>
      <c r="AQ73" s="244">
        <v>0</v>
      </c>
      <c r="AR73" s="244">
        <v>0</v>
      </c>
      <c r="AS73" s="244">
        <v>0</v>
      </c>
      <c r="AT73" s="244">
        <v>11534.32</v>
      </c>
      <c r="AU73" s="244">
        <v>0</v>
      </c>
      <c r="AV73" s="244">
        <v>59980.179999999993</v>
      </c>
      <c r="AW73" s="244">
        <v>137577.07999999999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8980.14</v>
      </c>
      <c r="BI73" s="244">
        <v>0</v>
      </c>
      <c r="BJ73" s="244">
        <v>0</v>
      </c>
      <c r="BK73" s="244">
        <v>18571.02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59682.239999999998</v>
      </c>
      <c r="BX73" s="244">
        <v>897.26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2044837.4899999995</v>
      </c>
      <c r="CE73" s="25">
        <f t="shared" si="16"/>
        <v>8055204.9299999988</v>
      </c>
      <c r="CF73" s="315">
        <v>0</v>
      </c>
    </row>
    <row r="74" spans="1:84" x14ac:dyDescent="0.2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267413.49</v>
      </c>
      <c r="L74" s="244">
        <v>0</v>
      </c>
      <c r="M74" s="244">
        <v>0</v>
      </c>
      <c r="N74" s="244">
        <v>0</v>
      </c>
      <c r="O74" s="244">
        <v>0</v>
      </c>
      <c r="P74" s="244">
        <v>233496.78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397.39</v>
      </c>
      <c r="AX74" s="244">
        <v>0</v>
      </c>
      <c r="AY74" s="244">
        <v>1724.69</v>
      </c>
      <c r="AZ74" s="244">
        <v>4329.71</v>
      </c>
      <c r="BA74" s="244">
        <v>2309608.44</v>
      </c>
      <c r="BB74" s="244">
        <v>0</v>
      </c>
      <c r="BC74" s="244">
        <v>0</v>
      </c>
      <c r="BD74" s="244">
        <v>0</v>
      </c>
      <c r="BE74" s="244">
        <v>0</v>
      </c>
      <c r="BF74" s="244">
        <v>103156.57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11444.31</v>
      </c>
      <c r="CD74" s="244">
        <v>0</v>
      </c>
      <c r="CE74" s="25">
        <f t="shared" si="16"/>
        <v>2931571.38</v>
      </c>
      <c r="CF74" s="315">
        <v>0</v>
      </c>
    </row>
    <row r="75" spans="1:84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1760271.5</v>
      </c>
      <c r="CD75" s="244">
        <v>0</v>
      </c>
      <c r="CE75" s="25">
        <f t="shared" si="16"/>
        <v>1760271.5</v>
      </c>
      <c r="CF75" s="315">
        <v>0</v>
      </c>
    </row>
    <row r="76" spans="1:84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7956586.9199999999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49011.32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411000</v>
      </c>
      <c r="CE76" s="25">
        <f t="shared" si="16"/>
        <v>8416598.2400000002</v>
      </c>
      <c r="CF76" s="315">
        <v>0</v>
      </c>
    </row>
    <row r="77" spans="1:84" x14ac:dyDescent="0.25">
      <c r="A77" s="26" t="s">
        <v>277</v>
      </c>
      <c r="B77" s="27"/>
      <c r="C77" s="244">
        <v>23011.71</v>
      </c>
      <c r="D77" s="244">
        <v>0</v>
      </c>
      <c r="E77" s="244">
        <v>141928.85</v>
      </c>
      <c r="F77" s="244">
        <v>38492.949999999997</v>
      </c>
      <c r="G77" s="244">
        <v>0</v>
      </c>
      <c r="H77" s="244">
        <v>0</v>
      </c>
      <c r="I77" s="244">
        <v>0</v>
      </c>
      <c r="J77" s="244">
        <v>0</v>
      </c>
      <c r="K77" s="244">
        <v>325994.35000000003</v>
      </c>
      <c r="L77" s="244">
        <v>0</v>
      </c>
      <c r="M77" s="244">
        <v>0</v>
      </c>
      <c r="N77" s="244">
        <v>0</v>
      </c>
      <c r="O77" s="244">
        <v>0</v>
      </c>
      <c r="P77" s="244">
        <v>1628338.1400000001</v>
      </c>
      <c r="Q77" s="244">
        <v>5643.8</v>
      </c>
      <c r="R77" s="244">
        <v>8396.7199999999993</v>
      </c>
      <c r="S77" s="244">
        <v>226247.41999999998</v>
      </c>
      <c r="T77" s="244">
        <v>0</v>
      </c>
      <c r="U77" s="244">
        <v>246623.05000000002</v>
      </c>
      <c r="V77" s="244">
        <v>0</v>
      </c>
      <c r="W77" s="244">
        <v>-8274.0900000000038</v>
      </c>
      <c r="X77" s="244">
        <v>117776.04000000001</v>
      </c>
      <c r="Y77" s="244">
        <v>963962.8</v>
      </c>
      <c r="Z77" s="244">
        <v>381358.95</v>
      </c>
      <c r="AA77" s="244">
        <v>0</v>
      </c>
      <c r="AB77" s="244">
        <v>217600.13</v>
      </c>
      <c r="AC77" s="244">
        <v>0</v>
      </c>
      <c r="AD77" s="244">
        <v>0</v>
      </c>
      <c r="AE77" s="244">
        <v>1396.79</v>
      </c>
      <c r="AF77" s="244">
        <v>0</v>
      </c>
      <c r="AG77" s="244">
        <v>7160.15</v>
      </c>
      <c r="AH77" s="244">
        <v>0</v>
      </c>
      <c r="AI77" s="244">
        <v>0</v>
      </c>
      <c r="AJ77" s="244">
        <v>1046403.8699999999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2672586.0500000003</v>
      </c>
      <c r="AQ77" s="244">
        <v>0</v>
      </c>
      <c r="AR77" s="244">
        <v>0</v>
      </c>
      <c r="AS77" s="244">
        <v>0</v>
      </c>
      <c r="AT77" s="244">
        <v>196228</v>
      </c>
      <c r="AU77" s="244">
        <v>0</v>
      </c>
      <c r="AV77" s="244">
        <v>196172.03</v>
      </c>
      <c r="AW77" s="244">
        <v>32318.559999999998</v>
      </c>
      <c r="AX77" s="244">
        <v>162546.88</v>
      </c>
      <c r="AY77" s="244">
        <v>2491.4</v>
      </c>
      <c r="AZ77" s="244">
        <v>20752.420000000006</v>
      </c>
      <c r="BA77" s="244">
        <v>0</v>
      </c>
      <c r="BB77" s="244">
        <v>0</v>
      </c>
      <c r="BC77" s="244">
        <v>147700.32999999999</v>
      </c>
      <c r="BD77" s="244">
        <v>32178.010000000002</v>
      </c>
      <c r="BE77" s="244">
        <v>7386199.1900000013</v>
      </c>
      <c r="BF77" s="244">
        <v>260471.29</v>
      </c>
      <c r="BG77" s="244">
        <v>225394.69</v>
      </c>
      <c r="BH77" s="244">
        <v>12259897.040000001</v>
      </c>
      <c r="BI77" s="244">
        <v>136682.95000000001</v>
      </c>
      <c r="BJ77" s="244">
        <v>1671.7</v>
      </c>
      <c r="BK77" s="244">
        <v>1143046.5</v>
      </c>
      <c r="BL77" s="244">
        <v>0</v>
      </c>
      <c r="BM77" s="244">
        <v>0</v>
      </c>
      <c r="BN77" s="244">
        <v>2327.4899999999998</v>
      </c>
      <c r="BO77" s="244">
        <v>0</v>
      </c>
      <c r="BP77" s="244">
        <v>77.16</v>
      </c>
      <c r="BQ77" s="244">
        <v>0</v>
      </c>
      <c r="BR77" s="244">
        <v>282.92</v>
      </c>
      <c r="BS77" s="244">
        <v>0</v>
      </c>
      <c r="BT77" s="244">
        <v>0</v>
      </c>
      <c r="BU77" s="244">
        <v>1726.78</v>
      </c>
      <c r="BV77" s="244">
        <v>591772.9</v>
      </c>
      <c r="BW77" s="244">
        <v>0</v>
      </c>
      <c r="BX77" s="244">
        <v>0</v>
      </c>
      <c r="BY77" s="244">
        <v>111104.82</v>
      </c>
      <c r="BZ77" s="244">
        <v>0</v>
      </c>
      <c r="CA77" s="244">
        <v>0</v>
      </c>
      <c r="CB77" s="244">
        <v>0</v>
      </c>
      <c r="CC77" s="244">
        <v>382486.51000000007</v>
      </c>
      <c r="CD77" s="244">
        <v>1996277.2100000002</v>
      </c>
      <c r="CE77" s="25">
        <f t="shared" si="16"/>
        <v>33334454.460000005</v>
      </c>
      <c r="CF77" s="315">
        <v>0</v>
      </c>
    </row>
    <row r="78" spans="1:84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6"/>
        <v>0</v>
      </c>
      <c r="CF78" s="315">
        <v>0</v>
      </c>
    </row>
    <row r="79" spans="1:84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9000</v>
      </c>
      <c r="V79" s="244">
        <v>0</v>
      </c>
      <c r="W79" s="244">
        <v>0</v>
      </c>
      <c r="X79" s="244">
        <v>0</v>
      </c>
      <c r="Y79" s="244">
        <v>0</v>
      </c>
      <c r="Z79" s="244">
        <v>145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25000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1023.54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7025.03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43231.43</v>
      </c>
      <c r="CD79" s="244">
        <v>-868.44000000000051</v>
      </c>
      <c r="CE79" s="25">
        <f t="shared" si="16"/>
        <v>84556.56</v>
      </c>
      <c r="CF79" s="315">
        <v>0</v>
      </c>
    </row>
    <row r="80" spans="1:84" x14ac:dyDescent="0.25">
      <c r="A80" s="26" t="s">
        <v>280</v>
      </c>
      <c r="B80" s="16"/>
      <c r="C80" s="244">
        <v>976</v>
      </c>
      <c r="D80" s="244">
        <v>0</v>
      </c>
      <c r="E80" s="244">
        <v>3801.38</v>
      </c>
      <c r="F80" s="244">
        <v>3093.99</v>
      </c>
      <c r="G80" s="244">
        <v>0</v>
      </c>
      <c r="H80" s="244">
        <v>0</v>
      </c>
      <c r="I80" s="244">
        <v>0</v>
      </c>
      <c r="J80" s="244">
        <v>0</v>
      </c>
      <c r="K80" s="244">
        <v>9489.02</v>
      </c>
      <c r="L80" s="244">
        <v>0</v>
      </c>
      <c r="M80" s="244">
        <v>0</v>
      </c>
      <c r="N80" s="244">
        <v>0</v>
      </c>
      <c r="O80" s="244">
        <v>0</v>
      </c>
      <c r="P80" s="244">
        <v>445</v>
      </c>
      <c r="Q80" s="244">
        <v>-181</v>
      </c>
      <c r="R80" s="244">
        <v>22438.720000000001</v>
      </c>
      <c r="S80" s="244">
        <v>140</v>
      </c>
      <c r="T80" s="244">
        <v>1000</v>
      </c>
      <c r="U80" s="244">
        <v>9877</v>
      </c>
      <c r="V80" s="244">
        <v>0</v>
      </c>
      <c r="W80" s="244">
        <v>0</v>
      </c>
      <c r="X80" s="244">
        <v>0</v>
      </c>
      <c r="Y80" s="244">
        <v>1245</v>
      </c>
      <c r="Z80" s="244">
        <v>4352.2800000000007</v>
      </c>
      <c r="AA80" s="244">
        <v>0</v>
      </c>
      <c r="AB80" s="244">
        <v>3762.21</v>
      </c>
      <c r="AC80" s="244">
        <v>2920.76</v>
      </c>
      <c r="AD80" s="244">
        <v>0</v>
      </c>
      <c r="AE80" s="244">
        <v>10842.43</v>
      </c>
      <c r="AF80" s="244">
        <v>1157.75</v>
      </c>
      <c r="AG80" s="244">
        <v>8197.64</v>
      </c>
      <c r="AH80" s="244">
        <v>0</v>
      </c>
      <c r="AI80" s="244">
        <v>0</v>
      </c>
      <c r="AJ80" s="244">
        <v>187483.25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92750.75</v>
      </c>
      <c r="AQ80" s="244">
        <v>0</v>
      </c>
      <c r="AR80" s="244">
        <v>0</v>
      </c>
      <c r="AS80" s="244">
        <v>0</v>
      </c>
      <c r="AT80" s="244">
        <v>1399.85</v>
      </c>
      <c r="AU80" s="244">
        <v>0</v>
      </c>
      <c r="AV80" s="244">
        <v>19161.830000000002</v>
      </c>
      <c r="AW80" s="244">
        <v>107761.17</v>
      </c>
      <c r="AX80" s="244">
        <v>0</v>
      </c>
      <c r="AY80" s="244">
        <v>4590.8999999999996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8926.09</v>
      </c>
      <c r="BI80" s="244">
        <v>0</v>
      </c>
      <c r="BJ80" s="244">
        <v>1900</v>
      </c>
      <c r="BK80" s="244">
        <v>10050.43</v>
      </c>
      <c r="BL80" s="244">
        <v>0</v>
      </c>
      <c r="BM80" s="244">
        <v>0</v>
      </c>
      <c r="BN80" s="244">
        <v>3980</v>
      </c>
      <c r="BO80" s="244">
        <v>0</v>
      </c>
      <c r="BP80" s="244">
        <v>0</v>
      </c>
      <c r="BQ80" s="244">
        <v>0</v>
      </c>
      <c r="BR80" s="244">
        <v>480.52</v>
      </c>
      <c r="BS80" s="244">
        <v>0</v>
      </c>
      <c r="BT80" s="244">
        <v>0</v>
      </c>
      <c r="BU80" s="244">
        <v>815</v>
      </c>
      <c r="BV80" s="244">
        <v>13842.74</v>
      </c>
      <c r="BW80" s="244">
        <v>296688.09999999998</v>
      </c>
      <c r="BX80" s="244">
        <v>1012.5</v>
      </c>
      <c r="BY80" s="244">
        <v>75591.87000000001</v>
      </c>
      <c r="BZ80" s="244">
        <v>0</v>
      </c>
      <c r="CA80" s="244">
        <v>2674.44</v>
      </c>
      <c r="CB80" s="244">
        <v>0</v>
      </c>
      <c r="CC80" s="244">
        <v>0</v>
      </c>
      <c r="CD80" s="244">
        <v>0</v>
      </c>
      <c r="CE80" s="25">
        <f t="shared" si="16"/>
        <v>912667.62</v>
      </c>
      <c r="CF80" s="315">
        <v>0</v>
      </c>
    </row>
    <row r="81" spans="1:84" x14ac:dyDescent="0.25">
      <c r="A81" s="26" t="s">
        <v>281</v>
      </c>
      <c r="B81" s="16"/>
      <c r="C81" s="244">
        <v>228036</v>
      </c>
      <c r="D81" s="244">
        <v>0</v>
      </c>
      <c r="E81" s="244">
        <v>983773</v>
      </c>
      <c r="F81" s="244">
        <v>43501</v>
      </c>
      <c r="G81" s="244">
        <v>0</v>
      </c>
      <c r="H81" s="244">
        <v>0</v>
      </c>
      <c r="I81" s="244">
        <v>0</v>
      </c>
      <c r="J81" s="244">
        <v>17412</v>
      </c>
      <c r="K81" s="244">
        <v>5430.63</v>
      </c>
      <c r="L81" s="244">
        <v>0</v>
      </c>
      <c r="M81" s="244">
        <v>0</v>
      </c>
      <c r="N81" s="244">
        <v>0</v>
      </c>
      <c r="O81" s="244">
        <v>0</v>
      </c>
      <c r="P81" s="244">
        <v>2284487</v>
      </c>
      <c r="Q81" s="244">
        <v>119043</v>
      </c>
      <c r="R81" s="244">
        <v>350619</v>
      </c>
      <c r="S81" s="244">
        <v>0</v>
      </c>
      <c r="T81" s="244">
        <v>29442</v>
      </c>
      <c r="U81" s="244">
        <v>933504</v>
      </c>
      <c r="V81" s="244">
        <v>0</v>
      </c>
      <c r="W81" s="244">
        <v>189747</v>
      </c>
      <c r="X81" s="244">
        <v>1013225</v>
      </c>
      <c r="Y81" s="244">
        <v>491394</v>
      </c>
      <c r="Z81" s="244">
        <v>173595</v>
      </c>
      <c r="AA81" s="244">
        <v>124364</v>
      </c>
      <c r="AB81" s="244">
        <v>273741.34000000003</v>
      </c>
      <c r="AC81" s="244">
        <v>99652</v>
      </c>
      <c r="AD81" s="244">
        <v>82004</v>
      </c>
      <c r="AE81" s="244">
        <v>97045</v>
      </c>
      <c r="AF81" s="244">
        <v>1812</v>
      </c>
      <c r="AG81" s="244">
        <v>309486</v>
      </c>
      <c r="AH81" s="244">
        <v>0</v>
      </c>
      <c r="AI81" s="244">
        <v>0</v>
      </c>
      <c r="AJ81" s="244">
        <v>3686154.69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2516356.9299999997</v>
      </c>
      <c r="AQ81" s="244">
        <v>0</v>
      </c>
      <c r="AR81" s="244">
        <v>0</v>
      </c>
      <c r="AS81" s="244">
        <v>0</v>
      </c>
      <c r="AT81" s="244">
        <v>129802</v>
      </c>
      <c r="AU81" s="244">
        <v>0</v>
      </c>
      <c r="AV81" s="244">
        <v>821021</v>
      </c>
      <c r="AW81" s="244">
        <v>0</v>
      </c>
      <c r="AX81" s="244">
        <v>0</v>
      </c>
      <c r="AY81" s="244">
        <v>27080</v>
      </c>
      <c r="AZ81" s="244">
        <v>14476.62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888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157050.54999999999</v>
      </c>
      <c r="CD81" s="244">
        <v>27028055.619999997</v>
      </c>
      <c r="CE81" s="25">
        <f t="shared" si="16"/>
        <v>42232198.379999995</v>
      </c>
      <c r="CF81" s="315">
        <v>0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6"/>
        <v>0</v>
      </c>
      <c r="CF82" s="315">
        <v>0</v>
      </c>
    </row>
    <row r="83" spans="1:84" x14ac:dyDescent="0.25">
      <c r="A83" s="26" t="s">
        <v>283</v>
      </c>
      <c r="B83" s="16"/>
      <c r="C83" s="234">
        <v>1296502.1099999999</v>
      </c>
      <c r="D83" s="234">
        <v>0</v>
      </c>
      <c r="E83" s="236">
        <v>40563.589999999997</v>
      </c>
      <c r="F83" s="236">
        <v>9617.73</v>
      </c>
      <c r="G83" s="234">
        <v>0</v>
      </c>
      <c r="H83" s="234">
        <v>0</v>
      </c>
      <c r="I83" s="236">
        <v>0</v>
      </c>
      <c r="J83" s="236">
        <v>1975.12</v>
      </c>
      <c r="K83" s="236">
        <v>255864.75000000006</v>
      </c>
      <c r="L83" s="236">
        <v>0</v>
      </c>
      <c r="M83" s="234">
        <v>0</v>
      </c>
      <c r="N83" s="234">
        <v>-15043.849999999999</v>
      </c>
      <c r="O83" s="234">
        <v>0</v>
      </c>
      <c r="P83" s="236">
        <v>287587.84000000003</v>
      </c>
      <c r="Q83" s="236">
        <v>2450.46</v>
      </c>
      <c r="R83" s="237">
        <v>223751.41999999998</v>
      </c>
      <c r="S83" s="236">
        <v>129881.85000000002</v>
      </c>
      <c r="T83" s="234">
        <v>404.55</v>
      </c>
      <c r="U83" s="236">
        <v>205546.05000000002</v>
      </c>
      <c r="V83" s="236">
        <v>0</v>
      </c>
      <c r="W83" s="234">
        <v>5166.63</v>
      </c>
      <c r="X83" s="236">
        <v>12808.16</v>
      </c>
      <c r="Y83" s="236">
        <v>125670.26</v>
      </c>
      <c r="Z83" s="236">
        <v>54866.280000000006</v>
      </c>
      <c r="AA83" s="236">
        <v>6710.83</v>
      </c>
      <c r="AB83" s="236">
        <v>569869.59000000008</v>
      </c>
      <c r="AC83" s="236">
        <v>7920.36</v>
      </c>
      <c r="AD83" s="236">
        <v>90.96</v>
      </c>
      <c r="AE83" s="236">
        <v>25281.680000000004</v>
      </c>
      <c r="AF83" s="236">
        <v>2225.73</v>
      </c>
      <c r="AG83" s="236">
        <v>22248.61</v>
      </c>
      <c r="AH83" s="236">
        <v>0</v>
      </c>
      <c r="AI83" s="236">
        <v>0</v>
      </c>
      <c r="AJ83" s="236">
        <v>9099782.9800000042</v>
      </c>
      <c r="AK83" s="236">
        <v>0</v>
      </c>
      <c r="AL83" s="236">
        <v>0</v>
      </c>
      <c r="AM83" s="236">
        <v>0</v>
      </c>
      <c r="AN83" s="236">
        <v>0</v>
      </c>
      <c r="AO83" s="234">
        <v>0</v>
      </c>
      <c r="AP83" s="236">
        <v>6379748.6100000041</v>
      </c>
      <c r="AQ83" s="234">
        <v>0</v>
      </c>
      <c r="AR83" s="234">
        <v>0</v>
      </c>
      <c r="AS83" s="234">
        <v>0</v>
      </c>
      <c r="AT83" s="234">
        <v>14471.830000000002</v>
      </c>
      <c r="AU83" s="236">
        <v>0</v>
      </c>
      <c r="AV83" s="236">
        <v>164913.79</v>
      </c>
      <c r="AW83" s="236">
        <v>886647.67999999982</v>
      </c>
      <c r="AX83" s="236">
        <v>943.61</v>
      </c>
      <c r="AY83" s="236">
        <v>5921.6399999999994</v>
      </c>
      <c r="AZ83" s="236">
        <v>153453.31999999998</v>
      </c>
      <c r="BA83" s="236">
        <v>0</v>
      </c>
      <c r="BB83" s="236">
        <v>0</v>
      </c>
      <c r="BC83" s="236">
        <v>205.64</v>
      </c>
      <c r="BD83" s="236">
        <v>-11934.86</v>
      </c>
      <c r="BE83" s="236">
        <v>-80092.460000000006</v>
      </c>
      <c r="BF83" s="236">
        <v>-5903.590000000002</v>
      </c>
      <c r="BG83" s="236">
        <v>1219.82</v>
      </c>
      <c r="BH83" s="237">
        <v>80482.69</v>
      </c>
      <c r="BI83" s="236">
        <v>411930.04</v>
      </c>
      <c r="BJ83" s="236">
        <v>9110.48</v>
      </c>
      <c r="BK83" s="236">
        <v>112232.6</v>
      </c>
      <c r="BL83" s="236">
        <v>25358.660000000007</v>
      </c>
      <c r="BM83" s="236">
        <v>812.55000000000007</v>
      </c>
      <c r="BN83" s="236">
        <v>2087199.9</v>
      </c>
      <c r="BO83" s="236">
        <v>810.56000000000006</v>
      </c>
      <c r="BP83" s="236">
        <v>29472.359999999993</v>
      </c>
      <c r="BQ83" s="236">
        <v>0</v>
      </c>
      <c r="BR83" s="236">
        <v>20405.64</v>
      </c>
      <c r="BS83" s="236">
        <v>0</v>
      </c>
      <c r="BT83" s="236">
        <v>0</v>
      </c>
      <c r="BU83" s="236">
        <v>381898.18</v>
      </c>
      <c r="BV83" s="236">
        <v>2181.52</v>
      </c>
      <c r="BW83" s="236">
        <v>1369876.78</v>
      </c>
      <c r="BX83" s="236">
        <v>100676.97</v>
      </c>
      <c r="BY83" s="236">
        <v>414049.40000000008</v>
      </c>
      <c r="BZ83" s="236">
        <v>0</v>
      </c>
      <c r="CA83" s="236">
        <v>108860.30000000002</v>
      </c>
      <c r="CB83" s="236">
        <v>0</v>
      </c>
      <c r="CC83" s="236">
        <v>208952.77</v>
      </c>
      <c r="CD83" s="244">
        <v>-2028993.4699999997</v>
      </c>
      <c r="CE83" s="25">
        <f t="shared" si="16"/>
        <v>23216656.650000006</v>
      </c>
      <c r="CF83" s="315">
        <v>0</v>
      </c>
    </row>
    <row r="84" spans="1:84" x14ac:dyDescent="0.25">
      <c r="A84" s="31" t="s">
        <v>284</v>
      </c>
      <c r="B84" s="16"/>
      <c r="C84" s="234">
        <v>4187</v>
      </c>
      <c r="D84" s="234">
        <v>0</v>
      </c>
      <c r="E84" s="234">
        <v>10878.23</v>
      </c>
      <c r="F84" s="234">
        <v>908039</v>
      </c>
      <c r="G84" s="234">
        <v>0</v>
      </c>
      <c r="H84" s="234">
        <v>0</v>
      </c>
      <c r="I84" s="234">
        <v>0</v>
      </c>
      <c r="J84" s="234">
        <v>79686.77</v>
      </c>
      <c r="K84" s="234">
        <v>7539317.1900000013</v>
      </c>
      <c r="L84" s="234">
        <v>0</v>
      </c>
      <c r="M84" s="234">
        <v>0</v>
      </c>
      <c r="N84" s="234">
        <v>0</v>
      </c>
      <c r="O84" s="234">
        <v>0</v>
      </c>
      <c r="P84" s="234">
        <v>414000</v>
      </c>
      <c r="Q84" s="234">
        <v>0</v>
      </c>
      <c r="R84" s="234">
        <v>2512048.44</v>
      </c>
      <c r="S84" s="234">
        <v>3359.84</v>
      </c>
      <c r="T84" s="234">
        <v>0</v>
      </c>
      <c r="U84" s="234">
        <v>21175.239999999998</v>
      </c>
      <c r="V84" s="234">
        <v>0</v>
      </c>
      <c r="W84" s="234">
        <v>0</v>
      </c>
      <c r="X84" s="234">
        <v>0</v>
      </c>
      <c r="Y84" s="234">
        <v>6793</v>
      </c>
      <c r="Z84" s="234">
        <v>1852091.12</v>
      </c>
      <c r="AA84" s="234">
        <v>0</v>
      </c>
      <c r="AB84" s="234">
        <v>2741118.69</v>
      </c>
      <c r="AC84" s="234">
        <v>0</v>
      </c>
      <c r="AD84" s="234">
        <v>0</v>
      </c>
      <c r="AE84" s="234">
        <v>0</v>
      </c>
      <c r="AF84" s="234">
        <v>0</v>
      </c>
      <c r="AG84" s="234">
        <v>0</v>
      </c>
      <c r="AH84" s="234">
        <v>0</v>
      </c>
      <c r="AI84" s="234">
        <v>0</v>
      </c>
      <c r="AJ84" s="234">
        <v>15407580.91</v>
      </c>
      <c r="AK84" s="234">
        <v>0</v>
      </c>
      <c r="AL84" s="234">
        <v>0</v>
      </c>
      <c r="AM84" s="234">
        <v>0</v>
      </c>
      <c r="AN84" s="234">
        <v>0</v>
      </c>
      <c r="AO84" s="234">
        <v>0</v>
      </c>
      <c r="AP84" s="234">
        <v>11117111.49</v>
      </c>
      <c r="AQ84" s="234">
        <v>0</v>
      </c>
      <c r="AR84" s="234">
        <v>0</v>
      </c>
      <c r="AS84" s="234">
        <v>0</v>
      </c>
      <c r="AT84" s="234">
        <v>229453.29</v>
      </c>
      <c r="AU84" s="234">
        <v>0</v>
      </c>
      <c r="AV84" s="234">
        <v>328562.75</v>
      </c>
      <c r="AW84" s="234">
        <v>6614.63</v>
      </c>
      <c r="AX84" s="234">
        <v>0</v>
      </c>
      <c r="AY84" s="234">
        <v>0</v>
      </c>
      <c r="AZ84" s="234">
        <v>2922756.3</v>
      </c>
      <c r="BA84" s="234">
        <v>0</v>
      </c>
      <c r="BB84" s="234">
        <v>0</v>
      </c>
      <c r="BC84" s="234">
        <v>0</v>
      </c>
      <c r="BD84" s="234">
        <v>971.04</v>
      </c>
      <c r="BE84" s="234">
        <v>295176.96000000002</v>
      </c>
      <c r="BF84" s="234">
        <v>0</v>
      </c>
      <c r="BG84" s="234">
        <v>0</v>
      </c>
      <c r="BH84" s="234">
        <v>0</v>
      </c>
      <c r="BI84" s="234">
        <v>0</v>
      </c>
      <c r="BJ84" s="234">
        <v>0</v>
      </c>
      <c r="BK84" s="234">
        <v>0</v>
      </c>
      <c r="BL84" s="234">
        <v>0</v>
      </c>
      <c r="BM84" s="234">
        <v>0</v>
      </c>
      <c r="BN84" s="234">
        <v>15273873.079999998</v>
      </c>
      <c r="BO84" s="234">
        <v>16384.5</v>
      </c>
      <c r="BP84" s="234">
        <v>0</v>
      </c>
      <c r="BQ84" s="234">
        <v>0</v>
      </c>
      <c r="BR84" s="234">
        <v>0</v>
      </c>
      <c r="BS84" s="234">
        <v>0</v>
      </c>
      <c r="BT84" s="234">
        <v>0</v>
      </c>
      <c r="BU84" s="234">
        <v>0</v>
      </c>
      <c r="BV84" s="234">
        <v>137466.85</v>
      </c>
      <c r="BW84" s="234">
        <v>3460.91</v>
      </c>
      <c r="BX84" s="234">
        <v>196766.25</v>
      </c>
      <c r="BY84" s="234">
        <v>8774</v>
      </c>
      <c r="BZ84" s="234">
        <v>0</v>
      </c>
      <c r="CA84" s="234">
        <v>70964.510000000009</v>
      </c>
      <c r="CB84" s="234">
        <v>0</v>
      </c>
      <c r="CC84" s="234">
        <v>6500409.4800000004</v>
      </c>
      <c r="CD84" s="244">
        <v>11575581.439999999</v>
      </c>
      <c r="CE84" s="25">
        <f t="shared" si="16"/>
        <v>80184602.909999996</v>
      </c>
      <c r="CF84" s="315">
        <v>0</v>
      </c>
    </row>
    <row r="85" spans="1:84" x14ac:dyDescent="0.25">
      <c r="A85" s="31" t="s">
        <v>285</v>
      </c>
      <c r="B85" s="25"/>
      <c r="C85" s="25">
        <f t="shared" ref="C85:AH85" si="17">SUM(C61:C69)-C84</f>
        <v>22466613.949999999</v>
      </c>
      <c r="D85" s="25">
        <f t="shared" si="17"/>
        <v>0</v>
      </c>
      <c r="E85" s="25">
        <f t="shared" si="17"/>
        <v>89691745.939999998</v>
      </c>
      <c r="F85" s="25">
        <f t="shared" si="17"/>
        <v>7244699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1276674.75</v>
      </c>
      <c r="K85" s="25">
        <f t="shared" si="17"/>
        <v>13770202.610000007</v>
      </c>
      <c r="L85" s="25">
        <f t="shared" si="17"/>
        <v>0</v>
      </c>
      <c r="M85" s="25">
        <f t="shared" si="17"/>
        <v>0</v>
      </c>
      <c r="N85" s="25">
        <f t="shared" si="17"/>
        <v>-100.80999999999949</v>
      </c>
      <c r="O85" s="25">
        <f t="shared" si="17"/>
        <v>0</v>
      </c>
      <c r="P85" s="25">
        <f t="shared" si="17"/>
        <v>89673380.670000002</v>
      </c>
      <c r="Q85" s="25">
        <f t="shared" si="17"/>
        <v>17691144.650000002</v>
      </c>
      <c r="R85" s="25">
        <f t="shared" si="17"/>
        <v>40461372.540000007</v>
      </c>
      <c r="S85" s="25">
        <f t="shared" si="17"/>
        <v>17976194.130000003</v>
      </c>
      <c r="T85" s="25">
        <f t="shared" si="17"/>
        <v>4251092.8100000005</v>
      </c>
      <c r="U85" s="25">
        <f t="shared" si="17"/>
        <v>47338038.230000004</v>
      </c>
      <c r="V85" s="25">
        <f t="shared" si="17"/>
        <v>0</v>
      </c>
      <c r="W85" s="25">
        <f t="shared" si="17"/>
        <v>4622579.8800000008</v>
      </c>
      <c r="X85" s="25">
        <f t="shared" si="17"/>
        <v>8305574.2700000005</v>
      </c>
      <c r="Y85" s="25">
        <f t="shared" si="17"/>
        <v>31083735.680000003</v>
      </c>
      <c r="Z85" s="25">
        <f t="shared" si="17"/>
        <v>16889462.129999999</v>
      </c>
      <c r="AA85" s="25">
        <f t="shared" si="17"/>
        <v>6212667.8799999999</v>
      </c>
      <c r="AB85" s="25">
        <f t="shared" si="17"/>
        <v>27992215.23</v>
      </c>
      <c r="AC85" s="25">
        <f t="shared" si="17"/>
        <v>3677773.33</v>
      </c>
      <c r="AD85" s="25">
        <f t="shared" si="17"/>
        <v>3657927.6</v>
      </c>
      <c r="AE85" s="25">
        <f t="shared" si="17"/>
        <v>10772034.930000002</v>
      </c>
      <c r="AF85" s="25">
        <f t="shared" si="17"/>
        <v>752417.13</v>
      </c>
      <c r="AG85" s="25">
        <f t="shared" si="17"/>
        <v>17658540.210000001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292798604.8599999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212070841.22999981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9311567.3800000008</v>
      </c>
      <c r="AU85" s="25">
        <f t="shared" si="18"/>
        <v>0</v>
      </c>
      <c r="AV85" s="25">
        <f t="shared" si="18"/>
        <v>41132478.840000018</v>
      </c>
      <c r="AW85" s="25">
        <f t="shared" si="18"/>
        <v>27214430.859999996</v>
      </c>
      <c r="AX85" s="25">
        <f t="shared" si="18"/>
        <v>685944.03</v>
      </c>
      <c r="AY85" s="25">
        <f t="shared" si="18"/>
        <v>6125682.209999999</v>
      </c>
      <c r="AZ85" s="25">
        <f t="shared" si="18"/>
        <v>3310881.5100000007</v>
      </c>
      <c r="BA85" s="25">
        <f t="shared" si="18"/>
        <v>2438749.71</v>
      </c>
      <c r="BB85" s="25">
        <f t="shared" si="18"/>
        <v>0</v>
      </c>
      <c r="BC85" s="25">
        <f t="shared" si="18"/>
        <v>3100272.5900000003</v>
      </c>
      <c r="BD85" s="25">
        <f t="shared" si="18"/>
        <v>1534132.06</v>
      </c>
      <c r="BE85" s="25">
        <f t="shared" si="18"/>
        <v>36571082.100000001</v>
      </c>
      <c r="BF85" s="25">
        <f t="shared" si="18"/>
        <v>15559214.32</v>
      </c>
      <c r="BG85" s="25">
        <f t="shared" si="18"/>
        <v>13096493.669999998</v>
      </c>
      <c r="BH85" s="25">
        <f t="shared" si="18"/>
        <v>32303289.390000001</v>
      </c>
      <c r="BI85" s="25">
        <f t="shared" si="18"/>
        <v>11192462.620000001</v>
      </c>
      <c r="BJ85" s="25">
        <f t="shared" si="18"/>
        <v>1268050.83</v>
      </c>
      <c r="BK85" s="25">
        <f t="shared" si="18"/>
        <v>21493361.519999992</v>
      </c>
      <c r="BL85" s="25">
        <f t="shared" si="18"/>
        <v>7990908.6000000006</v>
      </c>
      <c r="BM85" s="25">
        <f t="shared" si="18"/>
        <v>2758275.5399999996</v>
      </c>
      <c r="BN85" s="25">
        <f t="shared" si="18"/>
        <v>-9739631.3299999982</v>
      </c>
      <c r="BO85" s="25">
        <f t="shared" ref="BO85:CD85" si="19">SUM(BO61:BO69)-BO84</f>
        <v>537891.2200000002</v>
      </c>
      <c r="BP85" s="25">
        <f t="shared" si="19"/>
        <v>2526607.2200000002</v>
      </c>
      <c r="BQ85" s="25">
        <f t="shared" si="19"/>
        <v>0</v>
      </c>
      <c r="BR85" s="25">
        <f t="shared" si="19"/>
        <v>467173.1</v>
      </c>
      <c r="BS85" s="25">
        <f t="shared" si="19"/>
        <v>0</v>
      </c>
      <c r="BT85" s="25">
        <f t="shared" si="19"/>
        <v>33977</v>
      </c>
      <c r="BU85" s="25">
        <f t="shared" si="19"/>
        <v>591278.89</v>
      </c>
      <c r="BV85" s="25">
        <f t="shared" si="19"/>
        <v>6798482.9199999999</v>
      </c>
      <c r="BW85" s="25">
        <f t="shared" si="19"/>
        <v>-10815519.050000001</v>
      </c>
      <c r="BX85" s="25">
        <f t="shared" si="19"/>
        <v>4095667.3000000007</v>
      </c>
      <c r="BY85" s="25">
        <f t="shared" si="19"/>
        <v>6743129.5199999996</v>
      </c>
      <c r="BZ85" s="25">
        <f t="shared" si="19"/>
        <v>0</v>
      </c>
      <c r="CA85" s="25">
        <f t="shared" si="19"/>
        <v>2332552.7999999998</v>
      </c>
      <c r="CB85" s="25">
        <f t="shared" si="19"/>
        <v>0</v>
      </c>
      <c r="CC85" s="25">
        <f t="shared" si="19"/>
        <v>-39456368.290000007</v>
      </c>
      <c r="CD85" s="25">
        <f t="shared" si="19"/>
        <v>13820813.789999997</v>
      </c>
      <c r="CE85" s="25">
        <f t="shared" si="16"/>
        <v>1203358765.6999996</v>
      </c>
      <c r="CF85" s="315">
        <v>0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  <c r="CF86" s="315">
        <v>0</v>
      </c>
    </row>
    <row r="87" spans="1:84" x14ac:dyDescent="0.25">
      <c r="A87" s="21" t="s">
        <v>287</v>
      </c>
      <c r="B87" s="16"/>
      <c r="C87" s="234">
        <v>63488989.060000002</v>
      </c>
      <c r="D87" s="234">
        <v>0</v>
      </c>
      <c r="E87" s="234">
        <v>255280984.01999998</v>
      </c>
      <c r="F87" s="234">
        <v>11691747</v>
      </c>
      <c r="G87" s="234">
        <v>0</v>
      </c>
      <c r="H87" s="234">
        <v>0</v>
      </c>
      <c r="I87" s="234">
        <v>0</v>
      </c>
      <c r="J87" s="234">
        <v>4845694</v>
      </c>
      <c r="K87" s="234">
        <v>12036808.790000001</v>
      </c>
      <c r="L87" s="234">
        <v>0</v>
      </c>
      <c r="M87" s="234">
        <v>0</v>
      </c>
      <c r="N87" s="234">
        <v>0</v>
      </c>
      <c r="O87" s="234">
        <v>0</v>
      </c>
      <c r="P87" s="234">
        <v>325226667.39999998</v>
      </c>
      <c r="Q87" s="234">
        <v>10826390</v>
      </c>
      <c r="R87" s="234">
        <v>10288722</v>
      </c>
      <c r="S87" s="234">
        <v>0</v>
      </c>
      <c r="T87" s="234">
        <v>7010427.4000000004</v>
      </c>
      <c r="U87" s="234">
        <v>63400848.130000003</v>
      </c>
      <c r="V87" s="234">
        <v>0</v>
      </c>
      <c r="W87" s="234">
        <v>4747019.7</v>
      </c>
      <c r="X87" s="234">
        <v>22615326</v>
      </c>
      <c r="Y87" s="234">
        <v>50112058.219999999</v>
      </c>
      <c r="Z87" s="234">
        <v>1699074</v>
      </c>
      <c r="AA87" s="234">
        <v>1254291.71</v>
      </c>
      <c r="AB87" s="234">
        <v>63899151.789999999</v>
      </c>
      <c r="AC87" s="234">
        <v>25911588</v>
      </c>
      <c r="AD87" s="234">
        <v>6143430</v>
      </c>
      <c r="AE87" s="234">
        <v>10669669</v>
      </c>
      <c r="AF87" s="234">
        <v>0</v>
      </c>
      <c r="AG87" s="234">
        <v>18356522.280000001</v>
      </c>
      <c r="AH87" s="234">
        <v>0</v>
      </c>
      <c r="AI87" s="234">
        <v>0</v>
      </c>
      <c r="AJ87" s="234">
        <v>64161728.689999804</v>
      </c>
      <c r="AK87" s="234">
        <v>0</v>
      </c>
      <c r="AL87" s="234">
        <v>0</v>
      </c>
      <c r="AM87" s="234">
        <v>0</v>
      </c>
      <c r="AN87" s="234">
        <v>0</v>
      </c>
      <c r="AO87" s="234">
        <v>0</v>
      </c>
      <c r="AP87" s="234">
        <v>7006</v>
      </c>
      <c r="AQ87" s="234">
        <v>0</v>
      </c>
      <c r="AR87" s="234">
        <v>0</v>
      </c>
      <c r="AS87" s="234">
        <v>0</v>
      </c>
      <c r="AT87" s="234">
        <v>10121000</v>
      </c>
      <c r="AU87" s="234">
        <v>0</v>
      </c>
      <c r="AV87" s="234">
        <v>100269905.10000001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1144065048.2899997</v>
      </c>
      <c r="CF87" s="315">
        <v>0</v>
      </c>
    </row>
    <row r="88" spans="1:84" x14ac:dyDescent="0.25">
      <c r="A88" s="21" t="s">
        <v>288</v>
      </c>
      <c r="B88" s="16"/>
      <c r="C88" s="234">
        <v>12118</v>
      </c>
      <c r="D88" s="234">
        <v>0</v>
      </c>
      <c r="E88" s="234">
        <v>17428247.800000001</v>
      </c>
      <c r="F88" s="234">
        <v>394022</v>
      </c>
      <c r="G88" s="234">
        <v>0</v>
      </c>
      <c r="H88" s="234">
        <v>0</v>
      </c>
      <c r="I88" s="234">
        <v>0</v>
      </c>
      <c r="J88" s="234">
        <v>800</v>
      </c>
      <c r="K88" s="234">
        <v>0</v>
      </c>
      <c r="L88" s="234">
        <v>0</v>
      </c>
      <c r="M88" s="234">
        <v>0</v>
      </c>
      <c r="N88" s="234">
        <v>0</v>
      </c>
      <c r="O88" s="234">
        <v>0</v>
      </c>
      <c r="P88" s="234">
        <v>290213861.10000002</v>
      </c>
      <c r="Q88" s="234">
        <v>20835419</v>
      </c>
      <c r="R88" s="234">
        <v>77504939.590000018</v>
      </c>
      <c r="S88" s="234">
        <v>0</v>
      </c>
      <c r="T88" s="234">
        <v>1107392.48</v>
      </c>
      <c r="U88" s="234">
        <v>182532097.93000001</v>
      </c>
      <c r="V88" s="234">
        <v>0</v>
      </c>
      <c r="W88" s="234">
        <v>33258910.690000001</v>
      </c>
      <c r="X88" s="234">
        <v>60845572.5</v>
      </c>
      <c r="Y88" s="234">
        <v>79772699.239999995</v>
      </c>
      <c r="Z88" s="234">
        <v>38999341.909999996</v>
      </c>
      <c r="AA88" s="234">
        <v>31094727.690000001</v>
      </c>
      <c r="AB88" s="234">
        <v>13577396.4</v>
      </c>
      <c r="AC88" s="234">
        <v>515212</v>
      </c>
      <c r="AD88" s="234">
        <v>250646</v>
      </c>
      <c r="AE88" s="234">
        <v>14861050.479999999</v>
      </c>
      <c r="AF88" s="234">
        <v>442870</v>
      </c>
      <c r="AG88" s="234">
        <v>62685246.460000001</v>
      </c>
      <c r="AH88" s="234">
        <v>0</v>
      </c>
      <c r="AI88" s="234">
        <v>0</v>
      </c>
      <c r="AJ88" s="234">
        <v>835617300.32000017</v>
      </c>
      <c r="AK88" s="234">
        <v>0</v>
      </c>
      <c r="AL88" s="234">
        <v>0</v>
      </c>
      <c r="AM88" s="234">
        <v>0</v>
      </c>
      <c r="AN88" s="234">
        <v>0</v>
      </c>
      <c r="AO88" s="234">
        <v>0</v>
      </c>
      <c r="AP88" s="234">
        <v>595827736.2299999</v>
      </c>
      <c r="AQ88" s="234">
        <v>0</v>
      </c>
      <c r="AR88" s="234">
        <v>0</v>
      </c>
      <c r="AS88" s="234">
        <v>0</v>
      </c>
      <c r="AT88" s="234">
        <v>0</v>
      </c>
      <c r="AU88" s="234">
        <v>0</v>
      </c>
      <c r="AV88" s="234">
        <v>66063216.839999996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2423840824.6600003</v>
      </c>
      <c r="CF88" s="315">
        <v>0</v>
      </c>
    </row>
    <row r="89" spans="1:84" x14ac:dyDescent="0.25">
      <c r="A89" s="21" t="s">
        <v>289</v>
      </c>
      <c r="B89" s="16"/>
      <c r="C89" s="25">
        <f t="shared" ref="C89:AV89" si="21">C87+C88</f>
        <v>63501107.060000002</v>
      </c>
      <c r="D89" s="25">
        <f t="shared" si="21"/>
        <v>0</v>
      </c>
      <c r="E89" s="25">
        <f t="shared" si="21"/>
        <v>272709231.81999999</v>
      </c>
      <c r="F89" s="25">
        <f t="shared" si="21"/>
        <v>12085769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4846494</v>
      </c>
      <c r="K89" s="25">
        <f t="shared" si="21"/>
        <v>12036808.790000001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615440528.5</v>
      </c>
      <c r="Q89" s="25">
        <f t="shared" si="21"/>
        <v>31661809</v>
      </c>
      <c r="R89" s="25">
        <f t="shared" si="21"/>
        <v>87793661.590000018</v>
      </c>
      <c r="S89" s="25">
        <f t="shared" si="21"/>
        <v>0</v>
      </c>
      <c r="T89" s="25">
        <f t="shared" si="21"/>
        <v>8117819.8800000008</v>
      </c>
      <c r="U89" s="25">
        <f t="shared" si="21"/>
        <v>245932946.06</v>
      </c>
      <c r="V89" s="25">
        <f t="shared" si="21"/>
        <v>0</v>
      </c>
      <c r="W89" s="25">
        <f t="shared" si="21"/>
        <v>38005930.390000001</v>
      </c>
      <c r="X89" s="25">
        <f t="shared" si="21"/>
        <v>83460898.5</v>
      </c>
      <c r="Y89" s="25">
        <f t="shared" si="21"/>
        <v>129884757.45999999</v>
      </c>
      <c r="Z89" s="25">
        <f t="shared" si="21"/>
        <v>40698415.909999996</v>
      </c>
      <c r="AA89" s="25">
        <f t="shared" si="21"/>
        <v>32349019.400000002</v>
      </c>
      <c r="AB89" s="25">
        <f t="shared" si="21"/>
        <v>77476548.189999998</v>
      </c>
      <c r="AC89" s="25">
        <f t="shared" si="21"/>
        <v>26426800</v>
      </c>
      <c r="AD89" s="25">
        <f t="shared" si="21"/>
        <v>6394076</v>
      </c>
      <c r="AE89" s="25">
        <f t="shared" si="21"/>
        <v>25530719.479999997</v>
      </c>
      <c r="AF89" s="25">
        <f t="shared" si="21"/>
        <v>442870</v>
      </c>
      <c r="AG89" s="25">
        <f t="shared" si="21"/>
        <v>81041768.74000001</v>
      </c>
      <c r="AH89" s="25">
        <f t="shared" si="21"/>
        <v>0</v>
      </c>
      <c r="AI89" s="25">
        <f t="shared" si="21"/>
        <v>0</v>
      </c>
      <c r="AJ89" s="25">
        <f t="shared" si="21"/>
        <v>899779029.00999999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595834742.2299999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10121000</v>
      </c>
      <c r="AU89" s="25">
        <f t="shared" si="21"/>
        <v>0</v>
      </c>
      <c r="AV89" s="25">
        <f t="shared" si="21"/>
        <v>166333121.94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3567905872.9500008</v>
      </c>
      <c r="CF89" s="315">
        <v>0</v>
      </c>
    </row>
    <row r="90" spans="1:84" x14ac:dyDescent="0.25">
      <c r="A90" s="31" t="s">
        <v>290</v>
      </c>
      <c r="B90" s="25"/>
      <c r="C90" s="234">
        <v>24033</v>
      </c>
      <c r="D90" s="234"/>
      <c r="E90" s="234">
        <v>129242</v>
      </c>
      <c r="F90" s="234">
        <v>15439</v>
      </c>
      <c r="G90" s="234"/>
      <c r="H90" s="234"/>
      <c r="I90" s="234"/>
      <c r="J90" s="234">
        <v>2058</v>
      </c>
      <c r="K90" s="234"/>
      <c r="L90" s="234"/>
      <c r="M90" s="234"/>
      <c r="N90" s="234">
        <v>0</v>
      </c>
      <c r="O90" s="234"/>
      <c r="P90" s="234">
        <v>46391</v>
      </c>
      <c r="Q90" s="234">
        <v>28276</v>
      </c>
      <c r="R90" s="234">
        <v>18721</v>
      </c>
      <c r="S90" s="234">
        <v>16843</v>
      </c>
      <c r="T90" s="234">
        <v>925</v>
      </c>
      <c r="U90" s="234">
        <v>29792</v>
      </c>
      <c r="V90" s="234"/>
      <c r="W90" s="234">
        <v>6697</v>
      </c>
      <c r="X90" s="234">
        <v>4023</v>
      </c>
      <c r="Y90" s="234">
        <v>34458</v>
      </c>
      <c r="Z90" s="234">
        <v>11295</v>
      </c>
      <c r="AA90" s="234">
        <v>6082</v>
      </c>
      <c r="AB90" s="234">
        <v>9996</v>
      </c>
      <c r="AC90" s="234">
        <v>956</v>
      </c>
      <c r="AD90" s="234">
        <v>1582</v>
      </c>
      <c r="AE90" s="234">
        <v>11251</v>
      </c>
      <c r="AF90" s="234">
        <v>1037</v>
      </c>
      <c r="AG90" s="234">
        <v>15108</v>
      </c>
      <c r="AH90" s="234"/>
      <c r="AI90" s="234"/>
      <c r="AJ90" s="234">
        <v>216475</v>
      </c>
      <c r="AK90" s="234"/>
      <c r="AL90" s="234"/>
      <c r="AM90" s="234"/>
      <c r="AN90" s="234"/>
      <c r="AO90" s="234"/>
      <c r="AP90" s="234">
        <v>281395</v>
      </c>
      <c r="AQ90" s="234"/>
      <c r="AR90" s="234"/>
      <c r="AS90" s="234"/>
      <c r="AT90" s="234">
        <v>2207</v>
      </c>
      <c r="AU90" s="234"/>
      <c r="AV90" s="234">
        <v>21494</v>
      </c>
      <c r="AW90" s="234">
        <v>7915</v>
      </c>
      <c r="AX90" s="234">
        <v>3415</v>
      </c>
      <c r="AY90" s="234">
        <v>5511</v>
      </c>
      <c r="AZ90" s="234">
        <v>17044</v>
      </c>
      <c r="BA90" s="234">
        <v>3193</v>
      </c>
      <c r="BB90" s="234">
        <v>301</v>
      </c>
      <c r="BC90" s="234">
        <v>530</v>
      </c>
      <c r="BD90" s="234">
        <v>8677</v>
      </c>
      <c r="BE90" s="234">
        <v>363675</v>
      </c>
      <c r="BF90" s="234">
        <v>8107</v>
      </c>
      <c r="BG90" s="234">
        <v>11091</v>
      </c>
      <c r="BH90" s="234">
        <v>18972</v>
      </c>
      <c r="BI90" s="234">
        <v>7131</v>
      </c>
      <c r="BJ90" s="234">
        <v>2226</v>
      </c>
      <c r="BK90" s="234">
        <v>2187</v>
      </c>
      <c r="BL90" s="234">
        <v>8109</v>
      </c>
      <c r="BM90" s="234">
        <v>2405</v>
      </c>
      <c r="BN90" s="234">
        <v>15630</v>
      </c>
      <c r="BO90" s="234">
        <v>1046</v>
      </c>
      <c r="BP90" s="234">
        <v>4606</v>
      </c>
      <c r="BQ90" s="234">
        <v>0</v>
      </c>
      <c r="BR90" s="234">
        <v>0</v>
      </c>
      <c r="BS90" s="234">
        <v>0</v>
      </c>
      <c r="BT90" s="234">
        <v>845</v>
      </c>
      <c r="BU90" s="234">
        <v>3372</v>
      </c>
      <c r="BV90" s="234">
        <v>13818</v>
      </c>
      <c r="BW90" s="234">
        <v>0</v>
      </c>
      <c r="BX90" s="234">
        <v>12095</v>
      </c>
      <c r="BY90" s="234">
        <v>6485</v>
      </c>
      <c r="BZ90" s="234">
        <v>0</v>
      </c>
      <c r="CA90" s="234">
        <v>3630</v>
      </c>
      <c r="CB90" s="234">
        <v>0</v>
      </c>
      <c r="CC90" s="234">
        <v>7419</v>
      </c>
      <c r="CD90" s="223" t="s">
        <v>248</v>
      </c>
      <c r="CE90" s="25">
        <f t="shared" si="20"/>
        <v>1475211</v>
      </c>
      <c r="CF90" s="25">
        <f>BE59-CE90</f>
        <v>0</v>
      </c>
    </row>
    <row r="91" spans="1:84" x14ac:dyDescent="0.25">
      <c r="A91" s="21" t="s">
        <v>291</v>
      </c>
      <c r="B91" s="16"/>
      <c r="C91" s="234">
        <v>10494.6</v>
      </c>
      <c r="D91" s="234">
        <v>0</v>
      </c>
      <c r="E91" s="234">
        <v>155394</v>
      </c>
      <c r="F91" s="234">
        <v>4036.2</v>
      </c>
      <c r="G91" s="234">
        <v>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91.8</v>
      </c>
      <c r="O91" s="234">
        <v>0</v>
      </c>
      <c r="P91" s="234">
        <v>0</v>
      </c>
      <c r="Q91" s="234">
        <v>111.80000000000001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2.4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16625.2</v>
      </c>
      <c r="AH91" s="234">
        <v>0</v>
      </c>
      <c r="AI91" s="234">
        <v>0</v>
      </c>
      <c r="AJ91" s="234">
        <v>161.6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0</v>
      </c>
      <c r="AW91" s="234">
        <v>0</v>
      </c>
      <c r="AX91" s="230" t="s">
        <v>248</v>
      </c>
      <c r="AY91" s="230" t="s">
        <v>248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f t="shared" si="20"/>
        <v>186917.6</v>
      </c>
      <c r="CF91" s="25">
        <f>AY59-CE91</f>
        <v>0.39999999999417923</v>
      </c>
    </row>
    <row r="92" spans="1:84" x14ac:dyDescent="0.25">
      <c r="A92" s="21" t="s">
        <v>292</v>
      </c>
      <c r="B92" s="16"/>
      <c r="C92" s="234">
        <v>4551.8194999727302</v>
      </c>
      <c r="D92" s="234">
        <v>0</v>
      </c>
      <c r="E92" s="234">
        <v>24478.269704800718</v>
      </c>
      <c r="F92" s="234">
        <v>2924.1268780459773</v>
      </c>
      <c r="G92" s="234">
        <v>0</v>
      </c>
      <c r="H92" s="234">
        <v>0</v>
      </c>
      <c r="I92" s="234">
        <v>0</v>
      </c>
      <c r="J92" s="234">
        <v>389.78257108741644</v>
      </c>
      <c r="K92" s="234">
        <v>0</v>
      </c>
      <c r="L92" s="234">
        <v>0</v>
      </c>
      <c r="M92" s="234">
        <v>0</v>
      </c>
      <c r="N92" s="234">
        <v>0</v>
      </c>
      <c r="O92" s="234">
        <v>0</v>
      </c>
      <c r="P92" s="234">
        <v>8786.396139609491</v>
      </c>
      <c r="Q92" s="234">
        <v>5355.4382799163195</v>
      </c>
      <c r="R92" s="234">
        <v>3545.7334855818863</v>
      </c>
      <c r="S92" s="234">
        <v>3190.0426845604247</v>
      </c>
      <c r="T92" s="234">
        <v>175.19381839448988</v>
      </c>
      <c r="U92" s="234">
        <v>5642.5667433606941</v>
      </c>
      <c r="V92" s="234">
        <v>0</v>
      </c>
      <c r="W92" s="234">
        <v>1268.4032451761068</v>
      </c>
      <c r="X92" s="234">
        <v>761.9510609740895</v>
      </c>
      <c r="Y92" s="234">
        <v>6526.3011829592788</v>
      </c>
      <c r="Z92" s="234">
        <v>2139.2585716386629</v>
      </c>
      <c r="AA92" s="234">
        <v>1151.9230307840946</v>
      </c>
      <c r="AB92" s="234">
        <v>1893.2296309960227</v>
      </c>
      <c r="AC92" s="234">
        <v>181.06517879473765</v>
      </c>
      <c r="AD92" s="234">
        <v>299.62877913522487</v>
      </c>
      <c r="AE92" s="234">
        <v>2130.925027844763</v>
      </c>
      <c r="AF92" s="234">
        <v>196.40647532441733</v>
      </c>
      <c r="AG92" s="234">
        <v>2861.4359008691385</v>
      </c>
      <c r="AH92" s="234">
        <v>0</v>
      </c>
      <c r="AI92" s="234">
        <v>0</v>
      </c>
      <c r="AJ92" s="234">
        <v>41000.088472375348</v>
      </c>
      <c r="AK92" s="234">
        <v>0</v>
      </c>
      <c r="AL92" s="234">
        <v>0</v>
      </c>
      <c r="AM92" s="234">
        <v>0</v>
      </c>
      <c r="AN92" s="234">
        <v>0</v>
      </c>
      <c r="AO92" s="234">
        <v>0</v>
      </c>
      <c r="AP92" s="234">
        <v>53295.853542829711</v>
      </c>
      <c r="AQ92" s="234">
        <v>0</v>
      </c>
      <c r="AR92" s="234">
        <v>0</v>
      </c>
      <c r="AS92" s="234">
        <v>0</v>
      </c>
      <c r="AT92" s="234">
        <v>418.00298075312344</v>
      </c>
      <c r="AU92" s="234">
        <v>0</v>
      </c>
      <c r="AV92" s="234">
        <v>4070.9361433201789</v>
      </c>
      <c r="AW92" s="234">
        <v>1499.0908892890675</v>
      </c>
      <c r="AX92" s="230" t="s">
        <v>248</v>
      </c>
      <c r="AY92" s="230" t="s">
        <v>248</v>
      </c>
      <c r="AZ92" s="24" t="s">
        <v>248</v>
      </c>
      <c r="BA92" s="234">
        <v>604.75012122552016</v>
      </c>
      <c r="BB92" s="234">
        <v>57.009015499179952</v>
      </c>
      <c r="BC92" s="234">
        <v>100.38132297197799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3593.2725649516351</v>
      </c>
      <c r="BI92" s="234">
        <v>1350.6022907795755</v>
      </c>
      <c r="BJ92" s="24" t="s">
        <v>248</v>
      </c>
      <c r="BK92" s="234">
        <v>414.21500630135063</v>
      </c>
      <c r="BL92" s="234">
        <v>1535.8342414712631</v>
      </c>
      <c r="BM92" s="234">
        <v>455.50392782567371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0</v>
      </c>
      <c r="BT92" s="234">
        <v>160.04192058739886</v>
      </c>
      <c r="BU92" s="234">
        <v>638.65249256888637</v>
      </c>
      <c r="BV92" s="234">
        <v>2617.1115487297957</v>
      </c>
      <c r="BW92" s="234">
        <v>0</v>
      </c>
      <c r="BX92" s="234">
        <v>2290.7775497095731</v>
      </c>
      <c r="BY92" s="234">
        <v>1228.2507159873155</v>
      </c>
      <c r="BZ92" s="234">
        <v>0</v>
      </c>
      <c r="CA92" s="234">
        <v>687.51736299675497</v>
      </c>
      <c r="CB92" s="234">
        <v>0</v>
      </c>
      <c r="CC92" s="24" t="s">
        <v>248</v>
      </c>
      <c r="CD92" s="24" t="s">
        <v>248</v>
      </c>
      <c r="CE92" s="25">
        <f t="shared" si="20"/>
        <v>194467.79</v>
      </c>
      <c r="CF92" s="16"/>
    </row>
    <row r="93" spans="1:84" x14ac:dyDescent="0.25">
      <c r="A93" s="21" t="s">
        <v>293</v>
      </c>
      <c r="B93" s="16"/>
      <c r="C93" s="234">
        <v>53037</v>
      </c>
      <c r="D93" s="234">
        <v>0</v>
      </c>
      <c r="E93" s="234">
        <v>480925</v>
      </c>
      <c r="F93" s="234">
        <v>0</v>
      </c>
      <c r="G93" s="234">
        <v>0</v>
      </c>
      <c r="H93" s="234">
        <v>1028</v>
      </c>
      <c r="I93" s="234">
        <v>0</v>
      </c>
      <c r="J93" s="234">
        <v>0</v>
      </c>
      <c r="K93" s="234">
        <v>0</v>
      </c>
      <c r="L93" s="234">
        <v>0</v>
      </c>
      <c r="M93" s="234">
        <v>0</v>
      </c>
      <c r="N93" s="234">
        <v>0</v>
      </c>
      <c r="O93" s="234">
        <v>3928</v>
      </c>
      <c r="P93" s="234">
        <v>369170</v>
      </c>
      <c r="Q93" s="234">
        <v>6682</v>
      </c>
      <c r="R93" s="234">
        <v>35991</v>
      </c>
      <c r="S93" s="234">
        <v>0</v>
      </c>
      <c r="T93" s="234">
        <v>631</v>
      </c>
      <c r="U93" s="234">
        <v>94336</v>
      </c>
      <c r="V93" s="234">
        <v>0</v>
      </c>
      <c r="W93" s="234">
        <v>65080</v>
      </c>
      <c r="X93" s="234">
        <v>109320</v>
      </c>
      <c r="Y93" s="234">
        <v>351795</v>
      </c>
      <c r="Z93" s="234">
        <v>26022</v>
      </c>
      <c r="AA93" s="234">
        <v>0</v>
      </c>
      <c r="AB93" s="234">
        <v>17703</v>
      </c>
      <c r="AC93" s="234">
        <v>13820</v>
      </c>
      <c r="AD93" s="234">
        <v>0</v>
      </c>
      <c r="AE93" s="234">
        <v>19621</v>
      </c>
      <c r="AF93" s="234">
        <v>0</v>
      </c>
      <c r="AG93" s="234">
        <v>15132</v>
      </c>
      <c r="AH93" s="234">
        <v>0</v>
      </c>
      <c r="AI93" s="234">
        <v>0</v>
      </c>
      <c r="AJ93" s="234">
        <v>219648</v>
      </c>
      <c r="AK93" s="234">
        <v>0</v>
      </c>
      <c r="AL93" s="234">
        <v>0</v>
      </c>
      <c r="AM93" s="234">
        <v>0</v>
      </c>
      <c r="AN93" s="234">
        <v>0</v>
      </c>
      <c r="AO93" s="234">
        <v>0</v>
      </c>
      <c r="AP93" s="234">
        <v>404984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8995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0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f t="shared" si="20"/>
        <v>2297848</v>
      </c>
      <c r="CF93" s="25">
        <f>BA59</f>
        <v>0</v>
      </c>
    </row>
    <row r="94" spans="1:84" x14ac:dyDescent="0.25">
      <c r="A94" s="21" t="s">
        <v>294</v>
      </c>
      <c r="B94" s="16"/>
      <c r="C94" s="238">
        <v>57.719953551912567</v>
      </c>
      <c r="D94" s="238">
        <v>0</v>
      </c>
      <c r="E94" s="238">
        <v>177.66505874316937</v>
      </c>
      <c r="F94" s="238">
        <v>25.868193989071038</v>
      </c>
      <c r="G94" s="238">
        <v>0</v>
      </c>
      <c r="H94" s="238">
        <v>0</v>
      </c>
      <c r="I94" s="238">
        <v>0</v>
      </c>
      <c r="J94" s="238">
        <v>0.62899590163934427</v>
      </c>
      <c r="K94" s="238">
        <v>38.28208674863388</v>
      </c>
      <c r="L94" s="238">
        <v>0</v>
      </c>
      <c r="M94" s="238">
        <v>0</v>
      </c>
      <c r="N94" s="238">
        <v>0</v>
      </c>
      <c r="O94" s="238">
        <v>0</v>
      </c>
      <c r="P94" s="239">
        <v>55.463204234972672</v>
      </c>
      <c r="Q94" s="239">
        <v>51.055040300546445</v>
      </c>
      <c r="R94" s="239">
        <v>1.45513456284153</v>
      </c>
      <c r="S94" s="240">
        <v>1.221174863387978E-2</v>
      </c>
      <c r="T94" s="240">
        <v>16.728006147540984</v>
      </c>
      <c r="U94" s="241">
        <v>0</v>
      </c>
      <c r="V94" s="239">
        <v>0</v>
      </c>
      <c r="W94" s="239">
        <v>0</v>
      </c>
      <c r="X94" s="239">
        <v>0</v>
      </c>
      <c r="Y94" s="239">
        <v>12.782841530054645</v>
      </c>
      <c r="Z94" s="239">
        <v>3.824285519125683</v>
      </c>
      <c r="AA94" s="239">
        <v>0</v>
      </c>
      <c r="AB94" s="240">
        <v>0</v>
      </c>
      <c r="AC94" s="239">
        <v>0</v>
      </c>
      <c r="AD94" s="239">
        <v>0</v>
      </c>
      <c r="AE94" s="239">
        <v>1.8531256830601091</v>
      </c>
      <c r="AF94" s="239">
        <v>0</v>
      </c>
      <c r="AG94" s="239">
        <v>27.061947404371587</v>
      </c>
      <c r="AH94" s="239">
        <v>0</v>
      </c>
      <c r="AI94" s="239">
        <v>0</v>
      </c>
      <c r="AJ94" s="239">
        <v>142.61335245901643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87.347568306010999</v>
      </c>
      <c r="AQ94" s="239">
        <v>0</v>
      </c>
      <c r="AR94" s="239">
        <v>0</v>
      </c>
      <c r="AS94" s="239">
        <v>0</v>
      </c>
      <c r="AT94" s="239">
        <v>7.4499556010928956</v>
      </c>
      <c r="AU94" s="239">
        <v>0</v>
      </c>
      <c r="AV94" s="240">
        <v>57.904707650273217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f t="shared" si="20"/>
        <v>765.71567008196746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5" t="s">
        <v>1362</v>
      </c>
      <c r="D96" s="246" t="s">
        <v>5</v>
      </c>
      <c r="E96" s="247" t="s">
        <v>5</v>
      </c>
      <c r="F96" s="12"/>
    </row>
    <row r="97" spans="1:6" x14ac:dyDescent="0.2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2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25">
      <c r="A99" s="25" t="s">
        <v>303</v>
      </c>
      <c r="B99" s="32" t="s">
        <v>299</v>
      </c>
      <c r="C99" s="249" t="s">
        <v>304</v>
      </c>
      <c r="D99" s="246" t="s">
        <v>5</v>
      </c>
      <c r="E99" s="247" t="s">
        <v>5</v>
      </c>
      <c r="F99" s="12"/>
    </row>
    <row r="100" spans="1:6" x14ac:dyDescent="0.2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2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25">
      <c r="A102" s="25" t="s">
        <v>309</v>
      </c>
      <c r="B102" s="32" t="s">
        <v>299</v>
      </c>
      <c r="C102" s="250">
        <v>98111</v>
      </c>
      <c r="D102" s="246" t="s">
        <v>5</v>
      </c>
      <c r="E102" s="247" t="s">
        <v>5</v>
      </c>
      <c r="F102" s="12"/>
    </row>
    <row r="103" spans="1:6" x14ac:dyDescent="0.2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25">
      <c r="A104" s="25" t="s">
        <v>312</v>
      </c>
      <c r="B104" s="32" t="s">
        <v>299</v>
      </c>
      <c r="C104" s="251" t="s">
        <v>313</v>
      </c>
      <c r="D104" s="246" t="s">
        <v>5</v>
      </c>
      <c r="E104" s="247" t="s">
        <v>5</v>
      </c>
      <c r="F104" s="12"/>
    </row>
    <row r="105" spans="1:6" x14ac:dyDescent="0.25">
      <c r="A105" s="25" t="s">
        <v>314</v>
      </c>
      <c r="B105" s="32" t="s">
        <v>299</v>
      </c>
      <c r="C105" s="251" t="s">
        <v>315</v>
      </c>
      <c r="D105" s="246" t="s">
        <v>5</v>
      </c>
      <c r="E105" s="247" t="s">
        <v>5</v>
      </c>
      <c r="F105" s="12"/>
    </row>
    <row r="106" spans="1:6" x14ac:dyDescent="0.25">
      <c r="A106" s="25" t="s">
        <v>316</v>
      </c>
      <c r="B106" s="32" t="s">
        <v>299</v>
      </c>
      <c r="C106" s="249" t="s">
        <v>317</v>
      </c>
      <c r="D106" s="246" t="s">
        <v>5</v>
      </c>
      <c r="E106" s="247" t="s">
        <v>5</v>
      </c>
      <c r="F106" s="12"/>
    </row>
    <row r="107" spans="1:6" x14ac:dyDescent="0.25">
      <c r="A107" s="25" t="s">
        <v>318</v>
      </c>
      <c r="B107" s="32" t="s">
        <v>299</v>
      </c>
      <c r="C107" s="252" t="s">
        <v>319</v>
      </c>
      <c r="D107" s="246" t="s">
        <v>5</v>
      </c>
      <c r="E107" s="247" t="s">
        <v>5</v>
      </c>
      <c r="F107" s="12"/>
    </row>
    <row r="108" spans="1:6" x14ac:dyDescent="0.25">
      <c r="A108" s="25" t="s">
        <v>320</v>
      </c>
      <c r="B108" s="32" t="s">
        <v>299</v>
      </c>
      <c r="C108" s="252" t="s">
        <v>321</v>
      </c>
      <c r="D108" s="246" t="s">
        <v>5</v>
      </c>
      <c r="E108" s="247" t="s">
        <v>5</v>
      </c>
      <c r="F108" s="12"/>
    </row>
    <row r="109" spans="1:6" x14ac:dyDescent="0.25">
      <c r="A109" s="33" t="s">
        <v>322</v>
      </c>
      <c r="B109" s="32" t="s">
        <v>299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25">
      <c r="A110" s="33" t="s">
        <v>324</v>
      </c>
      <c r="B110" s="32" t="s">
        <v>299</v>
      </c>
      <c r="C110" s="249" t="s">
        <v>325</v>
      </c>
      <c r="D110" s="246" t="s">
        <v>5</v>
      </c>
      <c r="E110" s="247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53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53">
        <v>0</v>
      </c>
      <c r="D114" s="16"/>
      <c r="E114" s="16"/>
    </row>
    <row r="115" spans="1:5" x14ac:dyDescent="0.25">
      <c r="A115" s="16" t="s">
        <v>328</v>
      </c>
      <c r="B115" s="35" t="s">
        <v>299</v>
      </c>
      <c r="C115" s="253">
        <v>0</v>
      </c>
      <c r="D115" s="16"/>
      <c r="E115" s="16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6" t="s">
        <v>330</v>
      </c>
      <c r="B117" s="35" t="s">
        <v>299</v>
      </c>
      <c r="C117" s="253">
        <v>1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4">
        <v>0</v>
      </c>
      <c r="D118" s="16"/>
      <c r="E118" s="16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6" t="s">
        <v>332</v>
      </c>
      <c r="B120" s="35" t="s">
        <v>299</v>
      </c>
      <c r="C120" s="253">
        <v>0</v>
      </c>
      <c r="D120" s="16"/>
      <c r="E120" s="16"/>
    </row>
    <row r="121" spans="1:5" x14ac:dyDescent="0.25">
      <c r="A121" s="16" t="s">
        <v>333</v>
      </c>
      <c r="B121" s="35" t="s">
        <v>299</v>
      </c>
      <c r="C121" s="253">
        <v>0</v>
      </c>
      <c r="D121" s="16"/>
      <c r="E121" s="16"/>
    </row>
    <row r="122" spans="1:5" x14ac:dyDescent="0.25">
      <c r="A122" s="16" t="s">
        <v>334</v>
      </c>
      <c r="B122" s="35" t="s">
        <v>299</v>
      </c>
      <c r="C122" s="253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35" t="s">
        <v>299</v>
      </c>
      <c r="C127" s="253">
        <v>12839</v>
      </c>
      <c r="D127" s="255">
        <v>63288</v>
      </c>
      <c r="E127" s="16"/>
    </row>
    <row r="128" spans="1:5" x14ac:dyDescent="0.25">
      <c r="A128" s="16" t="s">
        <v>339</v>
      </c>
      <c r="B128" s="35" t="s">
        <v>299</v>
      </c>
      <c r="C128" s="253">
        <v>29</v>
      </c>
      <c r="D128" s="255">
        <v>10617</v>
      </c>
      <c r="E128" s="16"/>
    </row>
    <row r="129" spans="1:5" x14ac:dyDescent="0.25">
      <c r="A129" s="16" t="s">
        <v>340</v>
      </c>
      <c r="B129" s="35" t="s">
        <v>299</v>
      </c>
      <c r="C129" s="253">
        <v>0</v>
      </c>
      <c r="D129" s="255">
        <v>0</v>
      </c>
      <c r="E129" s="16"/>
    </row>
    <row r="130" spans="1:5" x14ac:dyDescent="0.25">
      <c r="A130" s="16" t="s">
        <v>341</v>
      </c>
      <c r="B130" s="35" t="s">
        <v>299</v>
      </c>
      <c r="C130" s="253">
        <v>0</v>
      </c>
      <c r="D130" s="255">
        <v>0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5" t="s">
        <v>299</v>
      </c>
      <c r="C132" s="253">
        <v>28</v>
      </c>
      <c r="D132" s="16"/>
      <c r="E132" s="16"/>
    </row>
    <row r="133" spans="1:5" x14ac:dyDescent="0.25">
      <c r="A133" s="16" t="s">
        <v>344</v>
      </c>
      <c r="B133" s="35" t="s">
        <v>299</v>
      </c>
      <c r="C133" s="253">
        <v>24</v>
      </c>
      <c r="D133" s="16"/>
      <c r="E133" s="16"/>
    </row>
    <row r="134" spans="1:5" x14ac:dyDescent="0.25">
      <c r="A134" s="16" t="s">
        <v>345</v>
      </c>
      <c r="B134" s="35" t="s">
        <v>299</v>
      </c>
      <c r="C134" s="253">
        <v>162</v>
      </c>
      <c r="D134" s="16"/>
      <c r="E134" s="16"/>
    </row>
    <row r="135" spans="1:5" x14ac:dyDescent="0.25">
      <c r="A135" s="16" t="s">
        <v>346</v>
      </c>
      <c r="B135" s="35" t="s">
        <v>299</v>
      </c>
      <c r="C135" s="253">
        <v>0</v>
      </c>
      <c r="D135" s="16"/>
      <c r="E135" s="16"/>
    </row>
    <row r="136" spans="1:5" x14ac:dyDescent="0.25">
      <c r="A136" s="16" t="s">
        <v>347</v>
      </c>
      <c r="B136" s="35" t="s">
        <v>299</v>
      </c>
      <c r="C136" s="253">
        <v>10</v>
      </c>
      <c r="D136" s="16"/>
      <c r="E136" s="16"/>
    </row>
    <row r="137" spans="1:5" x14ac:dyDescent="0.25">
      <c r="A137" s="16" t="s">
        <v>348</v>
      </c>
      <c r="B137" s="35" t="s">
        <v>299</v>
      </c>
      <c r="C137" s="253">
        <v>18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3">
        <v>0</v>
      </c>
      <c r="D138" s="16"/>
      <c r="E138" s="16"/>
    </row>
    <row r="139" spans="1:5" x14ac:dyDescent="0.25">
      <c r="A139" s="16" t="s">
        <v>349</v>
      </c>
      <c r="B139" s="35" t="s">
        <v>299</v>
      </c>
      <c r="C139" s="253">
        <v>35</v>
      </c>
      <c r="D139" s="16"/>
      <c r="E139" s="16"/>
    </row>
    <row r="140" spans="1:5" x14ac:dyDescent="0.25">
      <c r="A140" s="16" t="s">
        <v>350</v>
      </c>
      <c r="B140" s="35"/>
      <c r="C140" s="253">
        <v>0</v>
      </c>
      <c r="D140" s="16"/>
      <c r="E140" s="16"/>
    </row>
    <row r="141" spans="1:5" x14ac:dyDescent="0.25">
      <c r="A141" s="16" t="s">
        <v>340</v>
      </c>
      <c r="B141" s="35" t="s">
        <v>299</v>
      </c>
      <c r="C141" s="253">
        <v>0</v>
      </c>
      <c r="D141" s="16"/>
      <c r="E141" s="16"/>
    </row>
    <row r="142" spans="1:5" x14ac:dyDescent="0.25">
      <c r="A142" s="16" t="s">
        <v>351</v>
      </c>
      <c r="B142" s="35" t="s">
        <v>299</v>
      </c>
      <c r="C142" s="253">
        <v>5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f>SUM(C132:C142)</f>
        <v>282</v>
      </c>
    </row>
    <row r="144" spans="1:5" x14ac:dyDescent="0.25">
      <c r="A144" s="16" t="s">
        <v>353</v>
      </c>
      <c r="B144" s="35" t="s">
        <v>299</v>
      </c>
      <c r="C144" s="253">
        <v>371</v>
      </c>
      <c r="D144" s="16"/>
      <c r="E144" s="16"/>
    </row>
    <row r="145" spans="1:6" x14ac:dyDescent="0.25">
      <c r="A145" s="16" t="s">
        <v>354</v>
      </c>
      <c r="B145" s="35" t="s">
        <v>299</v>
      </c>
      <c r="C145" s="253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5" t="s">
        <v>299</v>
      </c>
      <c r="C147" s="253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6" t="s">
        <v>337</v>
      </c>
      <c r="B154" s="255">
        <v>7164</v>
      </c>
      <c r="C154" s="255">
        <v>1396</v>
      </c>
      <c r="D154" s="255">
        <v>4279</v>
      </c>
      <c r="E154" s="25">
        <f>SUM(B154:D154)</f>
        <v>12839</v>
      </c>
    </row>
    <row r="155" spans="1:6" x14ac:dyDescent="0.25">
      <c r="A155" s="16" t="s">
        <v>242</v>
      </c>
      <c r="B155" s="255">
        <v>38493</v>
      </c>
      <c r="C155" s="255">
        <v>7822</v>
      </c>
      <c r="D155" s="255">
        <v>16973</v>
      </c>
      <c r="E155" s="25">
        <f>SUM(B155:D155)</f>
        <v>63288</v>
      </c>
    </row>
    <row r="156" spans="1:6" x14ac:dyDescent="0.25">
      <c r="A156" s="16" t="s">
        <v>360</v>
      </c>
      <c r="B156" s="255">
        <v>0</v>
      </c>
      <c r="C156" s="255">
        <v>0</v>
      </c>
      <c r="D156" s="255">
        <v>0</v>
      </c>
      <c r="E156" s="25">
        <f>SUM(B156:D156)</f>
        <v>0</v>
      </c>
    </row>
    <row r="157" spans="1:6" x14ac:dyDescent="0.25">
      <c r="A157" s="16" t="s">
        <v>287</v>
      </c>
      <c r="B157" s="255">
        <v>513668391.76999998</v>
      </c>
      <c r="C157" s="255">
        <v>133048259.41</v>
      </c>
      <c r="D157" s="255">
        <v>497348397.11000001</v>
      </c>
      <c r="E157" s="25">
        <f>SUM(B157:D157)</f>
        <v>1144065048.29</v>
      </c>
      <c r="F157" s="14"/>
    </row>
    <row r="158" spans="1:6" x14ac:dyDescent="0.25">
      <c r="A158" s="16" t="s">
        <v>288</v>
      </c>
      <c r="B158" s="255">
        <v>869354796</v>
      </c>
      <c r="C158" s="255">
        <v>133082001.52</v>
      </c>
      <c r="D158" s="255">
        <v>1421404027.1399999</v>
      </c>
      <c r="E158" s="25">
        <f>SUM(B158:D158)</f>
        <v>2423840824.6599998</v>
      </c>
      <c r="F158" s="14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6" t="s">
        <v>337</v>
      </c>
      <c r="B160" s="255">
        <v>0</v>
      </c>
      <c r="C160" s="255">
        <v>29</v>
      </c>
      <c r="D160" s="255">
        <v>0</v>
      </c>
      <c r="E160" s="25">
        <f>SUM(B160:D160)</f>
        <v>29</v>
      </c>
    </row>
    <row r="161" spans="1:5" x14ac:dyDescent="0.25">
      <c r="A161" s="16" t="s">
        <v>242</v>
      </c>
      <c r="B161" s="255">
        <v>0</v>
      </c>
      <c r="C161" s="255">
        <v>10617</v>
      </c>
      <c r="D161" s="255">
        <v>0</v>
      </c>
      <c r="E161" s="25">
        <f>SUM(B161:D161)</f>
        <v>10617</v>
      </c>
    </row>
    <row r="162" spans="1:5" x14ac:dyDescent="0.25">
      <c r="A162" s="16" t="s">
        <v>360</v>
      </c>
      <c r="B162" s="255">
        <v>0</v>
      </c>
      <c r="C162" s="255">
        <v>0</v>
      </c>
      <c r="D162" s="255">
        <v>0</v>
      </c>
      <c r="E162" s="25">
        <f>SUM(B162:D162)</f>
        <v>0</v>
      </c>
    </row>
    <row r="163" spans="1:5" x14ac:dyDescent="0.25">
      <c r="A163" s="16" t="s">
        <v>287</v>
      </c>
      <c r="B163" s="255">
        <v>0</v>
      </c>
      <c r="C163" s="255">
        <v>11928834.23</v>
      </c>
      <c r="D163" s="255">
        <v>107974.56</v>
      </c>
      <c r="E163" s="25">
        <f>SUM(B163:D163)</f>
        <v>12036808.790000001</v>
      </c>
    </row>
    <row r="164" spans="1:5" x14ac:dyDescent="0.25">
      <c r="A164" s="16" t="s">
        <v>288</v>
      </c>
      <c r="B164" s="255">
        <v>0</v>
      </c>
      <c r="C164" s="255">
        <v>0</v>
      </c>
      <c r="D164" s="255">
        <v>0</v>
      </c>
      <c r="E164" s="25">
        <f>SUM(B164:D164)</f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6" t="s">
        <v>337</v>
      </c>
      <c r="B166" s="255">
        <v>0</v>
      </c>
      <c r="C166" s="255">
        <v>0</v>
      </c>
      <c r="D166" s="255">
        <v>0</v>
      </c>
      <c r="E166" s="25">
        <f>SUM(B166:D166)</f>
        <v>0</v>
      </c>
    </row>
    <row r="167" spans="1:5" x14ac:dyDescent="0.25">
      <c r="A167" s="16" t="s">
        <v>242</v>
      </c>
      <c r="B167" s="255">
        <v>0</v>
      </c>
      <c r="C167" s="255">
        <v>0</v>
      </c>
      <c r="D167" s="255">
        <v>0</v>
      </c>
      <c r="E167" s="25">
        <f>SUM(B167:D167)</f>
        <v>0</v>
      </c>
    </row>
    <row r="168" spans="1:5" x14ac:dyDescent="0.25">
      <c r="A168" s="16" t="s">
        <v>360</v>
      </c>
      <c r="B168" s="255">
        <v>0</v>
      </c>
      <c r="C168" s="255">
        <v>0</v>
      </c>
      <c r="D168" s="255">
        <v>0</v>
      </c>
      <c r="E168" s="25">
        <f>SUM(B168:D168)</f>
        <v>0</v>
      </c>
    </row>
    <row r="169" spans="1:5" x14ac:dyDescent="0.25">
      <c r="A169" s="16" t="s">
        <v>287</v>
      </c>
      <c r="B169" s="255">
        <v>0</v>
      </c>
      <c r="C169" s="255">
        <v>0</v>
      </c>
      <c r="D169" s="255">
        <v>0</v>
      </c>
      <c r="E169" s="25">
        <f>SUM(B169:D169)</f>
        <v>0</v>
      </c>
    </row>
    <row r="170" spans="1:5" x14ac:dyDescent="0.25">
      <c r="A170" s="16" t="s">
        <v>288</v>
      </c>
      <c r="B170" s="255">
        <v>0</v>
      </c>
      <c r="C170" s="255">
        <v>0</v>
      </c>
      <c r="D170" s="25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25">
      <c r="A173" s="20" t="s">
        <v>366</v>
      </c>
      <c r="B173" s="255">
        <v>0</v>
      </c>
      <c r="C173" s="25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6" t="s">
        <v>369</v>
      </c>
      <c r="B181" s="35" t="s">
        <v>299</v>
      </c>
      <c r="C181" s="253">
        <v>38893319.140000001</v>
      </c>
      <c r="D181" s="16"/>
      <c r="E181" s="16"/>
    </row>
    <row r="182" spans="1:5" x14ac:dyDescent="0.25">
      <c r="A182" s="16" t="s">
        <v>370</v>
      </c>
      <c r="B182" s="35" t="s">
        <v>299</v>
      </c>
      <c r="C182" s="253">
        <v>974393.97</v>
      </c>
      <c r="D182" s="16"/>
      <c r="E182" s="16"/>
    </row>
    <row r="183" spans="1:5" x14ac:dyDescent="0.25">
      <c r="A183" s="20" t="s">
        <v>371</v>
      </c>
      <c r="B183" s="35" t="s">
        <v>299</v>
      </c>
      <c r="C183" s="253">
        <v>1396699.9</v>
      </c>
      <c r="D183" s="16"/>
      <c r="E183" s="16"/>
    </row>
    <row r="184" spans="1:5" x14ac:dyDescent="0.25">
      <c r="A184" s="16" t="s">
        <v>372</v>
      </c>
      <c r="B184" s="35" t="s">
        <v>299</v>
      </c>
      <c r="C184" s="253">
        <v>22101218</v>
      </c>
      <c r="D184" s="16"/>
      <c r="E184" s="16"/>
    </row>
    <row r="185" spans="1:5" x14ac:dyDescent="0.25">
      <c r="A185" s="16" t="s">
        <v>373</v>
      </c>
      <c r="B185" s="35" t="s">
        <v>299</v>
      </c>
      <c r="C185" s="253">
        <v>640133.89</v>
      </c>
      <c r="D185" s="16"/>
      <c r="E185" s="16"/>
    </row>
    <row r="186" spans="1:5" x14ac:dyDescent="0.25">
      <c r="A186" s="16" t="s">
        <v>374</v>
      </c>
      <c r="B186" s="35" t="s">
        <v>299</v>
      </c>
      <c r="C186" s="253">
        <v>18377032.25</v>
      </c>
      <c r="D186" s="16"/>
      <c r="E186" s="16"/>
    </row>
    <row r="187" spans="1:5" x14ac:dyDescent="0.25">
      <c r="A187" s="16" t="s">
        <v>375</v>
      </c>
      <c r="B187" s="35" t="s">
        <v>299</v>
      </c>
      <c r="C187" s="253">
        <v>0</v>
      </c>
      <c r="D187" s="16"/>
      <c r="E187" s="16"/>
    </row>
    <row r="188" spans="1:5" x14ac:dyDescent="0.25">
      <c r="A188" s="16" t="s">
        <v>375</v>
      </c>
      <c r="B188" s="35" t="s">
        <v>299</v>
      </c>
      <c r="C188" s="253">
        <v>794307.44999998808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f>SUM(C181:C188)</f>
        <v>83177104.599999994</v>
      </c>
      <c r="E189" s="16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6" t="s">
        <v>377</v>
      </c>
      <c r="B191" s="35" t="s">
        <v>299</v>
      </c>
      <c r="C191" s="253">
        <v>13597573.58</v>
      </c>
      <c r="D191" s="16"/>
      <c r="E191" s="16"/>
    </row>
    <row r="192" spans="1:5" x14ac:dyDescent="0.25">
      <c r="A192" s="16" t="s">
        <v>378</v>
      </c>
      <c r="B192" s="35" t="s">
        <v>299</v>
      </c>
      <c r="C192" s="253">
        <v>4940180.3400000017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SUM(C191:C192)</f>
        <v>18537753.920000002</v>
      </c>
      <c r="E193" s="16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6" t="s">
        <v>380</v>
      </c>
      <c r="B195" s="35" t="s">
        <v>299</v>
      </c>
      <c r="C195" s="253">
        <v>7792386.7999999998</v>
      </c>
      <c r="D195" s="16"/>
      <c r="E195" s="16"/>
    </row>
    <row r="196" spans="1:5" x14ac:dyDescent="0.25">
      <c r="A196" s="16" t="s">
        <v>381</v>
      </c>
      <c r="B196" s="35" t="s">
        <v>299</v>
      </c>
      <c r="C196" s="253">
        <v>262818.12999999989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8055204.9299999997</v>
      </c>
      <c r="E197" s="16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6" t="s">
        <v>383</v>
      </c>
      <c r="B199" s="35" t="s">
        <v>299</v>
      </c>
      <c r="C199" s="253">
        <v>2404260.77</v>
      </c>
      <c r="D199" s="16"/>
      <c r="E199" s="16"/>
    </row>
    <row r="200" spans="1:5" x14ac:dyDescent="0.25">
      <c r="A200" s="16" t="s">
        <v>384</v>
      </c>
      <c r="B200" s="35" t="s">
        <v>299</v>
      </c>
      <c r="C200" s="253">
        <v>0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53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SUM(C199:C201)</f>
        <v>2404260.77</v>
      </c>
      <c r="E202" s="16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6" t="s">
        <v>386</v>
      </c>
      <c r="B204" s="35" t="s">
        <v>299</v>
      </c>
      <c r="C204" s="253">
        <v>0</v>
      </c>
      <c r="D204" s="16"/>
      <c r="E204" s="16"/>
    </row>
    <row r="205" spans="1:5" x14ac:dyDescent="0.25">
      <c r="A205" s="16" t="s">
        <v>387</v>
      </c>
      <c r="B205" s="35" t="s">
        <v>299</v>
      </c>
      <c r="C205" s="253">
        <v>13577874.4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SUM(C204:C205)</f>
        <v>13577874.4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5">
        <v>115413740.85000001</v>
      </c>
      <c r="C211" s="253">
        <v>0</v>
      </c>
      <c r="D211" s="255">
        <v>0</v>
      </c>
      <c r="E211" s="25">
        <f t="shared" ref="E211:E219" si="22">SUM(B211:C211)-D211</f>
        <v>115413740.85000001</v>
      </c>
    </row>
    <row r="212" spans="1:5" x14ac:dyDescent="0.25">
      <c r="A212" s="16" t="s">
        <v>395</v>
      </c>
      <c r="B212" s="255">
        <v>299662.08000000002</v>
      </c>
      <c r="C212" s="253">
        <v>0</v>
      </c>
      <c r="D212" s="255">
        <v>0</v>
      </c>
      <c r="E212" s="25">
        <f t="shared" si="22"/>
        <v>299662.08000000002</v>
      </c>
    </row>
    <row r="213" spans="1:5" x14ac:dyDescent="0.25">
      <c r="A213" s="16" t="s">
        <v>396</v>
      </c>
      <c r="B213" s="255">
        <v>326899254.49000001</v>
      </c>
      <c r="C213" s="253">
        <v>9629777.5500000007</v>
      </c>
      <c r="D213" s="255">
        <v>0</v>
      </c>
      <c r="E213" s="25">
        <f t="shared" si="22"/>
        <v>336529032.04000002</v>
      </c>
    </row>
    <row r="214" spans="1:5" x14ac:dyDescent="0.25">
      <c r="A214" s="16" t="s">
        <v>397</v>
      </c>
      <c r="B214" s="255">
        <v>0</v>
      </c>
      <c r="C214" s="253">
        <v>0</v>
      </c>
      <c r="D214" s="255">
        <v>0</v>
      </c>
      <c r="E214" s="25">
        <f t="shared" si="22"/>
        <v>0</v>
      </c>
    </row>
    <row r="215" spans="1:5" x14ac:dyDescent="0.25">
      <c r="A215" s="16" t="s">
        <v>398</v>
      </c>
      <c r="B215" s="255">
        <v>3732328.6100000003</v>
      </c>
      <c r="C215" s="253">
        <v>298440.94</v>
      </c>
      <c r="D215" s="255">
        <v>0</v>
      </c>
      <c r="E215" s="25">
        <f t="shared" si="22"/>
        <v>4030769.5500000003</v>
      </c>
    </row>
    <row r="216" spans="1:5" x14ac:dyDescent="0.25">
      <c r="A216" s="16" t="s">
        <v>399</v>
      </c>
      <c r="B216" s="255">
        <v>102092681.52</v>
      </c>
      <c r="C216" s="253">
        <v>16814196.59</v>
      </c>
      <c r="D216" s="255">
        <v>0</v>
      </c>
      <c r="E216" s="25">
        <f t="shared" si="22"/>
        <v>118906878.11</v>
      </c>
    </row>
    <row r="217" spans="1:5" x14ac:dyDescent="0.25">
      <c r="A217" s="16" t="s">
        <v>400</v>
      </c>
      <c r="B217" s="255">
        <v>0</v>
      </c>
      <c r="C217" s="253">
        <v>0</v>
      </c>
      <c r="D217" s="255">
        <v>0</v>
      </c>
      <c r="E217" s="25">
        <f t="shared" si="22"/>
        <v>0</v>
      </c>
    </row>
    <row r="218" spans="1:5" x14ac:dyDescent="0.25">
      <c r="A218" s="16" t="s">
        <v>401</v>
      </c>
      <c r="B218" s="255">
        <v>28107330.07</v>
      </c>
      <c r="C218" s="253">
        <v>182422.11</v>
      </c>
      <c r="D218" s="255">
        <v>0</v>
      </c>
      <c r="E218" s="25">
        <f t="shared" si="22"/>
        <v>28289752.18</v>
      </c>
    </row>
    <row r="219" spans="1:5" x14ac:dyDescent="0.25">
      <c r="A219" s="16" t="s">
        <v>402</v>
      </c>
      <c r="B219" s="255">
        <v>23146682.990000002</v>
      </c>
      <c r="C219" s="253">
        <v>-12134538.930000002</v>
      </c>
      <c r="D219" s="255">
        <v>0</v>
      </c>
      <c r="E219" s="25">
        <f t="shared" si="22"/>
        <v>11012144.060000001</v>
      </c>
    </row>
    <row r="220" spans="1:5" x14ac:dyDescent="0.25">
      <c r="A220" s="16" t="s">
        <v>230</v>
      </c>
      <c r="B220" s="25">
        <f>SUM(B211:B219)</f>
        <v>599691680.61000013</v>
      </c>
      <c r="C220" s="224">
        <f>SUM(C211:C219)</f>
        <v>14790298.259999996</v>
      </c>
      <c r="D220" s="25">
        <f>SUM(D211:D219)</f>
        <v>0</v>
      </c>
      <c r="E220" s="25">
        <f>SUM(E211:E219)</f>
        <v>614481978.86999989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2"/>
      <c r="C224" s="41"/>
      <c r="D224" s="42"/>
      <c r="E224" s="16"/>
    </row>
    <row r="225" spans="1:6" x14ac:dyDescent="0.25">
      <c r="A225" s="16" t="s">
        <v>395</v>
      </c>
      <c r="B225" s="255">
        <v>42398.84</v>
      </c>
      <c r="C225" s="253">
        <v>16959.53</v>
      </c>
      <c r="D225" s="255">
        <v>0</v>
      </c>
      <c r="E225" s="25">
        <f t="shared" ref="E225:E232" si="23">SUM(B225:C225)-D225</f>
        <v>59358.369999999995</v>
      </c>
    </row>
    <row r="226" spans="1:6" x14ac:dyDescent="0.25">
      <c r="A226" s="16" t="s">
        <v>396</v>
      </c>
      <c r="B226" s="255">
        <v>36071628.390000001</v>
      </c>
      <c r="C226" s="253">
        <v>15687420.65</v>
      </c>
      <c r="D226" s="255">
        <v>0</v>
      </c>
      <c r="E226" s="25">
        <f t="shared" si="23"/>
        <v>51759049.039999999</v>
      </c>
    </row>
    <row r="227" spans="1:6" x14ac:dyDescent="0.25">
      <c r="A227" s="16" t="s">
        <v>397</v>
      </c>
      <c r="B227" s="255">
        <v>0</v>
      </c>
      <c r="C227" s="253">
        <v>0</v>
      </c>
      <c r="D227" s="255">
        <v>0</v>
      </c>
      <c r="E227" s="25">
        <f t="shared" si="23"/>
        <v>0</v>
      </c>
    </row>
    <row r="228" spans="1:6" x14ac:dyDescent="0.25">
      <c r="A228" s="16" t="s">
        <v>398</v>
      </c>
      <c r="B228" s="255">
        <v>1294798.48</v>
      </c>
      <c r="C228" s="253">
        <v>482785.77</v>
      </c>
      <c r="D228" s="255">
        <v>0</v>
      </c>
      <c r="E228" s="25">
        <f t="shared" si="23"/>
        <v>1777584.25</v>
      </c>
    </row>
    <row r="229" spans="1:6" x14ac:dyDescent="0.25">
      <c r="A229" s="16" t="s">
        <v>399</v>
      </c>
      <c r="B229" s="255">
        <v>50364916.629999995</v>
      </c>
      <c r="C229" s="253">
        <v>14158857.27</v>
      </c>
      <c r="D229" s="255">
        <v>0</v>
      </c>
      <c r="E229" s="25">
        <f t="shared" si="23"/>
        <v>64523773.899999991</v>
      </c>
    </row>
    <row r="230" spans="1:6" x14ac:dyDescent="0.25">
      <c r="A230" s="16" t="s">
        <v>400</v>
      </c>
      <c r="B230" s="255">
        <v>0</v>
      </c>
      <c r="C230" s="253">
        <v>0</v>
      </c>
      <c r="D230" s="255">
        <v>0</v>
      </c>
      <c r="E230" s="25">
        <f t="shared" si="23"/>
        <v>0</v>
      </c>
    </row>
    <row r="231" spans="1:6" x14ac:dyDescent="0.25">
      <c r="A231" s="16" t="s">
        <v>401</v>
      </c>
      <c r="B231" s="255">
        <v>5974691.7599999998</v>
      </c>
      <c r="C231" s="253">
        <v>1806279.07</v>
      </c>
      <c r="D231" s="255">
        <v>0</v>
      </c>
      <c r="E231" s="25">
        <f t="shared" si="23"/>
        <v>7780970.8300000001</v>
      </c>
    </row>
    <row r="232" spans="1:6" x14ac:dyDescent="0.25">
      <c r="A232" s="16" t="s">
        <v>402</v>
      </c>
      <c r="B232" s="255">
        <v>0</v>
      </c>
      <c r="C232" s="253">
        <v>0</v>
      </c>
      <c r="D232" s="255">
        <v>0</v>
      </c>
      <c r="E232" s="25">
        <f t="shared" si="23"/>
        <v>0</v>
      </c>
    </row>
    <row r="233" spans="1:6" x14ac:dyDescent="0.25">
      <c r="A233" s="16" t="s">
        <v>230</v>
      </c>
      <c r="B233" s="25">
        <f>SUM(B224:B232)</f>
        <v>93748434.100000009</v>
      </c>
      <c r="C233" s="224">
        <f>SUM(C224:C232)</f>
        <v>32152302.289999999</v>
      </c>
      <c r="D233" s="25">
        <f>SUM(D224:D232)</f>
        <v>0</v>
      </c>
      <c r="E233" s="25">
        <f>SUM(E224:E232)</f>
        <v>125900736.38999999</v>
      </c>
    </row>
    <row r="234" spans="1:6" x14ac:dyDescent="0.25">
      <c r="A234" s="16"/>
      <c r="B234" s="16"/>
      <c r="C234" s="22"/>
      <c r="D234" s="16"/>
      <c r="E234" s="16"/>
      <c r="F234" s="11">
        <f>E220-E233</f>
        <v>488581242.4799999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18" t="s">
        <v>405</v>
      </c>
      <c r="C236" s="318"/>
      <c r="D236" s="30"/>
      <c r="E236" s="30"/>
    </row>
    <row r="237" spans="1:6" x14ac:dyDescent="0.25">
      <c r="A237" s="43" t="s">
        <v>405</v>
      </c>
      <c r="B237" s="30"/>
      <c r="C237" s="253">
        <v>22963864.82</v>
      </c>
      <c r="D237" s="32">
        <f>C237</f>
        <v>22963864.82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6" t="s">
        <v>407</v>
      </c>
      <c r="B239" s="35" t="s">
        <v>299</v>
      </c>
      <c r="C239" s="253">
        <v>916700230.26999998</v>
      </c>
      <c r="D239" s="16"/>
      <c r="E239" s="16"/>
    </row>
    <row r="240" spans="1:6" x14ac:dyDescent="0.25">
      <c r="A240" s="16" t="s">
        <v>408</v>
      </c>
      <c r="B240" s="35" t="s">
        <v>299</v>
      </c>
      <c r="C240" s="253">
        <v>209162392.50999999</v>
      </c>
      <c r="D240" s="16"/>
      <c r="E240" s="16"/>
    </row>
    <row r="241" spans="1:5" x14ac:dyDescent="0.25">
      <c r="A241" s="16" t="s">
        <v>409</v>
      </c>
      <c r="B241" s="35" t="s">
        <v>299</v>
      </c>
      <c r="C241" s="253">
        <v>0</v>
      </c>
      <c r="D241" s="16"/>
      <c r="E241" s="16"/>
    </row>
    <row r="242" spans="1:5" x14ac:dyDescent="0.25">
      <c r="A242" s="16" t="s">
        <v>410</v>
      </c>
      <c r="B242" s="35" t="s">
        <v>299</v>
      </c>
      <c r="C242" s="253">
        <v>25535458.68</v>
      </c>
      <c r="D242" s="16"/>
      <c r="E242" s="16"/>
    </row>
    <row r="243" spans="1:5" x14ac:dyDescent="0.25">
      <c r="A243" s="16" t="s">
        <v>411</v>
      </c>
      <c r="B243" s="35" t="s">
        <v>299</v>
      </c>
      <c r="C243" s="253">
        <v>1142810955.53</v>
      </c>
      <c r="D243" s="16"/>
      <c r="E243" s="16"/>
    </row>
    <row r="244" spans="1:5" x14ac:dyDescent="0.25">
      <c r="A244" s="16" t="s">
        <v>412</v>
      </c>
      <c r="B244" s="35" t="s">
        <v>299</v>
      </c>
      <c r="C244" s="253">
        <v>0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f>SUM(C239:C244)</f>
        <v>2294209036.9899998</v>
      </c>
      <c r="E245" s="16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299</v>
      </c>
      <c r="C247" s="253">
        <v>10766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416</v>
      </c>
      <c r="B249" s="35" t="s">
        <v>299</v>
      </c>
      <c r="C249" s="253">
        <v>7009559.8300000001</v>
      </c>
      <c r="D249" s="16"/>
      <c r="E249" s="16"/>
    </row>
    <row r="250" spans="1:5" x14ac:dyDescent="0.25">
      <c r="A250" s="21" t="s">
        <v>417</v>
      </c>
      <c r="B250" s="35" t="s">
        <v>299</v>
      </c>
      <c r="C250" s="253">
        <v>13924032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f>SUM(C249:C251)</f>
        <v>20933591.829999998</v>
      </c>
      <c r="E252" s="16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6" t="s">
        <v>420</v>
      </c>
      <c r="B254" s="35" t="s">
        <v>299</v>
      </c>
      <c r="C254" s="253">
        <v>47534577.079999998</v>
      </c>
      <c r="D254" s="16"/>
      <c r="E254" s="16"/>
    </row>
    <row r="255" spans="1:5" x14ac:dyDescent="0.25">
      <c r="A255" s="16" t="s">
        <v>419</v>
      </c>
      <c r="B255" s="35" t="s">
        <v>299</v>
      </c>
      <c r="C255" s="253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f>SUM(C254:C255)</f>
        <v>47534577.079999998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f>D237+D245+D252+D256</f>
        <v>2385641070.7199998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6" t="s">
        <v>425</v>
      </c>
      <c r="B266" s="35" t="s">
        <v>299</v>
      </c>
      <c r="C266" s="253">
        <v>-614293.75</v>
      </c>
      <c r="D266" s="16"/>
      <c r="E266" s="16"/>
    </row>
    <row r="267" spans="1:5" x14ac:dyDescent="0.25">
      <c r="A267" s="16" t="s">
        <v>426</v>
      </c>
      <c r="B267" s="35" t="s">
        <v>299</v>
      </c>
      <c r="C267" s="253">
        <v>0</v>
      </c>
      <c r="D267" s="16"/>
      <c r="E267" s="16"/>
    </row>
    <row r="268" spans="1:5" x14ac:dyDescent="0.25">
      <c r="A268" s="16" t="s">
        <v>427</v>
      </c>
      <c r="B268" s="35" t="s">
        <v>299</v>
      </c>
      <c r="C268" s="253">
        <v>659740134.49000001</v>
      </c>
      <c r="D268" s="16"/>
      <c r="E268" s="16"/>
    </row>
    <row r="269" spans="1:5" x14ac:dyDescent="0.25">
      <c r="A269" s="16" t="s">
        <v>428</v>
      </c>
      <c r="B269" s="35" t="s">
        <v>299</v>
      </c>
      <c r="C269" s="253">
        <v>453616970.63999999</v>
      </c>
      <c r="D269" s="16"/>
      <c r="E269" s="16"/>
    </row>
    <row r="270" spans="1:5" x14ac:dyDescent="0.25">
      <c r="A270" s="16" t="s">
        <v>429</v>
      </c>
      <c r="B270" s="35" t="s">
        <v>299</v>
      </c>
      <c r="C270" s="253">
        <v>0</v>
      </c>
      <c r="D270" s="16"/>
      <c r="E270" s="16"/>
    </row>
    <row r="271" spans="1:5" x14ac:dyDescent="0.25">
      <c r="A271" s="16" t="s">
        <v>430</v>
      </c>
      <c r="B271" s="35" t="s">
        <v>299</v>
      </c>
      <c r="C271" s="253">
        <v>314081182.25</v>
      </c>
      <c r="D271" s="16"/>
      <c r="E271" s="16"/>
    </row>
    <row r="272" spans="1:5" x14ac:dyDescent="0.25">
      <c r="A272" s="16" t="s">
        <v>431</v>
      </c>
      <c r="B272" s="35" t="s">
        <v>299</v>
      </c>
      <c r="C272" s="253">
        <v>0</v>
      </c>
      <c r="D272" s="16"/>
      <c r="E272" s="16"/>
    </row>
    <row r="273" spans="1:5" x14ac:dyDescent="0.25">
      <c r="A273" s="16" t="s">
        <v>432</v>
      </c>
      <c r="B273" s="35" t="s">
        <v>299</v>
      </c>
      <c r="C273" s="253">
        <v>37637908.479999997</v>
      </c>
      <c r="D273" s="16"/>
      <c r="E273" s="16"/>
    </row>
    <row r="274" spans="1:5" x14ac:dyDescent="0.25">
      <c r="A274" s="16" t="s">
        <v>433</v>
      </c>
      <c r="B274" s="35" t="s">
        <v>299</v>
      </c>
      <c r="C274" s="253">
        <v>3998250.5</v>
      </c>
      <c r="D274" s="16"/>
      <c r="E274" s="16"/>
    </row>
    <row r="275" spans="1:5" x14ac:dyDescent="0.25">
      <c r="A275" s="16" t="s">
        <v>434</v>
      </c>
      <c r="B275" s="35" t="s">
        <v>299</v>
      </c>
      <c r="C275" s="253">
        <v>2241.58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f>SUM(C266:C268)-C269+SUM(C270:C275)</f>
        <v>561228452.91000009</v>
      </c>
      <c r="E276" s="16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6" t="s">
        <v>425</v>
      </c>
      <c r="B278" s="35" t="s">
        <v>299</v>
      </c>
      <c r="C278" s="253">
        <v>0</v>
      </c>
      <c r="D278" s="16"/>
      <c r="E278" s="16"/>
    </row>
    <row r="279" spans="1:5" x14ac:dyDescent="0.25">
      <c r="A279" s="16" t="s">
        <v>426</v>
      </c>
      <c r="B279" s="35" t="s">
        <v>299</v>
      </c>
      <c r="C279" s="253">
        <v>0</v>
      </c>
      <c r="D279" s="16"/>
      <c r="E279" s="16"/>
    </row>
    <row r="280" spans="1:5" x14ac:dyDescent="0.25">
      <c r="A280" s="16" t="s">
        <v>437</v>
      </c>
      <c r="B280" s="35" t="s">
        <v>299</v>
      </c>
      <c r="C280" s="253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6" t="s">
        <v>394</v>
      </c>
      <c r="B283" s="35" t="s">
        <v>299</v>
      </c>
      <c r="C283" s="253">
        <v>115413740.84999999</v>
      </c>
      <c r="D283" s="16"/>
      <c r="E283" s="16"/>
    </row>
    <row r="284" spans="1:5" x14ac:dyDescent="0.25">
      <c r="A284" s="16" t="s">
        <v>395</v>
      </c>
      <c r="B284" s="35" t="s">
        <v>299</v>
      </c>
      <c r="C284" s="253">
        <v>299662.08000000002</v>
      </c>
      <c r="D284" s="16"/>
      <c r="E284" s="16"/>
    </row>
    <row r="285" spans="1:5" x14ac:dyDescent="0.25">
      <c r="A285" s="16" t="s">
        <v>396</v>
      </c>
      <c r="B285" s="35" t="s">
        <v>299</v>
      </c>
      <c r="C285" s="253">
        <v>336529032.04000002</v>
      </c>
      <c r="D285" s="16"/>
      <c r="E285" s="16"/>
    </row>
    <row r="286" spans="1:5" x14ac:dyDescent="0.25">
      <c r="A286" s="16" t="s">
        <v>440</v>
      </c>
      <c r="B286" s="35" t="s">
        <v>299</v>
      </c>
      <c r="C286" s="253">
        <v>0</v>
      </c>
      <c r="D286" s="16"/>
      <c r="E286" s="16"/>
    </row>
    <row r="287" spans="1:5" x14ac:dyDescent="0.25">
      <c r="A287" s="16" t="s">
        <v>441</v>
      </c>
      <c r="B287" s="35" t="s">
        <v>299</v>
      </c>
      <c r="C287" s="253">
        <v>4030769.55</v>
      </c>
      <c r="D287" s="16"/>
      <c r="E287" s="16"/>
    </row>
    <row r="288" spans="1:5" x14ac:dyDescent="0.25">
      <c r="A288" s="16" t="s">
        <v>442</v>
      </c>
      <c r="B288" s="35" t="s">
        <v>299</v>
      </c>
      <c r="C288" s="253">
        <v>118906878.11</v>
      </c>
      <c r="D288" s="16"/>
      <c r="E288" s="16"/>
    </row>
    <row r="289" spans="1:5" x14ac:dyDescent="0.25">
      <c r="A289" s="16" t="s">
        <v>401</v>
      </c>
      <c r="B289" s="35" t="s">
        <v>299</v>
      </c>
      <c r="C289" s="253">
        <v>28289752.18</v>
      </c>
      <c r="D289" s="16"/>
      <c r="E289" s="16"/>
    </row>
    <row r="290" spans="1:5" x14ac:dyDescent="0.25">
      <c r="A290" s="16" t="s">
        <v>402</v>
      </c>
      <c r="B290" s="35" t="s">
        <v>299</v>
      </c>
      <c r="C290" s="253">
        <v>11012144.060000001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f>SUM(C283:C290)</f>
        <v>614481978.86999989</v>
      </c>
      <c r="E291" s="16"/>
    </row>
    <row r="292" spans="1:5" x14ac:dyDescent="0.25">
      <c r="A292" s="16" t="s">
        <v>444</v>
      </c>
      <c r="B292" s="35" t="s">
        <v>299</v>
      </c>
      <c r="C292" s="253">
        <v>125900736.39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f>D291-C292</f>
        <v>488581242.4799999</v>
      </c>
      <c r="E293" s="16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6" t="s">
        <v>447</v>
      </c>
      <c r="B295" s="35" t="s">
        <v>299</v>
      </c>
      <c r="C295" s="253">
        <v>0</v>
      </c>
      <c r="D295" s="16"/>
      <c r="E295" s="16"/>
    </row>
    <row r="296" spans="1:5" x14ac:dyDescent="0.25">
      <c r="A296" s="16" t="s">
        <v>448</v>
      </c>
      <c r="B296" s="35" t="s">
        <v>299</v>
      </c>
      <c r="C296" s="253">
        <v>0</v>
      </c>
      <c r="D296" s="16"/>
      <c r="E296" s="16"/>
    </row>
    <row r="297" spans="1:5" x14ac:dyDescent="0.25">
      <c r="A297" s="16" t="s">
        <v>449</v>
      </c>
      <c r="B297" s="35" t="s">
        <v>299</v>
      </c>
      <c r="C297" s="253">
        <v>88952713.059999987</v>
      </c>
      <c r="D297" s="16"/>
      <c r="E297" s="16"/>
    </row>
    <row r="298" spans="1:5" x14ac:dyDescent="0.25">
      <c r="A298" s="16" t="s">
        <v>437</v>
      </c>
      <c r="B298" s="35" t="s">
        <v>299</v>
      </c>
      <c r="C298" s="253">
        <v>106431857.33999999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f>C295-C296+C297+C298</f>
        <v>195384570.39999998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6" t="s">
        <v>452</v>
      </c>
      <c r="B302" s="35" t="s">
        <v>299</v>
      </c>
      <c r="C302" s="253">
        <v>0</v>
      </c>
      <c r="D302" s="16"/>
      <c r="E302" s="16"/>
    </row>
    <row r="303" spans="1:5" x14ac:dyDescent="0.25">
      <c r="A303" s="16" t="s">
        <v>453</v>
      </c>
      <c r="B303" s="35" t="s">
        <v>299</v>
      </c>
      <c r="C303" s="253">
        <v>0</v>
      </c>
      <c r="D303" s="16"/>
      <c r="E303" s="16"/>
    </row>
    <row r="304" spans="1:5" x14ac:dyDescent="0.25">
      <c r="A304" s="16" t="s">
        <v>454</v>
      </c>
      <c r="B304" s="35" t="s">
        <v>299</v>
      </c>
      <c r="C304" s="253">
        <v>0</v>
      </c>
      <c r="D304" s="16"/>
      <c r="E304" s="16"/>
    </row>
    <row r="305" spans="1:6" x14ac:dyDescent="0.25">
      <c r="A305" s="16" t="s">
        <v>455</v>
      </c>
      <c r="B305" s="35" t="s">
        <v>299</v>
      </c>
      <c r="C305" s="253">
        <v>33180240.539999999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f>SUM(C302:C305)</f>
        <v>33180240.539999999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f>D276+D281+D293+D299+D306</f>
        <v>1278374506.3299999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1278374506.3299999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6" t="s">
        <v>460</v>
      </c>
      <c r="B314" s="35" t="s">
        <v>299</v>
      </c>
      <c r="C314" s="253">
        <v>0</v>
      </c>
      <c r="D314" s="16"/>
      <c r="E314" s="16"/>
    </row>
    <row r="315" spans="1:6" x14ac:dyDescent="0.25">
      <c r="A315" s="16" t="s">
        <v>461</v>
      </c>
      <c r="B315" s="35" t="s">
        <v>299</v>
      </c>
      <c r="C315" s="253">
        <v>36766665.43</v>
      </c>
      <c r="D315" s="16"/>
      <c r="E315" s="16"/>
    </row>
    <row r="316" spans="1:6" x14ac:dyDescent="0.25">
      <c r="A316" s="16" t="s">
        <v>462</v>
      </c>
      <c r="B316" s="35" t="s">
        <v>299</v>
      </c>
      <c r="C316" s="253">
        <v>57856222.789999999</v>
      </c>
      <c r="D316" s="16"/>
      <c r="E316" s="16"/>
    </row>
    <row r="317" spans="1:6" x14ac:dyDescent="0.25">
      <c r="A317" s="16" t="s">
        <v>463</v>
      </c>
      <c r="B317" s="35" t="s">
        <v>299</v>
      </c>
      <c r="C317" s="253">
        <v>307139410.11000001</v>
      </c>
      <c r="D317" s="16"/>
      <c r="E317" s="16"/>
    </row>
    <row r="318" spans="1:6" x14ac:dyDescent="0.25">
      <c r="A318" s="16" t="s">
        <v>464</v>
      </c>
      <c r="B318" s="35" t="s">
        <v>299</v>
      </c>
      <c r="C318" s="253">
        <v>0</v>
      </c>
      <c r="D318" s="16"/>
      <c r="E318" s="16"/>
    </row>
    <row r="319" spans="1:6" x14ac:dyDescent="0.25">
      <c r="A319" s="16" t="s">
        <v>465</v>
      </c>
      <c r="B319" s="35" t="s">
        <v>299</v>
      </c>
      <c r="C319" s="253">
        <v>18018538.629999999</v>
      </c>
      <c r="D319" s="16"/>
      <c r="E319" s="16"/>
    </row>
    <row r="320" spans="1:6" x14ac:dyDescent="0.25">
      <c r="A320" s="16" t="s">
        <v>466</v>
      </c>
      <c r="B320" s="35" t="s">
        <v>299</v>
      </c>
      <c r="C320" s="253">
        <v>0</v>
      </c>
      <c r="D320" s="16"/>
      <c r="E320" s="16"/>
    </row>
    <row r="321" spans="1:5" x14ac:dyDescent="0.25">
      <c r="A321" s="16" t="s">
        <v>467</v>
      </c>
      <c r="B321" s="35" t="s">
        <v>299</v>
      </c>
      <c r="C321" s="253">
        <v>0</v>
      </c>
      <c r="D321" s="16"/>
      <c r="E321" s="16"/>
    </row>
    <row r="322" spans="1:5" x14ac:dyDescent="0.25">
      <c r="A322" s="16" t="s">
        <v>468</v>
      </c>
      <c r="B322" s="35" t="s">
        <v>299</v>
      </c>
      <c r="C322" s="253">
        <v>0</v>
      </c>
      <c r="D322" s="16"/>
      <c r="E322" s="16"/>
    </row>
    <row r="323" spans="1:5" x14ac:dyDescent="0.25">
      <c r="A323" s="16" t="s">
        <v>469</v>
      </c>
      <c r="B323" s="35" t="s">
        <v>299</v>
      </c>
      <c r="C323" s="253">
        <v>0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f>SUM(C314:C323)</f>
        <v>419780836.96000004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299</v>
      </c>
      <c r="C326" s="253">
        <v>0</v>
      </c>
      <c r="D326" s="16"/>
      <c r="E326" s="16"/>
    </row>
    <row r="327" spans="1:5" x14ac:dyDescent="0.25">
      <c r="A327" s="16" t="s">
        <v>473</v>
      </c>
      <c r="B327" s="35" t="s">
        <v>299</v>
      </c>
      <c r="C327" s="253">
        <v>0</v>
      </c>
      <c r="D327" s="16"/>
      <c r="E327" s="16"/>
    </row>
    <row r="328" spans="1:5" x14ac:dyDescent="0.25">
      <c r="A328" s="16" t="s">
        <v>474</v>
      </c>
      <c r="B328" s="35" t="s">
        <v>299</v>
      </c>
      <c r="C328" s="253">
        <v>54810685.960000001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f>SUM(C326:C328)</f>
        <v>54810685.960000001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299</v>
      </c>
      <c r="C331" s="253">
        <v>0</v>
      </c>
      <c r="D331" s="16"/>
      <c r="E331" s="16"/>
    </row>
    <row r="332" spans="1:5" x14ac:dyDescent="0.25">
      <c r="A332" s="16" t="s">
        <v>478</v>
      </c>
      <c r="B332" s="35" t="s">
        <v>299</v>
      </c>
      <c r="C332" s="253">
        <v>0</v>
      </c>
      <c r="D332" s="16"/>
      <c r="E332" s="16"/>
    </row>
    <row r="333" spans="1:5" x14ac:dyDescent="0.25">
      <c r="A333" s="16" t="s">
        <v>479</v>
      </c>
      <c r="B333" s="35" t="s">
        <v>299</v>
      </c>
      <c r="C333" s="253">
        <v>0</v>
      </c>
      <c r="D333" s="16"/>
      <c r="E333" s="16"/>
    </row>
    <row r="334" spans="1:5" x14ac:dyDescent="0.25">
      <c r="A334" s="21" t="s">
        <v>480</v>
      </c>
      <c r="B334" s="35" t="s">
        <v>299</v>
      </c>
      <c r="C334" s="253">
        <v>398089275.37</v>
      </c>
      <c r="D334" s="16"/>
      <c r="E334" s="16"/>
    </row>
    <row r="335" spans="1:5" x14ac:dyDescent="0.25">
      <c r="A335" s="16" t="s">
        <v>481</v>
      </c>
      <c r="B335" s="35" t="s">
        <v>299</v>
      </c>
      <c r="C335" s="253">
        <v>0</v>
      </c>
      <c r="D335" s="16"/>
      <c r="E335" s="16"/>
    </row>
    <row r="336" spans="1:5" x14ac:dyDescent="0.25">
      <c r="A336" s="21" t="s">
        <v>482</v>
      </c>
      <c r="B336" s="35" t="s">
        <v>299</v>
      </c>
      <c r="C336" s="253">
        <v>0</v>
      </c>
      <c r="D336" s="16"/>
      <c r="E336" s="16"/>
    </row>
    <row r="337" spans="1:5" x14ac:dyDescent="0.25">
      <c r="A337" s="21" t="s">
        <v>483</v>
      </c>
      <c r="B337" s="35" t="s">
        <v>299</v>
      </c>
      <c r="C337" s="276">
        <v>62000424.309999995</v>
      </c>
      <c r="D337" s="16"/>
      <c r="E337" s="16"/>
    </row>
    <row r="338" spans="1:5" x14ac:dyDescent="0.25">
      <c r="A338" s="16" t="s">
        <v>484</v>
      </c>
      <c r="B338" s="35" t="s">
        <v>299</v>
      </c>
      <c r="C338" s="253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f>SUM(C331:C338)</f>
        <v>460089699.68000001</v>
      </c>
      <c r="E339" s="16"/>
    </row>
    <row r="340" spans="1:5" x14ac:dyDescent="0.25">
      <c r="A340" s="16" t="s">
        <v>485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486</v>
      </c>
      <c r="B341" s="16"/>
      <c r="C341" s="22"/>
      <c r="D341" s="25">
        <f>D339-D340</f>
        <v>460089699.68000001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299</v>
      </c>
      <c r="C343" s="256">
        <v>343693283.73000002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299</v>
      </c>
      <c r="C345" s="254">
        <v>0</v>
      </c>
      <c r="D345" s="16"/>
      <c r="E345" s="16"/>
    </row>
    <row r="346" spans="1:5" x14ac:dyDescent="0.25">
      <c r="A346" s="16" t="s">
        <v>489</v>
      </c>
      <c r="B346" s="35" t="s">
        <v>299</v>
      </c>
      <c r="C346" s="254">
        <v>0</v>
      </c>
      <c r="D346" s="16"/>
      <c r="E346" s="16"/>
    </row>
    <row r="347" spans="1:5" x14ac:dyDescent="0.25">
      <c r="A347" s="16" t="s">
        <v>490</v>
      </c>
      <c r="B347" s="35" t="s">
        <v>299</v>
      </c>
      <c r="C347" s="254">
        <v>0</v>
      </c>
      <c r="D347" s="16"/>
      <c r="E347" s="16"/>
    </row>
    <row r="348" spans="1:5" x14ac:dyDescent="0.25">
      <c r="A348" s="16" t="s">
        <v>491</v>
      </c>
      <c r="B348" s="35" t="s">
        <v>299</v>
      </c>
      <c r="C348" s="254">
        <v>0</v>
      </c>
      <c r="D348" s="16"/>
      <c r="E348" s="16"/>
    </row>
    <row r="349" spans="1:5" x14ac:dyDescent="0.25">
      <c r="A349" s="16" t="s">
        <v>492</v>
      </c>
      <c r="B349" s="35" t="s">
        <v>299</v>
      </c>
      <c r="C349" s="254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f>D324+D329+D341+C343+C347+C348</f>
        <v>1278374506.3299999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f>D308</f>
        <v>1278374506.3299999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299</v>
      </c>
      <c r="C358" s="254">
        <v>1144065048.29</v>
      </c>
      <c r="D358" s="16"/>
      <c r="E358" s="16"/>
    </row>
    <row r="359" spans="1:5" x14ac:dyDescent="0.25">
      <c r="A359" s="16" t="s">
        <v>498</v>
      </c>
      <c r="B359" s="35" t="s">
        <v>299</v>
      </c>
      <c r="C359" s="254">
        <v>2423840824.6599998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f>SUM(C358:C359)</f>
        <v>3567905872.9499998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405</v>
      </c>
      <c r="B362" s="34"/>
      <c r="C362" s="253">
        <v>22963864.82</v>
      </c>
      <c r="D362" s="16"/>
      <c r="E362" s="34"/>
    </row>
    <row r="363" spans="1:5" x14ac:dyDescent="0.25">
      <c r="A363" s="16" t="s">
        <v>501</v>
      </c>
      <c r="B363" s="35" t="s">
        <v>299</v>
      </c>
      <c r="C363" s="253">
        <v>2294209036.9900002</v>
      </c>
      <c r="D363" s="16"/>
      <c r="E363" s="16"/>
    </row>
    <row r="364" spans="1:5" x14ac:dyDescent="0.25">
      <c r="A364" s="16" t="s">
        <v>502</v>
      </c>
      <c r="B364" s="35" t="s">
        <v>299</v>
      </c>
      <c r="C364" s="253">
        <v>20933591.829999998</v>
      </c>
      <c r="D364" s="16"/>
      <c r="E364" s="16"/>
    </row>
    <row r="365" spans="1:5" x14ac:dyDescent="0.25">
      <c r="A365" s="16" t="s">
        <v>503</v>
      </c>
      <c r="B365" s="35" t="s">
        <v>299</v>
      </c>
      <c r="C365" s="253">
        <v>47534577.079999998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f>SUM(C362:C365)</f>
        <v>2385641070.7200003</v>
      </c>
      <c r="E366" s="16"/>
    </row>
    <row r="367" spans="1:5" x14ac:dyDescent="0.25">
      <c r="A367" s="16" t="s">
        <v>504</v>
      </c>
      <c r="B367" s="16"/>
      <c r="C367" s="22"/>
      <c r="D367" s="25">
        <f>D360-D366</f>
        <v>1182264802.2299995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299</v>
      </c>
      <c r="C370" s="253">
        <v>8101224.2000000002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53">
        <v>12076043.76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53">
        <v>13085038.560000001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53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53">
        <v>10171085.120000001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53">
        <v>3520532.42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53">
        <v>12094637.42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53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53">
        <v>3490861.96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53">
        <v>2922756.3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7">
        <v>14722423.169999998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518</v>
      </c>
      <c r="B381" s="35"/>
      <c r="C381" s="35"/>
      <c r="D381" s="25">
        <f>SUM(C370:C380)</f>
        <v>80184602.909999996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53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f>D381+C382</f>
        <v>80184602.909999996</v>
      </c>
      <c r="E383" s="16"/>
    </row>
    <row r="384" spans="1:6" x14ac:dyDescent="0.25">
      <c r="A384" s="16" t="s">
        <v>521</v>
      </c>
      <c r="B384" s="16"/>
      <c r="C384" s="22"/>
      <c r="D384" s="25">
        <f>D367+D383</f>
        <v>1262449405.1399996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299</v>
      </c>
      <c r="C389" s="253">
        <v>593625568.71000004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3">
        <v>83177104.599999994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3">
        <v>8054165.79</v>
      </c>
      <c r="D391" s="16"/>
      <c r="E391" s="16"/>
    </row>
    <row r="392" spans="1:5" x14ac:dyDescent="0.25">
      <c r="A392" s="16" t="s">
        <v>524</v>
      </c>
      <c r="B392" s="35" t="s">
        <v>299</v>
      </c>
      <c r="C392" s="253">
        <v>268611612.67000002</v>
      </c>
      <c r="D392" s="16"/>
      <c r="E392" s="16"/>
    </row>
    <row r="393" spans="1:5" x14ac:dyDescent="0.25">
      <c r="A393" s="16" t="s">
        <v>525</v>
      </c>
      <c r="B393" s="35" t="s">
        <v>299</v>
      </c>
      <c r="C393" s="253">
        <v>14862304.039999999</v>
      </c>
      <c r="D393" s="16"/>
      <c r="E393" s="16"/>
    </row>
    <row r="394" spans="1:5" x14ac:dyDescent="0.25">
      <c r="A394" s="16" t="s">
        <v>526</v>
      </c>
      <c r="B394" s="35" t="s">
        <v>299</v>
      </c>
      <c r="C394" s="253">
        <v>63143309.480000012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3">
        <v>32152302.289999999</v>
      </c>
      <c r="D395" s="16"/>
      <c r="E395" s="16"/>
    </row>
    <row r="396" spans="1:5" x14ac:dyDescent="0.25">
      <c r="A396" s="16" t="s">
        <v>527</v>
      </c>
      <c r="B396" s="35" t="s">
        <v>299</v>
      </c>
      <c r="C396" s="253">
        <v>18537753.920000002</v>
      </c>
      <c r="D396" s="16"/>
      <c r="E396" s="16"/>
    </row>
    <row r="397" spans="1:5" x14ac:dyDescent="0.25">
      <c r="A397" s="16" t="s">
        <v>528</v>
      </c>
      <c r="B397" s="35" t="s">
        <v>299</v>
      </c>
      <c r="C397" s="253">
        <v>0</v>
      </c>
      <c r="D397" s="16"/>
      <c r="E397" s="16"/>
    </row>
    <row r="398" spans="1:5" x14ac:dyDescent="0.25">
      <c r="A398" s="16" t="s">
        <v>529</v>
      </c>
      <c r="B398" s="35" t="s">
        <v>299</v>
      </c>
      <c r="C398" s="253">
        <v>0</v>
      </c>
      <c r="D398" s="16"/>
      <c r="E398" s="16"/>
    </row>
    <row r="399" spans="1:5" x14ac:dyDescent="0.25">
      <c r="A399" s="16" t="s">
        <v>530</v>
      </c>
      <c r="B399" s="35" t="s">
        <v>299</v>
      </c>
      <c r="C399" s="253">
        <v>13577874.4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3">
        <v>3502306.95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3">
        <v>76932759.329999998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3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3">
        <v>8055204.9299999997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3">
        <v>2931571.38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3">
        <v>1760271.5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3">
        <v>8416598.2400000002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3">
        <v>33334454.460000001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3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3">
        <v>84556.56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3">
        <v>912667.62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3">
        <v>42232198.380000003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3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7">
        <v>23216656.649999857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f>SUM(C401:C414)</f>
        <v>201379245.99999985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f>SUM(C389:C399,D415)</f>
        <v>1297121241.8999999</v>
      </c>
      <c r="E416" s="25"/>
    </row>
    <row r="417" spans="1:13" x14ac:dyDescent="0.25">
      <c r="A417" s="25" t="s">
        <v>535</v>
      </c>
      <c r="B417" s="16"/>
      <c r="C417" s="22"/>
      <c r="D417" s="25">
        <f>D384-D416</f>
        <v>-34671836.760000229</v>
      </c>
      <c r="E417" s="25"/>
    </row>
    <row r="418" spans="1:13" x14ac:dyDescent="0.25">
      <c r="A418" s="25" t="s">
        <v>536</v>
      </c>
      <c r="B418" s="16"/>
      <c r="C418" s="257">
        <v>9723443.0099999998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53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f>SUM(C418:C419)</f>
        <v>9723443.0099999998</v>
      </c>
      <c r="E420" s="25"/>
      <c r="F420" s="11">
        <f>D420-C399</f>
        <v>-3854431.3900000006</v>
      </c>
    </row>
    <row r="421" spans="1:13" x14ac:dyDescent="0.25">
      <c r="A421" s="25" t="s">
        <v>539</v>
      </c>
      <c r="B421" s="16"/>
      <c r="C421" s="22"/>
      <c r="D421" s="25">
        <f>D417+D420</f>
        <v>-24948393.750000231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53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299</v>
      </c>
      <c r="C423" s="253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f>D421+C422-C423</f>
        <v>-24948393.750000231</v>
      </c>
      <c r="E424" s="16"/>
    </row>
    <row r="426" spans="1:13" ht="29.25" customHeight="1" x14ac:dyDescent="0.25">
      <c r="A426" s="328" t="s">
        <v>1390</v>
      </c>
      <c r="B426" s="328"/>
      <c r="C426" s="328"/>
      <c r="D426" s="328"/>
      <c r="E426" s="328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543</v>
      </c>
      <c r="D612" s="216">
        <f>CE90-(BE90+CD90)</f>
        <v>1111536</v>
      </c>
      <c r="E612" s="218">
        <f>SUM(C624:D647)+SUM(C668:D713)</f>
        <v>1232965368.4993467</v>
      </c>
      <c r="F612" s="218">
        <f>CE64-(AX64+BD64+BE64+BG64+BJ64+BN64+BP64+BQ64+CB64+CC64+CD64)</f>
        <v>265887969.3499999</v>
      </c>
      <c r="G612" s="216">
        <f>CE91-(AX91+AY91+BD91+BE91+BG91+BJ91+BN91+BP91+BQ91+CB91+CC91+CD91)</f>
        <v>186917.6</v>
      </c>
      <c r="H612" s="221">
        <f>CE60-(AX60+AY60+AZ60+BD60+BE60+BG60+BJ60+BN60+BO60+BP60+BQ60+BR60+CB60+CC60+CD60)</f>
        <v>3928.4261780821912</v>
      </c>
      <c r="I612" s="216">
        <f>CE92-(AX92+AY92+AZ92+BD92+BE92+BF92+BG92+BJ92+BN92+BO92+BP92+BQ92+BR92+CB92+CC92+CD92)</f>
        <v>194467.79</v>
      </c>
      <c r="J612" s="216">
        <f>CE93-(AX93+AY93+AZ93+BA93+BD93+BE93+BF93+BG93+BJ93+BN93+BO93+BP93+BQ93+BR93+CB93+CC93+CD93)</f>
        <v>2297848</v>
      </c>
      <c r="K612" s="216">
        <f>CE89-(AW89+AX89+AY89+AZ89+BA89+BB89+BC89+BD89+BE89+BF89+BG89+BH89+BI89+BJ89+BK89+BL89+BM89+BN89+BO89+BP89+BQ89+BR89+BS89+BT89+BU89+BV89+BW89+BX89+CB89+CC89+CD89)</f>
        <v>3567905872.9500008</v>
      </c>
      <c r="L612" s="222">
        <f>CE94-(AW94+AX94+AY94+AZ94+BA94+BB94+BC94+BD94+BE94+BF94+BG94+BH94+BI94+BJ94+BK94+BL94+BM94+BN94+BO94+BP94+BQ94+BR94+BS94+BT94+BU94+BV94+BW94+BX94+BY94+BZ94+CA94+CB94+CC94+CD94)</f>
        <v>765.71567008196746</v>
      </c>
    </row>
    <row r="613" spans="1:14" s="202" customFormat="1" ht="12.6" customHeight="1" x14ac:dyDescent="0.2">
      <c r="A613" s="211"/>
      <c r="C613" s="209" t="s">
        <v>544</v>
      </c>
      <c r="D613" s="217" t="s">
        <v>545</v>
      </c>
      <c r="E613" s="219" t="s">
        <v>546</v>
      </c>
      <c r="F613" s="220" t="s">
        <v>547</v>
      </c>
      <c r="G613" s="217" t="s">
        <v>548</v>
      </c>
      <c r="H613" s="220" t="s">
        <v>549</v>
      </c>
      <c r="I613" s="217" t="s">
        <v>550</v>
      </c>
      <c r="J613" s="217" t="s">
        <v>551</v>
      </c>
      <c r="K613" s="209" t="s">
        <v>552</v>
      </c>
      <c r="L613" s="210" t="s">
        <v>553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36571082.100000001</v>
      </c>
      <c r="D614" s="216"/>
      <c r="E614" s="218"/>
      <c r="F614" s="218"/>
      <c r="G614" s="216"/>
      <c r="H614" s="218"/>
      <c r="I614" s="216"/>
      <c r="J614" s="216"/>
      <c r="N614" s="21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13820813.789999997</v>
      </c>
      <c r="D615" s="216">
        <f>SUM(C614:C615)</f>
        <v>50391895.890000001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5" t="s">
        <v>557</v>
      </c>
      <c r="C616" s="216">
        <f>AX85</f>
        <v>685944.03</v>
      </c>
      <c r="D616" s="216">
        <f>(D615/D612)*AX90</f>
        <v>154820.288739501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1268050.83</v>
      </c>
      <c r="D617" s="216">
        <f>(D615/D612)*BJ90</f>
        <v>100916.53374352246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>
        <f>BG85</f>
        <v>13096493.669999998</v>
      </c>
      <c r="D618" s="216">
        <f>(D615/D612)*BG90</f>
        <v>502814.58928544819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>
        <f>BN85</f>
        <v>-9739631.3299999982</v>
      </c>
      <c r="D619" s="216">
        <f>(D615/D612)*BN90</f>
        <v>708591.83396732085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>
        <f>CC85</f>
        <v>-39456368.290000007</v>
      </c>
      <c r="D620" s="216">
        <f>(D615/D612)*CC90</f>
        <v>336343.11044168606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>
        <f>BP85</f>
        <v>2526607.2200000002</v>
      </c>
      <c r="D621" s="216">
        <f>(D615/D612)*BP90</f>
        <v>208814.71447559053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0" t="s">
        <v>568</v>
      </c>
      <c r="C622" s="216">
        <f>CB85</f>
        <v>0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5" t="s">
        <v>570</v>
      </c>
      <c r="C623" s="216">
        <f>BQ85</f>
        <v>0</v>
      </c>
      <c r="D623" s="216">
        <f>(D615/D612)*BQ90</f>
        <v>0</v>
      </c>
      <c r="E623" s="218">
        <f>SUM(C616:D623)</f>
        <v>-29606602.799346942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1534132.06</v>
      </c>
      <c r="D624" s="216">
        <f>(D615/D612)*BD90</f>
        <v>393375.00597149349</v>
      </c>
      <c r="E624" s="218">
        <f>(E623/E612)*SUM(C624:D624)</f>
        <v>-46284.297639770135</v>
      </c>
      <c r="F624" s="218">
        <f>SUM(C624:E624)</f>
        <v>1881222.7683317233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6125682.209999999</v>
      </c>
      <c r="D625" s="216">
        <f>(D615/D612)*AY90</f>
        <v>249843.22437580969</v>
      </c>
      <c r="E625" s="218">
        <f>(E623/E612)*SUM(C625:D625)</f>
        <v>-153092.41767466435</v>
      </c>
      <c r="F625" s="218">
        <f>(F624/F612)*AY64</f>
        <v>501.46633208754423</v>
      </c>
      <c r="G625" s="216">
        <f>SUM(C625:F625)</f>
        <v>6222934.4830332315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467173.1</v>
      </c>
      <c r="D626" s="216">
        <f>(D615/D612)*BR90</f>
        <v>0</v>
      </c>
      <c r="E626" s="218">
        <f>(E623/E612)*SUM(C626:D626)</f>
        <v>-11218.002357255111</v>
      </c>
      <c r="F626" s="218">
        <f>(F624/F612)*BR64</f>
        <v>5.7816079498745152</v>
      </c>
      <c r="G626" s="216">
        <f>(G625/G612)*BR91</f>
        <v>0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0" t="s">
        <v>575</v>
      </c>
      <c r="C627" s="216">
        <f>BO85</f>
        <v>537891.2200000002</v>
      </c>
      <c r="D627" s="216">
        <f>(D615/D612)*BO90</f>
        <v>47420.797078043353</v>
      </c>
      <c r="E627" s="218">
        <f>(E623/E612)*SUM(C627:D627)</f>
        <v>-14054.815200856463</v>
      </c>
      <c r="F627" s="218">
        <f>(F624/F612)*BO64</f>
        <v>2519.3304992283047</v>
      </c>
      <c r="G627" s="216">
        <f>(G625/G612)*BO91</f>
        <v>0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3310881.5100000007</v>
      </c>
      <c r="D628" s="216">
        <f>(D615/D612)*AZ90</f>
        <v>772696.04722578486</v>
      </c>
      <c r="E628" s="218">
        <f>(E623/E612)*SUM(C628:D628)</f>
        <v>-98056.978586722849</v>
      </c>
      <c r="F628" s="218">
        <f>(F624/F612)*AZ64</f>
        <v>400.50285592572601</v>
      </c>
      <c r="G628" s="216">
        <f>(G625/G612)*AZ91</f>
        <v>0</v>
      </c>
      <c r="H628" s="218">
        <f>SUM(C626:G628)</f>
        <v>5015658.493122098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15559214.32</v>
      </c>
      <c r="D629" s="216">
        <f>(D615/D612)*BF90</f>
        <v>367533.84503986372</v>
      </c>
      <c r="E629" s="218">
        <f>(E623/E612)*SUM(C629:D629)</f>
        <v>-382441.3230531161</v>
      </c>
      <c r="F629" s="218">
        <f>(F624/F612)*BF64</f>
        <v>4270.3354937127888</v>
      </c>
      <c r="G629" s="216">
        <f>(G625/G612)*BF91</f>
        <v>0</v>
      </c>
      <c r="H629" s="218">
        <f>(H628/H612)*BF60</f>
        <v>119042.55104386123</v>
      </c>
      <c r="I629" s="216">
        <f>SUM(C629:H629)</f>
        <v>15667619.728524322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>
        <f>BA85</f>
        <v>2438749.71</v>
      </c>
      <c r="D630" s="216">
        <f>(D615/D612)*BA90</f>
        <v>144755.83658718204</v>
      </c>
      <c r="E630" s="218">
        <f>(E623/E612)*SUM(C630:D630)</f>
        <v>-62036.472801187971</v>
      </c>
      <c r="F630" s="218">
        <f>(F624/F612)*BA64</f>
        <v>0</v>
      </c>
      <c r="G630" s="216">
        <f>(G625/G612)*BA91</f>
        <v>0</v>
      </c>
      <c r="H630" s="218">
        <f>(H628/H612)*BA60</f>
        <v>0</v>
      </c>
      <c r="I630" s="216">
        <f>(I629/I612)*BA92</f>
        <v>48722.69556897023</v>
      </c>
      <c r="J630" s="216">
        <f>SUM(C630:I630)</f>
        <v>2570191.7693549646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>
        <f>AW85</f>
        <v>27214430.859999996</v>
      </c>
      <c r="D631" s="216">
        <f>(D615/D612)*AW90</f>
        <v>358829.45398920949</v>
      </c>
      <c r="E631" s="218">
        <f>(E623/E612)*SUM(C631:D631)</f>
        <v>-662103.40278483438</v>
      </c>
      <c r="F631" s="218">
        <f>(F624/F612)*AW64</f>
        <v>1389.0090229327277</v>
      </c>
      <c r="G631" s="216">
        <f>(G625/G612)*AW91</f>
        <v>0</v>
      </c>
      <c r="H631" s="218">
        <f>(H628/H612)*AW60</f>
        <v>208546.91029077745</v>
      </c>
      <c r="I631" s="216">
        <f>(I629/I612)*AW92</f>
        <v>120776.74144328201</v>
      </c>
      <c r="J631" s="216">
        <f>(J630/J612)*AW93</f>
        <v>0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>
        <f>BB85</f>
        <v>0</v>
      </c>
      <c r="D632" s="216">
        <f>(D615/D612)*BB90</f>
        <v>13645.946386702724</v>
      </c>
      <c r="E632" s="218">
        <f>(E623/E612)*SUM(C632:D632)</f>
        <v>-327.67352986079044</v>
      </c>
      <c r="F632" s="218">
        <f>(F624/F612)*BB64</f>
        <v>0</v>
      </c>
      <c r="G632" s="216">
        <f>(G625/G612)*BB91</f>
        <v>0</v>
      </c>
      <c r="H632" s="218">
        <f>(H628/H612)*BB60</f>
        <v>0</v>
      </c>
      <c r="I632" s="216">
        <f>(I629/I612)*BB92</f>
        <v>4593.0257958847606</v>
      </c>
      <c r="J632" s="216">
        <f>(J630/J612)*BB93</f>
        <v>0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>
        <f>BC85</f>
        <v>3100272.5900000003</v>
      </c>
      <c r="D633" s="216">
        <f>(D615/D612)*BC90</f>
        <v>24027.746129410112</v>
      </c>
      <c r="E633" s="218">
        <f>(E623/E612)*SUM(C633:D633)</f>
        <v>-75022.317285547193</v>
      </c>
      <c r="F633" s="218">
        <f>(F624/F612)*BC64</f>
        <v>915.93020475277217</v>
      </c>
      <c r="G633" s="216">
        <f>(G625/G612)*BC91</f>
        <v>0</v>
      </c>
      <c r="H633" s="218">
        <f>(H628/H612)*BC60</f>
        <v>0</v>
      </c>
      <c r="I633" s="216">
        <f>(I629/I612)*BC92</f>
        <v>8087.3876140163566</v>
      </c>
      <c r="J633" s="216">
        <f>(J630/J612)*BC93</f>
        <v>0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11192462.620000001</v>
      </c>
      <c r="D634" s="216">
        <f>(D615/D612)*BI90</f>
        <v>323286.52386570472</v>
      </c>
      <c r="E634" s="218">
        <f>(E623/E612)*SUM(C634:D634)</f>
        <v>-276522.13075077318</v>
      </c>
      <c r="F634" s="218">
        <f>(F624/F612)*BI64</f>
        <v>3731.5283485301179</v>
      </c>
      <c r="G634" s="216">
        <f>(G625/G612)*BI91</f>
        <v>0</v>
      </c>
      <c r="H634" s="218">
        <f>(H628/H612)*BI60</f>
        <v>1280.2468813917296</v>
      </c>
      <c r="I634" s="216">
        <f>(I629/I612)*BI92</f>
        <v>108813.51146330309</v>
      </c>
      <c r="J634" s="216">
        <f>(J630/J612)*BI93</f>
        <v>0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21493361.519999992</v>
      </c>
      <c r="D635" s="216">
        <f>(D615/D612)*BK90</f>
        <v>99148.454311358335</v>
      </c>
      <c r="E635" s="218">
        <f>(E623/E612)*SUM(C635:D635)</f>
        <v>-518490.52907986194</v>
      </c>
      <c r="F635" s="218">
        <f>(F624/F612)*BK64</f>
        <v>3132.9798079309858</v>
      </c>
      <c r="G635" s="216">
        <f>(G625/G612)*BK91</f>
        <v>0</v>
      </c>
      <c r="H635" s="218">
        <f>(H628/H612)*BK60</f>
        <v>227643.46971313952</v>
      </c>
      <c r="I635" s="216">
        <f>(I629/I612)*BK92</f>
        <v>33371.918324252394</v>
      </c>
      <c r="J635" s="216">
        <f>(J630/J612)*BK93</f>
        <v>0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32303289.390000001</v>
      </c>
      <c r="D636" s="216">
        <f>(D615/D612)*BH90</f>
        <v>860102.64069277106</v>
      </c>
      <c r="E636" s="218">
        <f>(E623/E612)*SUM(C636:D636)</f>
        <v>-796336.53987116739</v>
      </c>
      <c r="F636" s="218">
        <f>(F624/F612)*BH64</f>
        <v>6868.9573541007303</v>
      </c>
      <c r="G636" s="216">
        <f>(G625/G612)*BH91</f>
        <v>0</v>
      </c>
      <c r="H636" s="218">
        <f>(H628/H612)*BH60</f>
        <v>26504.307679909285</v>
      </c>
      <c r="I636" s="216">
        <f>(I629/I612)*BH92</f>
        <v>289497.95813795913</v>
      </c>
      <c r="J636" s="216">
        <f>(J630/J612)*BH93</f>
        <v>0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7990908.6000000006</v>
      </c>
      <c r="D637" s="216">
        <f>(D615/D612)*BL90</f>
        <v>367624.5157799747</v>
      </c>
      <c r="E637" s="218">
        <f>(E623/E612)*SUM(C637:D637)</f>
        <v>-200709.424827788</v>
      </c>
      <c r="F637" s="218">
        <f>(F624/F612)*BL64</f>
        <v>166.17049904569953</v>
      </c>
      <c r="G637" s="216">
        <f>(G625/G612)*BL91</f>
        <v>0</v>
      </c>
      <c r="H637" s="218">
        <f>(H628/H612)*BL60</f>
        <v>86476.565975993857</v>
      </c>
      <c r="I637" s="216">
        <f>(I629/I612)*BL92</f>
        <v>123737.03049445024</v>
      </c>
      <c r="J637" s="216">
        <f>(J630/J612)*BL93</f>
        <v>0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>
        <f>BM85</f>
        <v>2758275.5399999996</v>
      </c>
      <c r="D638" s="216">
        <f>(D615/D612)*BM90</f>
        <v>109031.56498345532</v>
      </c>
      <c r="E638" s="218">
        <f>(E623/E612)*SUM(C638:D638)</f>
        <v>-68851.262760374535</v>
      </c>
      <c r="F638" s="218">
        <f>(F624/F612)*BM64</f>
        <v>5.5275358691559369</v>
      </c>
      <c r="G638" s="216">
        <f>(G625/G612)*BM91</f>
        <v>0</v>
      </c>
      <c r="H638" s="218">
        <f>(H628/H612)*BM60</f>
        <v>6512.1796280216804</v>
      </c>
      <c r="I638" s="216">
        <f>(I629/I612)*BM92</f>
        <v>36698.428701338373</v>
      </c>
      <c r="J638" s="216">
        <f>(J630/J612)*BM93</f>
        <v>0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>
        <f>BS85</f>
        <v>0</v>
      </c>
      <c r="D639" s="216">
        <f>(D615/D612)*BS90</f>
        <v>0</v>
      </c>
      <c r="E639" s="218">
        <f>(E623/E612)*SUM(C639:D639)</f>
        <v>0</v>
      </c>
      <c r="F639" s="218">
        <f>(F624/F612)*BS64</f>
        <v>0</v>
      </c>
      <c r="G639" s="216">
        <f>(G625/G612)*BS91</f>
        <v>0</v>
      </c>
      <c r="H639" s="218">
        <f>(H628/H612)*BS60</f>
        <v>0</v>
      </c>
      <c r="I639" s="216">
        <f>(I629/I612)*BS92</f>
        <v>0</v>
      </c>
      <c r="J639" s="216">
        <f>(J630/J612)*BS93</f>
        <v>0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>
        <f>BT85</f>
        <v>33977</v>
      </c>
      <c r="D640" s="216">
        <f>(D615/D612)*BT90</f>
        <v>38308.387696889709</v>
      </c>
      <c r="E640" s="218">
        <f>(E623/E612)*SUM(C640:D640)</f>
        <v>-1735.7541553201766</v>
      </c>
      <c r="F640" s="218">
        <f>(F624/F612)*BT64</f>
        <v>0</v>
      </c>
      <c r="G640" s="216">
        <f>(G625/G612)*BT91</f>
        <v>0</v>
      </c>
      <c r="H640" s="218">
        <f>(H628/H612)*BT60</f>
        <v>0</v>
      </c>
      <c r="I640" s="216">
        <f>(I629/I612)*BT92</f>
        <v>12894.042516686455</v>
      </c>
      <c r="J640" s="216">
        <f>(J630/J612)*BT93</f>
        <v>0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>
        <f>BU85</f>
        <v>591278.89</v>
      </c>
      <c r="D641" s="216">
        <f>(D615/D612)*BU90</f>
        <v>152870.86782711491</v>
      </c>
      <c r="E641" s="218">
        <f>(E623/E612)*SUM(C641:D641)</f>
        <v>-17868.909270365515</v>
      </c>
      <c r="F641" s="218">
        <f>(F624/F612)*BU64</f>
        <v>35.566412172726523</v>
      </c>
      <c r="G641" s="216">
        <f>(G625/G612)*BU91</f>
        <v>0</v>
      </c>
      <c r="H641" s="218">
        <f>(H628/H612)*BU60</f>
        <v>0</v>
      </c>
      <c r="I641" s="216">
        <f>(I629/I612)*BU92</f>
        <v>51454.096291439913</v>
      </c>
      <c r="J641" s="216">
        <f>(J630/J612)*BU93</f>
        <v>0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>
        <f>BV85</f>
        <v>6798482.9199999999</v>
      </c>
      <c r="D642" s="216">
        <f>(D615/D612)*BV90</f>
        <v>626444.14342677151</v>
      </c>
      <c r="E642" s="218">
        <f>(E623/E612)*SUM(C642:D642)</f>
        <v>-178291.19292178593</v>
      </c>
      <c r="F642" s="218">
        <f>(F624/F612)*BV64</f>
        <v>122.46337967848716</v>
      </c>
      <c r="G642" s="216">
        <f>(G625/G612)*BV91</f>
        <v>0</v>
      </c>
      <c r="H642" s="218">
        <f>(H628/H612)*BV60</f>
        <v>60919.767457541282</v>
      </c>
      <c r="I642" s="216">
        <f>(I629/I612)*BV92</f>
        <v>210851.9283971283</v>
      </c>
      <c r="J642" s="216">
        <f>(J630/J612)*BV93</f>
        <v>0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>
        <f>BW85</f>
        <v>-10815519.050000001</v>
      </c>
      <c r="D643" s="216">
        <f>(D615/D612)*BW90</f>
        <v>0</v>
      </c>
      <c r="E643" s="218">
        <f>(E623/E612)*SUM(C643:D643)</f>
        <v>259707.8431909662</v>
      </c>
      <c r="F643" s="218">
        <f>(F624/F612)*BW64</f>
        <v>6.5868416871783708</v>
      </c>
      <c r="G643" s="216">
        <f>(G625/G612)*BW91</f>
        <v>0</v>
      </c>
      <c r="H643" s="218">
        <f>(H628/H612)*BW60</f>
        <v>4976.4661327134017</v>
      </c>
      <c r="I643" s="216">
        <f>(I629/I612)*BW92</f>
        <v>0</v>
      </c>
      <c r="J643" s="216">
        <f>(J630/J612)*BW93</f>
        <v>0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>
        <f>BX85</f>
        <v>4095667.3000000007</v>
      </c>
      <c r="D644" s="216">
        <f>(D615/D612)*BX90</f>
        <v>548331.3008211609</v>
      </c>
      <c r="E644" s="218">
        <f>(E623/E612)*SUM(C644:D644)</f>
        <v>-111514.09884494898</v>
      </c>
      <c r="F644" s="218">
        <f>(F624/F612)*BX64</f>
        <v>181.92579814861642</v>
      </c>
      <c r="G644" s="216">
        <f>(G625/G612)*BX91</f>
        <v>0</v>
      </c>
      <c r="H644" s="218">
        <f>(H628/H612)*BX60</f>
        <v>14582.57521397731</v>
      </c>
      <c r="I644" s="216">
        <f>(I629/I612)*BX92</f>
        <v>184560.28904061855</v>
      </c>
      <c r="J644" s="216">
        <f>(J630/J612)*BX93</f>
        <v>0</v>
      </c>
      <c r="K644" s="218">
        <f>SUM(C631:J644)</f>
        <v>109469809.82541753</v>
      </c>
      <c r="L644" s="218"/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>
        <f>BY85</f>
        <v>6743129.5199999996</v>
      </c>
      <c r="D645" s="216">
        <f>(D615/D612)*BY90</f>
        <v>293999.87480985769</v>
      </c>
      <c r="E645" s="218">
        <f>(E623/E612)*SUM(C645:D645)</f>
        <v>-168979.194519732</v>
      </c>
      <c r="F645" s="218">
        <f>(F624/F612)*BY64</f>
        <v>1948.8094132722729</v>
      </c>
      <c r="G645" s="216">
        <f>(G625/G612)*BY91</f>
        <v>0</v>
      </c>
      <c r="H645" s="218">
        <f>(H628/H612)*BY60</f>
        <v>41409.263114702284</v>
      </c>
      <c r="I645" s="216">
        <f>(I629/I612)*BY92</f>
        <v>98956.054107351069</v>
      </c>
      <c r="J645" s="216">
        <f>(J630/J612)*BY93</f>
        <v>0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>
        <f>BZ85</f>
        <v>0</v>
      </c>
      <c r="D646" s="216">
        <f>(D615/D612)*BZ90</f>
        <v>0</v>
      </c>
      <c r="E646" s="218">
        <f>(E623/E612)*SUM(C646:D646)</f>
        <v>0</v>
      </c>
      <c r="F646" s="218">
        <f>(F624/F612)*BZ64</f>
        <v>0</v>
      </c>
      <c r="G646" s="216">
        <f>(G625/G612)*BZ91</f>
        <v>0</v>
      </c>
      <c r="H646" s="218">
        <f>(H628/H612)*BZ60</f>
        <v>0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>
        <f>CA85</f>
        <v>2332552.7999999998</v>
      </c>
      <c r="D647" s="216">
        <f>(D615/D612)*CA90</f>
        <v>164567.39330143153</v>
      </c>
      <c r="E647" s="218">
        <f>(E623/E612)*SUM(C647:D647)</f>
        <v>-59962.142971855181</v>
      </c>
      <c r="F647" s="218">
        <f>(F624/F612)*CA64</f>
        <v>54.206289034177651</v>
      </c>
      <c r="G647" s="216">
        <f>(G625/G612)*CA91</f>
        <v>0</v>
      </c>
      <c r="H647" s="218">
        <f>(H628/H612)*CA60</f>
        <v>15250.291105784501</v>
      </c>
      <c r="I647" s="216">
        <f>(I629/I612)*CA92</f>
        <v>55390.975545055429</v>
      </c>
      <c r="J647" s="216">
        <f>(J630/J612)*CA93</f>
        <v>0</v>
      </c>
      <c r="K647" s="218">
        <v>0</v>
      </c>
      <c r="L647" s="218">
        <f>SUM(C645:K647)</f>
        <v>9518317.8501949012</v>
      </c>
      <c r="N647" s="212" t="s">
        <v>613</v>
      </c>
    </row>
    <row r="648" spans="1:14" s="202" customFormat="1" ht="12.6" customHeight="1" x14ac:dyDescent="0.2">
      <c r="A648" s="211"/>
      <c r="B648" s="211"/>
      <c r="C648" s="202">
        <f>SUM(C614:C647)</f>
        <v>164579286.64999998</v>
      </c>
      <c r="L648" s="214"/>
    </row>
    <row r="666" spans="1:14" s="202" customFormat="1" ht="12.6" customHeight="1" x14ac:dyDescent="0.2">
      <c r="C666" s="209" t="s">
        <v>614</v>
      </c>
      <c r="M666" s="209" t="s">
        <v>615</v>
      </c>
    </row>
    <row r="667" spans="1:14" s="202" customFormat="1" ht="12.6" customHeight="1" x14ac:dyDescent="0.2">
      <c r="C667" s="209" t="s">
        <v>544</v>
      </c>
      <c r="D667" s="209" t="s">
        <v>545</v>
      </c>
      <c r="E667" s="210" t="s">
        <v>546</v>
      </c>
      <c r="F667" s="209" t="s">
        <v>547</v>
      </c>
      <c r="G667" s="209" t="s">
        <v>548</v>
      </c>
      <c r="H667" s="209" t="s">
        <v>549</v>
      </c>
      <c r="I667" s="209" t="s">
        <v>550</v>
      </c>
      <c r="J667" s="209" t="s">
        <v>551</v>
      </c>
      <c r="K667" s="209" t="s">
        <v>552</v>
      </c>
      <c r="L667" s="210" t="s">
        <v>553</v>
      </c>
      <c r="M667" s="209" t="s">
        <v>616</v>
      </c>
    </row>
    <row r="668" spans="1:14" s="202" customFormat="1" ht="12.6" customHeight="1" x14ac:dyDescent="0.2">
      <c r="A668" s="211">
        <v>6010</v>
      </c>
      <c r="B668" s="210" t="s">
        <v>343</v>
      </c>
      <c r="C668" s="216">
        <f>C85</f>
        <v>22466613.949999999</v>
      </c>
      <c r="D668" s="216">
        <f>(D615/D612)*C90</f>
        <v>1089544.9485436098</v>
      </c>
      <c r="E668" s="218">
        <f>(E623/E612)*SUM(C668:D668)</f>
        <v>-565642.68373272812</v>
      </c>
      <c r="F668" s="218">
        <f>(F624/F612)*C64</f>
        <v>19407.019243573461</v>
      </c>
      <c r="G668" s="216">
        <f>(G625/G612)*C91</f>
        <v>349390.36359144648</v>
      </c>
      <c r="H668" s="218">
        <f>(H628/H612)*C60</f>
        <v>93994.0351639281</v>
      </c>
      <c r="I668" s="216">
        <f>(I629/I612)*C92</f>
        <v>366724.88024085865</v>
      </c>
      <c r="J668" s="216">
        <f>(J630/J612)*C93</f>
        <v>59323.010430315349</v>
      </c>
      <c r="K668" s="216">
        <f>(K644/K612)*C89</f>
        <v>1948328.8968646775</v>
      </c>
      <c r="L668" s="216">
        <f>(L647/L612)*C94</f>
        <v>717494.60755684774</v>
      </c>
      <c r="M668" s="202">
        <f t="shared" ref="M668:M713" si="24">ROUND(SUM(D668:L668),0)</f>
        <v>4078565</v>
      </c>
      <c r="N668" s="210" t="s">
        <v>617</v>
      </c>
    </row>
    <row r="669" spans="1:14" s="202" customFormat="1" ht="12.6" customHeight="1" x14ac:dyDescent="0.2">
      <c r="A669" s="211">
        <v>6030</v>
      </c>
      <c r="B669" s="210" t="s">
        <v>344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>
        <f>(K644/K612)*D89</f>
        <v>0</v>
      </c>
      <c r="L669" s="216">
        <f>(L647/L612)*D94</f>
        <v>0</v>
      </c>
      <c r="M669" s="202">
        <f t="shared" si="24"/>
        <v>0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>
        <f>E85</f>
        <v>89691745.939999998</v>
      </c>
      <c r="D670" s="216">
        <f>(D615/D612)*E90</f>
        <v>5859233.8967117388</v>
      </c>
      <c r="E670" s="218">
        <f>(E623/E612)*SUM(C670:D670)</f>
        <v>-2294419.5996008073</v>
      </c>
      <c r="F670" s="218">
        <f>(F624/F612)*E64</f>
        <v>28142.588209518435</v>
      </c>
      <c r="G670" s="216">
        <f>(G625/G612)*E91</f>
        <v>5173438.3549567619</v>
      </c>
      <c r="H670" s="218">
        <f>(H628/H612)*E60</f>
        <v>434988.10819568246</v>
      </c>
      <c r="I670" s="216">
        <f>(I629/I612)*E92</f>
        <v>1972132.3585107585</v>
      </c>
      <c r="J670" s="216">
        <f>(J630/J612)*E93</f>
        <v>537924.82212793734</v>
      </c>
      <c r="K670" s="216">
        <f>(K644/K612)*E89</f>
        <v>8367212.8155914098</v>
      </c>
      <c r="L670" s="216">
        <f>(L647/L612)*E94</f>
        <v>2208486.2123952755</v>
      </c>
      <c r="M670" s="202">
        <f t="shared" si="24"/>
        <v>22287140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>
        <f>F85</f>
        <v>7244699</v>
      </c>
      <c r="D671" s="216">
        <f>(D615/D612)*F90</f>
        <v>699932.77828672214</v>
      </c>
      <c r="E671" s="218">
        <f>(E623/E612)*SUM(C671:D671)</f>
        <v>-190770.61161343477</v>
      </c>
      <c r="F671" s="218">
        <f>(F624/F612)*F64</f>
        <v>2536.3517720823475</v>
      </c>
      <c r="G671" s="216">
        <f>(G625/G612)*F91</f>
        <v>134374.7627854131</v>
      </c>
      <c r="H671" s="218">
        <f>(H628/H612)*F60</f>
        <v>41394.847091991884</v>
      </c>
      <c r="I671" s="216">
        <f>(I629/I612)*F92</f>
        <v>235587.12711848776</v>
      </c>
      <c r="J671" s="216">
        <f>(J630/J612)*F93</f>
        <v>0</v>
      </c>
      <c r="K671" s="216">
        <f>(K644/K612)*F89</f>
        <v>370813.26725977421</v>
      </c>
      <c r="L671" s="216">
        <f>(L647/L612)*F94</f>
        <v>321557.59927457414</v>
      </c>
      <c r="M671" s="202">
        <f t="shared" si="24"/>
        <v>1615426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>
        <f>(K644/K612)*G89</f>
        <v>0</v>
      </c>
      <c r="L672" s="216">
        <f>(L647/L612)*G94</f>
        <v>0</v>
      </c>
      <c r="M672" s="202">
        <f t="shared" si="24"/>
        <v>0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>
        <f>H85</f>
        <v>0</v>
      </c>
      <c r="D673" s="216">
        <f>(D615/D612)*H90</f>
        <v>0</v>
      </c>
      <c r="E673" s="218">
        <f>(E623/E612)*SUM(C673:D673)</f>
        <v>0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>
        <f>(J630/J612)*H93</f>
        <v>1149.8398235640059</v>
      </c>
      <c r="K673" s="216">
        <f>(K644/K612)*H89</f>
        <v>0</v>
      </c>
      <c r="L673" s="216">
        <f>(L647/L612)*H94</f>
        <v>0</v>
      </c>
      <c r="M673" s="202">
        <f t="shared" si="24"/>
        <v>1150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>
        <f>(K644/K612)*I89</f>
        <v>0</v>
      </c>
      <c r="L674" s="216">
        <f>(L647/L612)*I94</f>
        <v>0</v>
      </c>
      <c r="M674" s="202">
        <f t="shared" si="24"/>
        <v>0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1276674.75</v>
      </c>
      <c r="D675" s="216">
        <f>(D615/D612)*J90</f>
        <v>93300.191574200013</v>
      </c>
      <c r="E675" s="218">
        <f>(E623/E612)*SUM(C675:D675)</f>
        <v>-32896.547605073603</v>
      </c>
      <c r="F675" s="218">
        <f>(F624/F612)*J64</f>
        <v>267.79225608721862</v>
      </c>
      <c r="G675" s="216">
        <f>(G625/G612)*J91</f>
        <v>0</v>
      </c>
      <c r="H675" s="218">
        <f>(H628/H612)*J60</f>
        <v>805.27719216739922</v>
      </c>
      <c r="I675" s="216">
        <f>(I629/I612)*J92</f>
        <v>31403.478697444647</v>
      </c>
      <c r="J675" s="216">
        <f>(J630/J612)*J93</f>
        <v>0</v>
      </c>
      <c r="K675" s="216">
        <f>(K644/K612)*J89</f>
        <v>148699.20771238406</v>
      </c>
      <c r="L675" s="216">
        <f>(L647/L612)*J94</f>
        <v>7818.8068394007387</v>
      </c>
      <c r="M675" s="202">
        <f t="shared" si="24"/>
        <v>249398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349</v>
      </c>
      <c r="C676" s="216">
        <f>K85</f>
        <v>13770202.610000007</v>
      </c>
      <c r="D676" s="216">
        <f>(D615/D612)*K90</f>
        <v>0</v>
      </c>
      <c r="E676" s="218">
        <f>(E623/E612)*SUM(C676:D676)</f>
        <v>-330657.23462857894</v>
      </c>
      <c r="F676" s="218">
        <f>(F624/F612)*K64</f>
        <v>9056.7034112830661</v>
      </c>
      <c r="G676" s="216">
        <f>(G625/G612)*K91</f>
        <v>0</v>
      </c>
      <c r="H676" s="218">
        <f>(H628/H612)*K60</f>
        <v>170136.93896005931</v>
      </c>
      <c r="I676" s="216">
        <f>(I629/I612)*K92</f>
        <v>0</v>
      </c>
      <c r="J676" s="216">
        <f>(J630/J612)*K93</f>
        <v>0</v>
      </c>
      <c r="K676" s="216">
        <f>(K644/K612)*K89</f>
        <v>369311.07940264867</v>
      </c>
      <c r="L676" s="216">
        <f>(L647/L612)*K94</f>
        <v>475869.93956023606</v>
      </c>
      <c r="M676" s="202">
        <f t="shared" si="24"/>
        <v>693717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350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>
        <f>(K644/K612)*L89</f>
        <v>0</v>
      </c>
      <c r="L677" s="216">
        <f>(L647/L612)*L94</f>
        <v>0</v>
      </c>
      <c r="M677" s="202">
        <f t="shared" si="24"/>
        <v>0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>
        <f>(K644/K612)*M89</f>
        <v>0</v>
      </c>
      <c r="L678" s="216">
        <f>(L647/L612)*M94</f>
        <v>0</v>
      </c>
      <c r="M678" s="202">
        <f t="shared" si="24"/>
        <v>0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>
        <f>N85</f>
        <v>-100.80999999999949</v>
      </c>
      <c r="D679" s="216">
        <f>(D615/D612)*N90</f>
        <v>0</v>
      </c>
      <c r="E679" s="218">
        <f>(E623/E612)*SUM(C679:D679)</f>
        <v>2.4207019146326751</v>
      </c>
      <c r="F679" s="218">
        <f>(F624/F612)*N64</f>
        <v>97.541391971309821</v>
      </c>
      <c r="G679" s="216">
        <f>(G625/G612)*N91</f>
        <v>3056.2418174770628</v>
      </c>
      <c r="H679" s="218">
        <f>(H628/H612)*N60</f>
        <v>0</v>
      </c>
      <c r="I679" s="216">
        <f>(I629/I612)*N92</f>
        <v>0</v>
      </c>
      <c r="J679" s="216">
        <f>(J630/J612)*N93</f>
        <v>0</v>
      </c>
      <c r="K679" s="216">
        <f>(K644/K612)*N89</f>
        <v>0</v>
      </c>
      <c r="L679" s="216">
        <f>(L647/L612)*N94</f>
        <v>0</v>
      </c>
      <c r="M679" s="202">
        <f t="shared" si="24"/>
        <v>3156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>
        <f>O85</f>
        <v>0</v>
      </c>
      <c r="D680" s="216">
        <f>(D615/D612)*O90</f>
        <v>0</v>
      </c>
      <c r="E680" s="218">
        <f>(E623/E612)*SUM(C680:D680)</f>
        <v>0</v>
      </c>
      <c r="F680" s="218">
        <f>(F624/F612)*O64</f>
        <v>0</v>
      </c>
      <c r="G680" s="216">
        <f>(G625/G612)*O91</f>
        <v>0</v>
      </c>
      <c r="H680" s="218">
        <f>(H628/H612)*O60</f>
        <v>0</v>
      </c>
      <c r="I680" s="216">
        <f>(I629/I612)*O92</f>
        <v>0</v>
      </c>
      <c r="J680" s="216">
        <f>(J630/J612)*O93</f>
        <v>4393.5513880928165</v>
      </c>
      <c r="K680" s="216">
        <f>(K644/K612)*O89</f>
        <v>0</v>
      </c>
      <c r="L680" s="216">
        <f>(L647/L612)*O94</f>
        <v>0</v>
      </c>
      <c r="M680" s="202">
        <f t="shared" si="24"/>
        <v>4394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89673380.670000002</v>
      </c>
      <c r="D681" s="216">
        <f>(D615/D612)*P90</f>
        <v>2103153.1522442726</v>
      </c>
      <c r="E681" s="218">
        <f>(E623/E612)*SUM(C681:D681)</f>
        <v>-2203785.6476724362</v>
      </c>
      <c r="F681" s="218">
        <f>(F624/F612)*P64</f>
        <v>380285.78024497733</v>
      </c>
      <c r="G681" s="216">
        <f>(G625/G612)*P91</f>
        <v>0</v>
      </c>
      <c r="H681" s="218">
        <f>(H628/H612)*P60</f>
        <v>144053.76890834869</v>
      </c>
      <c r="I681" s="216">
        <f>(I629/I612)*P92</f>
        <v>707890.5637770429</v>
      </c>
      <c r="J681" s="216">
        <f>(J630/J612)*P93</f>
        <v>412924.48216451757</v>
      </c>
      <c r="K681" s="216">
        <f>(K644/K612)*P89</f>
        <v>18882829.315798372</v>
      </c>
      <c r="L681" s="216">
        <f>(L647/L612)*P94</f>
        <v>689441.82223962329</v>
      </c>
      <c r="M681" s="202">
        <f t="shared" si="24"/>
        <v>21116793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>
        <f>Q85</f>
        <v>17691144.650000002</v>
      </c>
      <c r="D682" s="216">
        <f>(D615/D612)*Q90</f>
        <v>1281902.9236890571</v>
      </c>
      <c r="E682" s="218">
        <f>(E623/E612)*SUM(C682:D682)</f>
        <v>-455590.6416828307</v>
      </c>
      <c r="F682" s="218">
        <f>(F624/F612)*Q64</f>
        <v>9146.6655875755023</v>
      </c>
      <c r="G682" s="216">
        <f>(G625/G612)*Q91</f>
        <v>3722.0897079949423</v>
      </c>
      <c r="H682" s="218">
        <f>(H628/H612)*Q60</f>
        <v>96268.467288800661</v>
      </c>
      <c r="I682" s="216">
        <f>(I629/I612)*Q92</f>
        <v>431469.7588187292</v>
      </c>
      <c r="J682" s="216">
        <f>(J630/J612)*Q93</f>
        <v>7473.9588531660384</v>
      </c>
      <c r="K682" s="216">
        <f>(K644/K612)*Q89</f>
        <v>971441.60563096358</v>
      </c>
      <c r="L682" s="216">
        <f>(L647/L612)*Q94</f>
        <v>634645.62685923744</v>
      </c>
      <c r="M682" s="202">
        <f t="shared" si="24"/>
        <v>2980480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40461372.540000007</v>
      </c>
      <c r="D683" s="216">
        <f>(D615/D612)*R90</f>
        <v>848723.46280884289</v>
      </c>
      <c r="E683" s="218">
        <f>(E623/E612)*SUM(C683:D683)</f>
        <v>-991959.41362622252</v>
      </c>
      <c r="F683" s="218">
        <f>(F624/F612)*R64</f>
        <v>19412.035309915602</v>
      </c>
      <c r="G683" s="216">
        <f>(G625/G612)*R91</f>
        <v>0</v>
      </c>
      <c r="H683" s="218">
        <f>(H628/H612)*R60</f>
        <v>107853.80140567629</v>
      </c>
      <c r="I683" s="216">
        <f>(I629/I612)*R92</f>
        <v>285667.8934377362</v>
      </c>
      <c r="J683" s="216">
        <f>(J630/J612)*R93</f>
        <v>40256.697558260836</v>
      </c>
      <c r="K683" s="216">
        <f>(K644/K612)*R89</f>
        <v>2693668.4375555129</v>
      </c>
      <c r="L683" s="216">
        <f>(L647/L612)*R94</f>
        <v>18088.219720575187</v>
      </c>
      <c r="M683" s="202">
        <f t="shared" si="24"/>
        <v>3021711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>
        <f>S85</f>
        <v>17976194.130000003</v>
      </c>
      <c r="D684" s="216">
        <f>(D615/D612)*S90</f>
        <v>763583.63784463122</v>
      </c>
      <c r="E684" s="218">
        <f>(E623/E612)*SUM(C684:D684)</f>
        <v>-449989.24632886186</v>
      </c>
      <c r="F684" s="218">
        <f>(F624/F612)*S64</f>
        <v>17629.51639185971</v>
      </c>
      <c r="G684" s="216">
        <f>(G625/G612)*S91</f>
        <v>0</v>
      </c>
      <c r="H684" s="218">
        <f>(H628/H612)*S60</f>
        <v>148583.33221558601</v>
      </c>
      <c r="I684" s="216">
        <f>(I629/I612)*S92</f>
        <v>257011.0746846745</v>
      </c>
      <c r="J684" s="216">
        <f>(J630/J612)*S93</f>
        <v>0</v>
      </c>
      <c r="K684" s="216">
        <f>(K644/K612)*S89</f>
        <v>0</v>
      </c>
      <c r="L684" s="216">
        <f>(L647/L612)*S94</f>
        <v>151.79956417962359</v>
      </c>
      <c r="M684" s="202">
        <f t="shared" si="24"/>
        <v>736970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>
        <f>T85</f>
        <v>4251092.8100000005</v>
      </c>
      <c r="D685" s="216">
        <f>(D615/D612)*T90</f>
        <v>41935.217301328972</v>
      </c>
      <c r="E685" s="218">
        <f>(E623/E612)*SUM(C685:D685)</f>
        <v>-103086.41171768788</v>
      </c>
      <c r="F685" s="218">
        <f>(F624/F612)*T64</f>
        <v>4550.9722927345138</v>
      </c>
      <c r="G685" s="216">
        <f>(G625/G612)*T91</f>
        <v>0</v>
      </c>
      <c r="H685" s="218">
        <f>(H628/H612)*T60</f>
        <v>21416.16787318061</v>
      </c>
      <c r="I685" s="216">
        <f>(I629/I612)*T92</f>
        <v>14114.780269745528</v>
      </c>
      <c r="J685" s="216">
        <f>(J630/J612)*T93</f>
        <v>705.78689559230327</v>
      </c>
      <c r="K685" s="216">
        <f>(K644/K612)*T89</f>
        <v>249069.40656644592</v>
      </c>
      <c r="L685" s="216">
        <f>(L647/L612)*T94</f>
        <v>207939.42939063153</v>
      </c>
      <c r="M685" s="202">
        <f t="shared" si="24"/>
        <v>436645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47338038.230000004</v>
      </c>
      <c r="D686" s="216">
        <f>(D615/D612)*U90</f>
        <v>1350631.3446931813</v>
      </c>
      <c r="E686" s="218">
        <f>(E623/E612)*SUM(C686:D686)</f>
        <v>-1169137.5425094541</v>
      </c>
      <c r="F686" s="218">
        <f>(F624/F612)*U64</f>
        <v>73501.167681859006</v>
      </c>
      <c r="G686" s="216">
        <f>(G625/G612)*U91</f>
        <v>0</v>
      </c>
      <c r="H686" s="218">
        <f>(H628/H612)*U60</f>
        <v>190286.77401538129</v>
      </c>
      <c r="I686" s="216">
        <f>(I629/I612)*U92</f>
        <v>454602.73923919862</v>
      </c>
      <c r="J686" s="216">
        <f>(J630/J612)*U93</f>
        <v>105516.81867289306</v>
      </c>
      <c r="K686" s="216">
        <f>(K644/K612)*U89</f>
        <v>7545667.9053960415</v>
      </c>
      <c r="L686" s="216">
        <f>(L647/L612)*U94</f>
        <v>0</v>
      </c>
      <c r="M686" s="202">
        <f t="shared" si="24"/>
        <v>8551069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>
        <f>V85</f>
        <v>0</v>
      </c>
      <c r="D687" s="216">
        <f>(D615/D612)*V90</f>
        <v>0</v>
      </c>
      <c r="E687" s="218">
        <f>(E623/E612)*SUM(C687:D687)</f>
        <v>0</v>
      </c>
      <c r="F687" s="218">
        <f>(F624/F612)*V64</f>
        <v>0</v>
      </c>
      <c r="G687" s="216">
        <f>(G625/G612)*V91</f>
        <v>0</v>
      </c>
      <c r="H687" s="218">
        <f>(H628/H612)*V60</f>
        <v>0</v>
      </c>
      <c r="I687" s="216">
        <f>(I629/I612)*V92</f>
        <v>0</v>
      </c>
      <c r="J687" s="216">
        <f>(J630/J612)*V93</f>
        <v>0</v>
      </c>
      <c r="K687" s="216">
        <f>(K644/K612)*V89</f>
        <v>0</v>
      </c>
      <c r="L687" s="216">
        <f>(L647/L612)*V94</f>
        <v>0</v>
      </c>
      <c r="M687" s="202">
        <f t="shared" si="24"/>
        <v>0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>
        <f>W85</f>
        <v>4622579.8800000008</v>
      </c>
      <c r="D688" s="216">
        <f>(D615/D612)*W90</f>
        <v>303610.97326162172</v>
      </c>
      <c r="E688" s="218">
        <f>(E623/E612)*SUM(C688:D688)</f>
        <v>-118290.24531630236</v>
      </c>
      <c r="F688" s="218">
        <f>(F624/F612)*W64</f>
        <v>2963.3503626635729</v>
      </c>
      <c r="G688" s="216">
        <f>(G625/G612)*W91</f>
        <v>0</v>
      </c>
      <c r="H688" s="218">
        <f>(H628/H612)*W60</f>
        <v>11257.664960339396</v>
      </c>
      <c r="I688" s="216">
        <f>(I629/I612)*W92</f>
        <v>102191.00915295762</v>
      </c>
      <c r="J688" s="216">
        <f>(J630/J612)*W93</f>
        <v>72793.361592943096</v>
      </c>
      <c r="K688" s="216">
        <f>(K644/K612)*W89</f>
        <v>1166090.7322623364</v>
      </c>
      <c r="L688" s="216">
        <f>(L647/L612)*W94</f>
        <v>0</v>
      </c>
      <c r="M688" s="202">
        <f t="shared" si="24"/>
        <v>1540617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>
        <f>X85</f>
        <v>8305574.2700000005</v>
      </c>
      <c r="D689" s="216">
        <f>(D615/D612)*X90</f>
        <v>182384.1937332394</v>
      </c>
      <c r="E689" s="218">
        <f>(E623/E612)*SUM(C689:D689)</f>
        <v>-203817.25329314327</v>
      </c>
      <c r="F689" s="218">
        <f>(F624/F612)*X64</f>
        <v>13499.268361631193</v>
      </c>
      <c r="G689" s="216">
        <f>(G625/G612)*X91</f>
        <v>0</v>
      </c>
      <c r="H689" s="218">
        <f>(H628/H612)*X60</f>
        <v>21027.253575575352</v>
      </c>
      <c r="I689" s="216">
        <f>(I629/I612)*X92</f>
        <v>61387.849756958116</v>
      </c>
      <c r="J689" s="216">
        <f>(J630/J612)*X93</f>
        <v>122276.74077044468</v>
      </c>
      <c r="K689" s="216">
        <f>(K644/K612)*X89</f>
        <v>2560731.4239765289</v>
      </c>
      <c r="L689" s="216">
        <f>(L647/L612)*X94</f>
        <v>0</v>
      </c>
      <c r="M689" s="202">
        <f t="shared" si="24"/>
        <v>2757489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>
        <f>Y85</f>
        <v>31083735.680000003</v>
      </c>
      <c r="D690" s="216">
        <f>(D615/D612)*Y90</f>
        <v>1562166.1813721012</v>
      </c>
      <c r="E690" s="218">
        <f>(E623/E612)*SUM(C690:D690)</f>
        <v>-783910.29799359455</v>
      </c>
      <c r="F690" s="218">
        <f>(F624/F612)*Y64</f>
        <v>41992.292015395076</v>
      </c>
      <c r="G690" s="216">
        <f>(G625/G612)*Y91</f>
        <v>79.90174686214543</v>
      </c>
      <c r="H690" s="218">
        <f>(H628/H612)*Y60</f>
        <v>117395.23733197821</v>
      </c>
      <c r="I690" s="216">
        <f>(I629/I612)*Y92</f>
        <v>525802.26868636906</v>
      </c>
      <c r="J690" s="216">
        <f>(J630/J612)*Y93</f>
        <v>393490.17580807343</v>
      </c>
      <c r="K690" s="216">
        <f>(K644/K612)*Y89</f>
        <v>3985099.4405888389</v>
      </c>
      <c r="L690" s="216">
        <f>(L647/L612)*Y94</f>
        <v>158898.60096334101</v>
      </c>
      <c r="M690" s="202">
        <f t="shared" si="24"/>
        <v>6001014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>
        <f>Z85</f>
        <v>16889462.129999999</v>
      </c>
      <c r="D691" s="216">
        <f>(D615/D612)*Z90</f>
        <v>512063.00477676833</v>
      </c>
      <c r="E691" s="218">
        <f>(E623/E612)*SUM(C691:D691)</f>
        <v>-417854.43121994793</v>
      </c>
      <c r="F691" s="218">
        <f>(F624/F612)*Z64</f>
        <v>2901.2750558779503</v>
      </c>
      <c r="G691" s="216">
        <f>(G625/G612)*Z91</f>
        <v>0</v>
      </c>
      <c r="H691" s="218">
        <f>(H628/H612)*Z60</f>
        <v>68531.35399119636</v>
      </c>
      <c r="I691" s="216">
        <f>(I629/I612)*Z92</f>
        <v>172352.91151002783</v>
      </c>
      <c r="J691" s="216">
        <f>(J630/J612)*Z93</f>
        <v>29106.159424885762</v>
      </c>
      <c r="K691" s="216">
        <f>(K644/K612)*Z89</f>
        <v>1248701.0612137527</v>
      </c>
      <c r="L691" s="216">
        <f>(L647/L612)*Z94</f>
        <v>47538.226711540687</v>
      </c>
      <c r="M691" s="202">
        <f t="shared" si="24"/>
        <v>1663340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>
        <f>AA85</f>
        <v>6212667.8799999999</v>
      </c>
      <c r="D692" s="216">
        <f>(D615/D612)*AA90</f>
        <v>275729.72067749489</v>
      </c>
      <c r="E692" s="218">
        <f>(E623/E612)*SUM(C692:D692)</f>
        <v>-155802.76257175027</v>
      </c>
      <c r="F692" s="218">
        <f>(F624/F612)*AA64</f>
        <v>18420.73151992233</v>
      </c>
      <c r="G692" s="216">
        <f>(G625/G612)*AA91</f>
        <v>0</v>
      </c>
      <c r="H692" s="218">
        <f>(H628/H612)*AA60</f>
        <v>9605.5275431927912</v>
      </c>
      <c r="I692" s="216">
        <f>(I629/I612)*AA92</f>
        <v>92806.587676316005</v>
      </c>
      <c r="J692" s="216">
        <f>(J630/J612)*AA93</f>
        <v>0</v>
      </c>
      <c r="K692" s="216">
        <f>(K644/K612)*AA89</f>
        <v>992526.46450249234</v>
      </c>
      <c r="L692" s="216">
        <f>(L647/L612)*AA94</f>
        <v>0</v>
      </c>
      <c r="M692" s="202">
        <f t="shared" si="24"/>
        <v>1233286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27992215.23</v>
      </c>
      <c r="D693" s="216">
        <f>(D615/D612)*AB90</f>
        <v>453172.35907468584</v>
      </c>
      <c r="E693" s="218">
        <f>(E623/E612)*SUM(C693:D693)</f>
        <v>-683045.37446029135</v>
      </c>
      <c r="F693" s="218">
        <f>(F624/F612)*AB64</f>
        <v>106362.28387480239</v>
      </c>
      <c r="G693" s="216">
        <f>(G625/G612)*AB91</f>
        <v>0</v>
      </c>
      <c r="H693" s="218">
        <f>(H628/H612)*AB60</f>
        <v>99043.377199132985</v>
      </c>
      <c r="I693" s="216">
        <f>(I629/I612)*AB92</f>
        <v>152531.18224473114</v>
      </c>
      <c r="J693" s="216">
        <f>(J630/J612)*AB93</f>
        <v>19801.181319604664</v>
      </c>
      <c r="K693" s="216">
        <f>(K644/K612)*AB89</f>
        <v>2377120.7252383563</v>
      </c>
      <c r="L693" s="216">
        <f>(L647/L612)*AB94</f>
        <v>0</v>
      </c>
      <c r="M693" s="202">
        <f t="shared" si="24"/>
        <v>2524986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>
        <f>AC85</f>
        <v>3677773.33</v>
      </c>
      <c r="D694" s="216">
        <f>(D615/D612)*AC90</f>
        <v>43340.613773049183</v>
      </c>
      <c r="E694" s="218">
        <f>(E623/E612)*SUM(C694:D694)</f>
        <v>-89353.314634042355</v>
      </c>
      <c r="F694" s="218">
        <f>(F624/F612)*AC64</f>
        <v>3551.8630914505511</v>
      </c>
      <c r="G694" s="216">
        <f>(G625/G612)*AC91</f>
        <v>0</v>
      </c>
      <c r="H694" s="218">
        <f>(H628/H612)*AC60</f>
        <v>27535.1114575106</v>
      </c>
      <c r="I694" s="216">
        <f>(I629/I612)*AC92</f>
        <v>14587.816149055918</v>
      </c>
      <c r="J694" s="216">
        <f>(J630/J612)*AC93</f>
        <v>15457.963386823503</v>
      </c>
      <c r="K694" s="216">
        <f>(K644/K612)*AC89</f>
        <v>810822.05453542934</v>
      </c>
      <c r="L694" s="216">
        <f>(L647/L612)*AC94</f>
        <v>0</v>
      </c>
      <c r="M694" s="202">
        <f t="shared" si="24"/>
        <v>825942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3657927.6</v>
      </c>
      <c r="D695" s="216">
        <f>(D615/D612)*AD90</f>
        <v>71720.555427786414</v>
      </c>
      <c r="E695" s="218">
        <f>(E623/E612)*SUM(C695:D695)</f>
        <v>-89558.242542905587</v>
      </c>
      <c r="F695" s="218">
        <f>(F624/F612)*AD64</f>
        <v>364.03045851390141</v>
      </c>
      <c r="G695" s="216">
        <f>(G625/G612)*AD91</f>
        <v>0</v>
      </c>
      <c r="H695" s="218">
        <f>(H628/H612)*AD60</f>
        <v>103.6912988074768</v>
      </c>
      <c r="I695" s="216">
        <f>(I629/I612)*AD92</f>
        <v>24140.089066743163</v>
      </c>
      <c r="J695" s="216">
        <f>(J630/J612)*AD93</f>
        <v>0</v>
      </c>
      <c r="K695" s="216">
        <f>(K644/K612)*AD89</f>
        <v>196181.8244802882</v>
      </c>
      <c r="L695" s="216">
        <f>(L647/L612)*AD94</f>
        <v>0</v>
      </c>
      <c r="M695" s="202">
        <f t="shared" si="24"/>
        <v>202952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10772034.930000002</v>
      </c>
      <c r="D696" s="216">
        <f>(D615/D612)*AE90</f>
        <v>510068.24849432672</v>
      </c>
      <c r="E696" s="218">
        <f>(E623/E612)*SUM(C696:D696)</f>
        <v>-270911.70285948564</v>
      </c>
      <c r="F696" s="218">
        <f>(F624/F612)*AE64</f>
        <v>8634.810105894936</v>
      </c>
      <c r="G696" s="216">
        <f>(G625/G612)*AE91</f>
        <v>0</v>
      </c>
      <c r="H696" s="218">
        <f>(H628/H612)*AE60</f>
        <v>73446.672926094761</v>
      </c>
      <c r="I696" s="216">
        <f>(I629/I612)*AE92</f>
        <v>171681.50574584535</v>
      </c>
      <c r="J696" s="216">
        <f>(J630/J612)*AE93</f>
        <v>21946.505037110273</v>
      </c>
      <c r="K696" s="216">
        <f>(K644/K612)*AE89</f>
        <v>783328.682342974</v>
      </c>
      <c r="L696" s="216">
        <f>(L647/L612)*AE94</f>
        <v>23035.494710246028</v>
      </c>
      <c r="M696" s="202">
        <f t="shared" si="24"/>
        <v>1321230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>
        <f>AF85</f>
        <v>752417.13</v>
      </c>
      <c r="D697" s="216">
        <f>(D615/D612)*AF90</f>
        <v>47012.778747543933</v>
      </c>
      <c r="E697" s="218">
        <f>(E623/E612)*SUM(C697:D697)</f>
        <v>-19196.32487570493</v>
      </c>
      <c r="F697" s="218">
        <f>(F624/F612)*AF64</f>
        <v>24.969533359709416</v>
      </c>
      <c r="G697" s="216">
        <f>(G625/G612)*AF91</f>
        <v>0</v>
      </c>
      <c r="H697" s="218">
        <f>(H628/H612)*AF60</f>
        <v>6397.6717210913621</v>
      </c>
      <c r="I697" s="216">
        <f>(I629/I612)*AF92</f>
        <v>15823.813124028231</v>
      </c>
      <c r="J697" s="216">
        <f>(J630/J612)*AF93</f>
        <v>0</v>
      </c>
      <c r="K697" s="216">
        <f>(K644/K612)*AF89</f>
        <v>13588.053161642938</v>
      </c>
      <c r="L697" s="216">
        <f>(L647/L612)*AF94</f>
        <v>0</v>
      </c>
      <c r="M697" s="202">
        <f t="shared" si="24"/>
        <v>63651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>
        <f>AG85</f>
        <v>17658540.210000001</v>
      </c>
      <c r="D698" s="216">
        <f>(D615/D612)*AG90</f>
        <v>684926.77079835464</v>
      </c>
      <c r="E698" s="218">
        <f>(E623/E612)*SUM(C698:D698)</f>
        <v>-440472.82651939348</v>
      </c>
      <c r="F698" s="218">
        <f>(F624/F612)*AG64</f>
        <v>8424.9273225525048</v>
      </c>
      <c r="G698" s="216">
        <f>(G625/G612)*AG91</f>
        <v>553492.71747189178</v>
      </c>
      <c r="H698" s="218">
        <f>(H628/H612)*AG60</f>
        <v>68322.428787329583</v>
      </c>
      <c r="I698" s="216">
        <f>(I629/I612)*AG92</f>
        <v>230536.32466520587</v>
      </c>
      <c r="J698" s="216">
        <f>(J630/J612)*AG93</f>
        <v>16925.463239465502</v>
      </c>
      <c r="K698" s="216">
        <f>(K644/K612)*AG89</f>
        <v>2486508.1444954341</v>
      </c>
      <c r="L698" s="216">
        <f>(L647/L612)*AG94</f>
        <v>336396.6901872232</v>
      </c>
      <c r="M698" s="202">
        <f t="shared" si="24"/>
        <v>3945061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>
        <f>(K644/K612)*AH89</f>
        <v>0</v>
      </c>
      <c r="L699" s="216">
        <f>(L647/L612)*AH94</f>
        <v>0</v>
      </c>
      <c r="M699" s="202">
        <f t="shared" si="24"/>
        <v>0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>
        <f>(G625/G612)*AI91</f>
        <v>0</v>
      </c>
      <c r="H700" s="218">
        <f>(H628/H612)*AI60</f>
        <v>0</v>
      </c>
      <c r="I700" s="216">
        <f>(I629/I612)*AI92</f>
        <v>0</v>
      </c>
      <c r="J700" s="216">
        <f>(J630/J612)*AI93</f>
        <v>0</v>
      </c>
      <c r="K700" s="216">
        <f>(K644/K612)*AI89</f>
        <v>0</v>
      </c>
      <c r="L700" s="216">
        <f>(L647/L612)*AI94</f>
        <v>0</v>
      </c>
      <c r="M700" s="202">
        <f t="shared" si="24"/>
        <v>0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292798604.8599999</v>
      </c>
      <c r="D701" s="216">
        <f>(D615/D612)*AJ90</f>
        <v>9813974.2327623665</v>
      </c>
      <c r="E701" s="218">
        <f>(E623/E612)*SUM(C701:D701)</f>
        <v>-7266489.9276042553</v>
      </c>
      <c r="F701" s="218">
        <f>(F624/F612)*AJ64</f>
        <v>579995.47431643354</v>
      </c>
      <c r="G701" s="216">
        <f>(G625/G612)*AJ91</f>
        <v>5380.0509553844595</v>
      </c>
      <c r="H701" s="218">
        <f>(H628/H612)*AJ60</f>
        <v>1096229.3387626165</v>
      </c>
      <c r="I701" s="216">
        <f>(I629/I612)*AJ92</f>
        <v>3303240.0636682846</v>
      </c>
      <c r="J701" s="216">
        <f>(J630/J612)*AJ93</f>
        <v>245680.95093987041</v>
      </c>
      <c r="K701" s="216">
        <f>(K644/K612)*AJ89</f>
        <v>27606849.142907269</v>
      </c>
      <c r="L701" s="216">
        <f>(L647/L612)*AJ94</f>
        <v>1772771.8935691668</v>
      </c>
      <c r="M701" s="202">
        <f t="shared" si="24"/>
        <v>37157631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>
        <f>AK85</f>
        <v>0</v>
      </c>
      <c r="D702" s="216">
        <f>(D615/D612)*AK90</f>
        <v>0</v>
      </c>
      <c r="E702" s="218">
        <f>(E623/E612)*SUM(C702:D702)</f>
        <v>0</v>
      </c>
      <c r="F702" s="218">
        <f>(F624/F612)*AK64</f>
        <v>0</v>
      </c>
      <c r="G702" s="216">
        <f>(G625/G612)*AK91</f>
        <v>0</v>
      </c>
      <c r="H702" s="218">
        <f>(H628/H612)*AK60</f>
        <v>0</v>
      </c>
      <c r="I702" s="216">
        <f>(I629/I612)*AK92</f>
        <v>0</v>
      </c>
      <c r="J702" s="216">
        <f>(J630/J612)*AK93</f>
        <v>0</v>
      </c>
      <c r="K702" s="216">
        <f>(K644/K612)*AK89</f>
        <v>0</v>
      </c>
      <c r="L702" s="216">
        <f>(L647/L612)*AK94</f>
        <v>0</v>
      </c>
      <c r="M702" s="202">
        <f t="shared" si="24"/>
        <v>0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>
        <f>AL85</f>
        <v>0</v>
      </c>
      <c r="D703" s="216">
        <f>(D615/D612)*AL90</f>
        <v>0</v>
      </c>
      <c r="E703" s="218">
        <f>(E623/E612)*SUM(C703:D703)</f>
        <v>0</v>
      </c>
      <c r="F703" s="218">
        <f>(F624/F612)*AL64</f>
        <v>0</v>
      </c>
      <c r="G703" s="216">
        <f>(G625/G612)*AL91</f>
        <v>0</v>
      </c>
      <c r="H703" s="218">
        <f>(H628/H612)*AL60</f>
        <v>0</v>
      </c>
      <c r="I703" s="216">
        <f>(I629/I612)*AL92</f>
        <v>0</v>
      </c>
      <c r="J703" s="216">
        <f>(J630/J612)*AL93</f>
        <v>0</v>
      </c>
      <c r="K703" s="216">
        <f>(K644/K612)*AL89</f>
        <v>0</v>
      </c>
      <c r="L703" s="216">
        <f>(L647/L612)*AL94</f>
        <v>0</v>
      </c>
      <c r="M703" s="202">
        <f t="shared" si="24"/>
        <v>0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>
        <f>(K644/K612)*AM89</f>
        <v>0</v>
      </c>
      <c r="L704" s="216">
        <f>(L647/L612)*AM94</f>
        <v>0</v>
      </c>
      <c r="M704" s="202">
        <f t="shared" si="24"/>
        <v>0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>
        <f>(K644/K612)*AN89</f>
        <v>0</v>
      </c>
      <c r="L705" s="216">
        <f>(L647/L612)*AN94</f>
        <v>0</v>
      </c>
      <c r="M705" s="202">
        <f t="shared" si="24"/>
        <v>0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>
        <f>(K644/K612)*AO89</f>
        <v>0</v>
      </c>
      <c r="L706" s="216">
        <f>(L647/L612)*AO94</f>
        <v>0</v>
      </c>
      <c r="M706" s="202">
        <f t="shared" si="24"/>
        <v>0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212070841.22999981</v>
      </c>
      <c r="D707" s="216">
        <f>(D615/D612)*AP90</f>
        <v>12757146.456764827</v>
      </c>
      <c r="E707" s="218">
        <f>(E623/E612)*SUM(C707:D707)</f>
        <v>-5398686.0455943393</v>
      </c>
      <c r="F707" s="218">
        <f>(F624/F612)*AP64</f>
        <v>281339.85722248955</v>
      </c>
      <c r="G707" s="216">
        <f>(G625/G612)*AP91</f>
        <v>0</v>
      </c>
      <c r="H707" s="218">
        <f>(H628/H612)*AP60</f>
        <v>1065807.0438183255</v>
      </c>
      <c r="I707" s="216">
        <f>(I629/I612)*AP92</f>
        <v>4293868.7502757218</v>
      </c>
      <c r="J707" s="216">
        <f>(J630/J612)*AP93</f>
        <v>452983.20146521926</v>
      </c>
      <c r="K707" s="216">
        <f>(K644/K612)*AP89</f>
        <v>18281288.308025051</v>
      </c>
      <c r="L707" s="216">
        <f>(L647/L612)*AP94</f>
        <v>1085784.124659776</v>
      </c>
      <c r="M707" s="202">
        <f t="shared" si="24"/>
        <v>32819532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>
        <f>(K644/K612)*AQ89</f>
        <v>0</v>
      </c>
      <c r="L708" s="216">
        <f>(L647/L612)*AQ94</f>
        <v>0</v>
      </c>
      <c r="M708" s="202">
        <f t="shared" si="24"/>
        <v>0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>
        <f>AR85</f>
        <v>0</v>
      </c>
      <c r="D709" s="216">
        <f>(D615/D612)*AR90</f>
        <v>0</v>
      </c>
      <c r="E709" s="218">
        <f>(E623/E612)*SUM(C709:D709)</f>
        <v>0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>
        <f>(K644/K612)*AR89</f>
        <v>0</v>
      </c>
      <c r="L709" s="216">
        <f>(L647/L612)*AR94</f>
        <v>0</v>
      </c>
      <c r="M709" s="202">
        <f t="shared" si="24"/>
        <v>0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>
        <f>(K644/K612)*AS89</f>
        <v>0</v>
      </c>
      <c r="L710" s="216">
        <f>(L647/L612)*AS94</f>
        <v>0</v>
      </c>
      <c r="M710" s="202">
        <f t="shared" si="24"/>
        <v>0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>
        <f>AT85</f>
        <v>9311567.3800000008</v>
      </c>
      <c r="D711" s="216">
        <f>(D615/D612)*AT90</f>
        <v>100055.16171246815</v>
      </c>
      <c r="E711" s="218">
        <f>(E623/E612)*SUM(C711:D711)</f>
        <v>-225996.75336299505</v>
      </c>
      <c r="F711" s="218">
        <f>(F624/F612)*AT64</f>
        <v>26808.127209997449</v>
      </c>
      <c r="G711" s="216">
        <f>(G625/G612)*AT91</f>
        <v>0</v>
      </c>
      <c r="H711" s="218">
        <f>(H628/H612)*AT60</f>
        <v>24751.001002747857</v>
      </c>
      <c r="I711" s="216">
        <f>(I629/I612)*AT92</f>
        <v>33677.10276251717</v>
      </c>
      <c r="J711" s="216">
        <f>(J630/J612)*AT93</f>
        <v>0</v>
      </c>
      <c r="K711" s="216">
        <f>(K644/K612)*AT89</f>
        <v>310530.59825454012</v>
      </c>
      <c r="L711" s="216">
        <f>(L647/L612)*AT94</f>
        <v>92607.541090874089</v>
      </c>
      <c r="M711" s="202">
        <f t="shared" si="24"/>
        <v>362433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>
        <f>(K644/K612)*AU89</f>
        <v>0</v>
      </c>
      <c r="L712" s="216">
        <f>(L647/L612)*AU94</f>
        <v>0</v>
      </c>
      <c r="M712" s="202">
        <f t="shared" si="24"/>
        <v>0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>
        <f>AV85</f>
        <v>41132478.840000018</v>
      </c>
      <c r="D713" s="216">
        <f>(D615/D612)*AV90</f>
        <v>974438.44397271879</v>
      </c>
      <c r="E713" s="218">
        <f>(E623/E612)*SUM(C713:D713)</f>
        <v>-1011093.0987857654</v>
      </c>
      <c r="F713" s="218">
        <f>(F624/F612)*AV64</f>
        <v>195648.29639124178</v>
      </c>
      <c r="G713" s="216">
        <f>(G625/G612)*AV91</f>
        <v>0</v>
      </c>
      <c r="H713" s="218">
        <f>(H628/H612)*AV60</f>
        <v>63279.006197543349</v>
      </c>
      <c r="I713" s="216">
        <f>(I629/I612)*AV92</f>
        <v>327981.71580314636</v>
      </c>
      <c r="J713" s="216">
        <f>(J630/J612)*AV93</f>
        <v>10061.098456185051</v>
      </c>
      <c r="K713" s="216">
        <f>(K644/K612)*AV89</f>
        <v>5103401.2316543395</v>
      </c>
      <c r="L713" s="216">
        <f>(L647/L612)*AV94</f>
        <v>719791.2149021494</v>
      </c>
      <c r="M713" s="202">
        <f t="shared" si="24"/>
        <v>6383508</v>
      </c>
      <c r="N713" s="212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1203358765.6999998</v>
      </c>
      <c r="D715" s="202">
        <f>SUM(D616:D647)+SUM(D668:D713)</f>
        <v>50391895.889999993</v>
      </c>
      <c r="E715" s="202">
        <f>SUM(E624:E647)+SUM(E668:E713)</f>
        <v>-29606602.799346942</v>
      </c>
      <c r="F715" s="202">
        <f>SUM(F625:F648)+SUM(F668:F713)</f>
        <v>1881222.768331724</v>
      </c>
      <c r="G715" s="202">
        <f>SUM(G626:G647)+SUM(G668:G713)</f>
        <v>6222934.4830332324</v>
      </c>
      <c r="H715" s="202">
        <f>SUM(H629:H647)+SUM(H668:H713)</f>
        <v>5015658.493122099</v>
      </c>
      <c r="I715" s="202">
        <f>SUM(I630:I647)+SUM(I668:I713)</f>
        <v>15667619.72852432</v>
      </c>
      <c r="J715" s="202">
        <f>SUM(J631:J647)+SUM(J668:J713)</f>
        <v>2570191.7693549651</v>
      </c>
      <c r="K715" s="202">
        <f>SUM(K668:K713)</f>
        <v>109469809.82541752</v>
      </c>
      <c r="L715" s="202">
        <f>SUM(L668:L713)</f>
        <v>9518317.8501948994</v>
      </c>
      <c r="M715" s="202">
        <f>SUM(M668:M713)</f>
        <v>164579286</v>
      </c>
      <c r="N715" s="210" t="s">
        <v>697</v>
      </c>
    </row>
    <row r="716" spans="1:14" s="202" customFormat="1" ht="12.6" customHeight="1" x14ac:dyDescent="0.2">
      <c r="C716" s="213">
        <f>CE85</f>
        <v>1203358765.6999996</v>
      </c>
      <c r="D716" s="202">
        <f>D615</f>
        <v>50391895.890000001</v>
      </c>
      <c r="E716" s="202">
        <f>E623</f>
        <v>-29606602.799346942</v>
      </c>
      <c r="F716" s="202">
        <f>F624</f>
        <v>1881222.7683317233</v>
      </c>
      <c r="G716" s="202">
        <f>G625</f>
        <v>6222934.4830332315</v>
      </c>
      <c r="H716" s="202">
        <f>H628</f>
        <v>5015658.493122098</v>
      </c>
      <c r="I716" s="202">
        <f>I629</f>
        <v>15667619.728524322</v>
      </c>
      <c r="J716" s="202">
        <f>J630</f>
        <v>2570191.7693549646</v>
      </c>
      <c r="K716" s="202">
        <f>K644</f>
        <v>109469809.82541753</v>
      </c>
      <c r="L716" s="202">
        <f>L647</f>
        <v>9518317.8501949012</v>
      </c>
      <c r="M716" s="202">
        <f>C648</f>
        <v>164579286.64999998</v>
      </c>
      <c r="N716" s="210" t="s">
        <v>698</v>
      </c>
    </row>
  </sheetData>
  <sheetProtection algorithmName="SHA-512" hashValue="zfeZZt9pOsyllyszWtHxMgfMtuhNSIVDfUVM9kXIlwWPBBkKTFCPW/ect3hHTtpUczHoTEMO7igcPQVbCAPIFw==" saltValue="rTXgHHeN01g6T29tqU2id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E179"/>
  <sheetViews>
    <sheetView topLeftCell="A145" workbookViewId="0">
      <selection activeCell="C125" sqref="C125:C135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8" t="s">
        <v>903</v>
      </c>
      <c r="B1" s="169"/>
      <c r="C1" s="169"/>
    </row>
    <row r="2" spans="1:3" ht="20.100000000000001" customHeight="1" x14ac:dyDescent="0.25">
      <c r="A2" s="168"/>
      <c r="B2" s="169"/>
      <c r="C2" s="94" t="s">
        <v>904</v>
      </c>
    </row>
    <row r="3" spans="1:3" ht="20.100000000000001" customHeight="1" x14ac:dyDescent="0.25">
      <c r="A3" s="120" t="str">
        <f>"Hospital: "&amp;data!C98</f>
        <v>Hospital: Virginia Mason Medical Center</v>
      </c>
      <c r="B3" s="170"/>
      <c r="C3" s="142" t="str">
        <f>"FYE: "&amp;data!C96</f>
        <v>FYE: 06/30/2024</v>
      </c>
    </row>
    <row r="4" spans="1:3" ht="20.100000000000001" customHeight="1" x14ac:dyDescent="0.25">
      <c r="A4" s="171"/>
      <c r="B4" s="172" t="s">
        <v>905</v>
      </c>
      <c r="C4" s="173"/>
    </row>
    <row r="5" spans="1:3" ht="20.100000000000001" customHeight="1" x14ac:dyDescent="0.25">
      <c r="A5" s="174">
        <v>1</v>
      </c>
      <c r="B5" s="175" t="s">
        <v>424</v>
      </c>
      <c r="C5" s="175"/>
    </row>
    <row r="6" spans="1:3" ht="20.100000000000001" customHeight="1" x14ac:dyDescent="0.25">
      <c r="A6" s="174">
        <v>2</v>
      </c>
      <c r="B6" s="176" t="s">
        <v>425</v>
      </c>
      <c r="C6" s="176">
        <f>data!C266</f>
        <v>-614293.75</v>
      </c>
    </row>
    <row r="7" spans="1:3" ht="20.100000000000001" customHeight="1" x14ac:dyDescent="0.25">
      <c r="A7" s="174">
        <v>3</v>
      </c>
      <c r="B7" s="176" t="s">
        <v>426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427</v>
      </c>
      <c r="C8" s="176">
        <f>data!C268</f>
        <v>659740134.49000001</v>
      </c>
    </row>
    <row r="9" spans="1:3" ht="20.100000000000001" customHeight="1" x14ac:dyDescent="0.25">
      <c r="A9" s="174">
        <v>5</v>
      </c>
      <c r="B9" s="176" t="s">
        <v>906</v>
      </c>
      <c r="C9" s="176">
        <f>data!C269</f>
        <v>453616970.63999999</v>
      </c>
    </row>
    <row r="10" spans="1:3" ht="20.100000000000001" customHeight="1" x14ac:dyDescent="0.25">
      <c r="A10" s="174">
        <v>6</v>
      </c>
      <c r="B10" s="176" t="s">
        <v>907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908</v>
      </c>
      <c r="C11" s="176">
        <f>data!C271</f>
        <v>314081182.25</v>
      </c>
    </row>
    <row r="12" spans="1:3" ht="20.100000000000001" customHeight="1" x14ac:dyDescent="0.25">
      <c r="A12" s="174">
        <v>8</v>
      </c>
      <c r="B12" s="176" t="s">
        <v>431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432</v>
      </c>
      <c r="C13" s="176">
        <f>data!C273</f>
        <v>37637908.479999997</v>
      </c>
    </row>
    <row r="14" spans="1:3" ht="20.100000000000001" customHeight="1" x14ac:dyDescent="0.25">
      <c r="A14" s="174">
        <v>10</v>
      </c>
      <c r="B14" s="176" t="s">
        <v>433</v>
      </c>
      <c r="C14" s="176">
        <f>data!C274</f>
        <v>3998250.5</v>
      </c>
    </row>
    <row r="15" spans="1:3" ht="20.100000000000001" customHeight="1" x14ac:dyDescent="0.25">
      <c r="A15" s="174">
        <v>11</v>
      </c>
      <c r="B15" s="176" t="s">
        <v>909</v>
      </c>
      <c r="C15" s="176">
        <f>data!C275</f>
        <v>2241.58</v>
      </c>
    </row>
    <row r="16" spans="1:3" ht="20.100000000000001" customHeight="1" x14ac:dyDescent="0.25">
      <c r="A16" s="174">
        <v>12</v>
      </c>
      <c r="B16" s="176" t="s">
        <v>910</v>
      </c>
      <c r="C16" s="176">
        <f>data!D276</f>
        <v>561228452.91000009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911</v>
      </c>
      <c r="C18" s="175"/>
    </row>
    <row r="19" spans="1:3" ht="20.100000000000001" customHeight="1" x14ac:dyDescent="0.25">
      <c r="A19" s="174">
        <v>15</v>
      </c>
      <c r="B19" s="176" t="s">
        <v>425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426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437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912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913</v>
      </c>
      <c r="C24" s="175"/>
    </row>
    <row r="25" spans="1:3" ht="20.100000000000001" customHeight="1" x14ac:dyDescent="0.25">
      <c r="A25" s="174">
        <v>21</v>
      </c>
      <c r="B25" s="176" t="s">
        <v>394</v>
      </c>
      <c r="C25" s="176">
        <f>data!C283</f>
        <v>115413740.84999999</v>
      </c>
    </row>
    <row r="26" spans="1:3" ht="20.100000000000001" customHeight="1" x14ac:dyDescent="0.25">
      <c r="A26" s="174">
        <v>22</v>
      </c>
      <c r="B26" s="176" t="s">
        <v>395</v>
      </c>
      <c r="C26" s="176">
        <f>data!C284</f>
        <v>299662.08000000002</v>
      </c>
    </row>
    <row r="27" spans="1:3" ht="20.100000000000001" customHeight="1" x14ac:dyDescent="0.25">
      <c r="A27" s="174">
        <v>23</v>
      </c>
      <c r="B27" s="176" t="s">
        <v>396</v>
      </c>
      <c r="C27" s="176">
        <f>data!C285</f>
        <v>336529032.04000002</v>
      </c>
    </row>
    <row r="28" spans="1:3" ht="20.100000000000001" customHeight="1" x14ac:dyDescent="0.25">
      <c r="A28" s="174">
        <v>24</v>
      </c>
      <c r="B28" s="176" t="s">
        <v>914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398</v>
      </c>
      <c r="C29" s="176">
        <f>data!C287</f>
        <v>4030769.55</v>
      </c>
    </row>
    <row r="30" spans="1:3" ht="20.100000000000001" customHeight="1" x14ac:dyDescent="0.25">
      <c r="A30" s="174">
        <v>26</v>
      </c>
      <c r="B30" s="176" t="s">
        <v>442</v>
      </c>
      <c r="C30" s="176">
        <f>data!C288</f>
        <v>118906878.11</v>
      </c>
    </row>
    <row r="31" spans="1:3" ht="20.100000000000001" customHeight="1" x14ac:dyDescent="0.25">
      <c r="A31" s="174">
        <v>27</v>
      </c>
      <c r="B31" s="176" t="s">
        <v>401</v>
      </c>
      <c r="C31" s="176">
        <f>data!C289</f>
        <v>28289752.18</v>
      </c>
    </row>
    <row r="32" spans="1:3" ht="20.100000000000001" customHeight="1" x14ac:dyDescent="0.25">
      <c r="A32" s="174">
        <v>28</v>
      </c>
      <c r="B32" s="176" t="s">
        <v>402</v>
      </c>
      <c r="C32" s="176">
        <f>data!C290</f>
        <v>11012144.060000001</v>
      </c>
    </row>
    <row r="33" spans="1:3" ht="20.100000000000001" customHeight="1" x14ac:dyDescent="0.25">
      <c r="A33" s="174">
        <v>29</v>
      </c>
      <c r="B33" s="176" t="s">
        <v>615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915</v>
      </c>
      <c r="C34" s="176">
        <f>data!C292</f>
        <v>125900736.39</v>
      </c>
    </row>
    <row r="35" spans="1:3" ht="20.100000000000001" customHeight="1" x14ac:dyDescent="0.25">
      <c r="A35" s="174">
        <v>31</v>
      </c>
      <c r="B35" s="176" t="s">
        <v>916</v>
      </c>
      <c r="C35" s="176">
        <f>data!D293</f>
        <v>488581242.4799999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917</v>
      </c>
      <c r="C37" s="175"/>
    </row>
    <row r="38" spans="1:3" ht="20.100000000000001" customHeight="1" x14ac:dyDescent="0.25">
      <c r="A38" s="174">
        <v>34</v>
      </c>
      <c r="B38" s="176" t="s">
        <v>918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919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449</v>
      </c>
      <c r="C40" s="176">
        <f>data!C297</f>
        <v>88952713.059999987</v>
      </c>
    </row>
    <row r="41" spans="1:3" ht="20.100000000000001" customHeight="1" x14ac:dyDescent="0.25">
      <c r="A41" s="174">
        <v>37</v>
      </c>
      <c r="B41" s="176" t="s">
        <v>437</v>
      </c>
      <c r="C41" s="176">
        <f>data!C298</f>
        <v>106431857.33999999</v>
      </c>
    </row>
    <row r="42" spans="1:3" ht="20.100000000000001" customHeight="1" x14ac:dyDescent="0.25">
      <c r="A42" s="174">
        <v>38</v>
      </c>
      <c r="B42" s="176" t="s">
        <v>920</v>
      </c>
      <c r="C42" s="176">
        <f>data!D299</f>
        <v>195384570.39999998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921</v>
      </c>
      <c r="C44" s="175"/>
    </row>
    <row r="45" spans="1:3" ht="20.100000000000001" customHeight="1" x14ac:dyDescent="0.25">
      <c r="A45" s="174">
        <v>41</v>
      </c>
      <c r="B45" s="176" t="s">
        <v>452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453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922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455</v>
      </c>
      <c r="C48" s="176">
        <f>data!C305</f>
        <v>33180240.539999999</v>
      </c>
    </row>
    <row r="49" spans="1:3" ht="20.100000000000001" customHeight="1" x14ac:dyDescent="0.25">
      <c r="A49" s="174">
        <v>45</v>
      </c>
      <c r="B49" s="176" t="s">
        <v>923</v>
      </c>
      <c r="C49" s="176">
        <f>data!D306</f>
        <v>33180240.539999999</v>
      </c>
    </row>
    <row r="50" spans="1:3" ht="20.100000000000001" customHeight="1" x14ac:dyDescent="0.25">
      <c r="A50" s="179">
        <v>46</v>
      </c>
      <c r="B50" s="180" t="s">
        <v>924</v>
      </c>
      <c r="C50" s="176">
        <f>data!D308</f>
        <v>1278374506.3299999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925</v>
      </c>
      <c r="B53" s="169"/>
      <c r="C53" s="169"/>
    </row>
    <row r="54" spans="1:3" ht="20.100000000000001" customHeight="1" x14ac:dyDescent="0.25">
      <c r="A54" s="168"/>
      <c r="B54" s="169"/>
      <c r="C54" s="94" t="s">
        <v>926</v>
      </c>
    </row>
    <row r="55" spans="1:3" ht="20.100000000000001" customHeight="1" x14ac:dyDescent="0.25">
      <c r="A55" s="120" t="str">
        <f>"Hospital: "&amp;data!C98</f>
        <v>Hospital: Virginia Mason Medical Center</v>
      </c>
      <c r="B55" s="170"/>
      <c r="C55" s="142" t="str">
        <f>"FYE: "&amp;data!C96</f>
        <v>FYE: 06/30/2024</v>
      </c>
    </row>
    <row r="56" spans="1:3" ht="20.100000000000001" customHeight="1" x14ac:dyDescent="0.25">
      <c r="A56" s="181"/>
      <c r="B56" s="182" t="s">
        <v>927</v>
      </c>
      <c r="C56" s="173"/>
    </row>
    <row r="57" spans="1:3" ht="20.100000000000001" customHeight="1" x14ac:dyDescent="0.25">
      <c r="A57" s="183">
        <v>1</v>
      </c>
      <c r="B57" s="168" t="s">
        <v>459</v>
      </c>
      <c r="C57" s="184"/>
    </row>
    <row r="58" spans="1:3" ht="20.100000000000001" customHeight="1" x14ac:dyDescent="0.25">
      <c r="A58" s="174">
        <v>2</v>
      </c>
      <c r="B58" s="176" t="s">
        <v>460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928</v>
      </c>
      <c r="C59" s="176">
        <f>data!C315</f>
        <v>36766665.43</v>
      </c>
    </row>
    <row r="60" spans="1:3" ht="20.100000000000001" customHeight="1" x14ac:dyDescent="0.25">
      <c r="A60" s="174">
        <v>4</v>
      </c>
      <c r="B60" s="176" t="s">
        <v>929</v>
      </c>
      <c r="C60" s="176">
        <f>data!C316</f>
        <v>57856222.789999999</v>
      </c>
    </row>
    <row r="61" spans="1:3" ht="20.100000000000001" customHeight="1" x14ac:dyDescent="0.25">
      <c r="A61" s="174">
        <v>5</v>
      </c>
      <c r="B61" s="176" t="s">
        <v>463</v>
      </c>
      <c r="C61" s="176">
        <f>data!C317</f>
        <v>307139410.11000001</v>
      </c>
    </row>
    <row r="62" spans="1:3" ht="20.100000000000001" customHeight="1" x14ac:dyDescent="0.25">
      <c r="A62" s="174">
        <v>6</v>
      </c>
      <c r="B62" s="176" t="s">
        <v>930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931</v>
      </c>
      <c r="C63" s="176">
        <f>data!C319</f>
        <v>18018538.629999999</v>
      </c>
    </row>
    <row r="64" spans="1:3" ht="20.100000000000001" customHeight="1" x14ac:dyDescent="0.25">
      <c r="A64" s="174">
        <v>8</v>
      </c>
      <c r="B64" s="176" t="s">
        <v>466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467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468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932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933</v>
      </c>
      <c r="C68" s="176">
        <f>data!D324</f>
        <v>419780836.96000004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934</v>
      </c>
      <c r="C70" s="175"/>
    </row>
    <row r="71" spans="1:3" ht="20.100000000000001" customHeight="1" x14ac:dyDescent="0.25">
      <c r="A71" s="174">
        <v>15</v>
      </c>
      <c r="B71" s="176" t="s">
        <v>472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935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474</v>
      </c>
      <c r="C73" s="176">
        <f>data!C328</f>
        <v>54810685.960000001</v>
      </c>
    </row>
    <row r="74" spans="1:3" ht="20.100000000000001" customHeight="1" x14ac:dyDescent="0.25">
      <c r="A74" s="174">
        <v>18</v>
      </c>
      <c r="B74" s="176" t="s">
        <v>936</v>
      </c>
      <c r="C74" s="176">
        <f>data!D329</f>
        <v>54810685.960000001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476</v>
      </c>
      <c r="C76" s="175"/>
    </row>
    <row r="77" spans="1:3" ht="20.100000000000001" customHeight="1" x14ac:dyDescent="0.25">
      <c r="A77" s="174">
        <v>21</v>
      </c>
      <c r="B77" s="176" t="s">
        <v>477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937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479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938</v>
      </c>
      <c r="C80" s="176">
        <f>data!C334</f>
        <v>398089275.37</v>
      </c>
    </row>
    <row r="81" spans="1:3" ht="20.100000000000001" customHeight="1" x14ac:dyDescent="0.25">
      <c r="A81" s="174">
        <v>25</v>
      </c>
      <c r="B81" s="176" t="s">
        <v>481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939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483</v>
      </c>
      <c r="C83" s="176">
        <f>data!C337</f>
        <v>62000424.309999995</v>
      </c>
    </row>
    <row r="84" spans="1:3" ht="20.100000000000001" customHeight="1" x14ac:dyDescent="0.25">
      <c r="A84" s="174">
        <v>28</v>
      </c>
      <c r="B84" s="176" t="s">
        <v>484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615</v>
      </c>
      <c r="C85" s="176">
        <f>data!D339</f>
        <v>460089699.68000001</v>
      </c>
    </row>
    <row r="86" spans="1:3" ht="20.100000000000001" customHeight="1" x14ac:dyDescent="0.25">
      <c r="A86" s="174">
        <v>30</v>
      </c>
      <c r="B86" s="176" t="s">
        <v>940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941</v>
      </c>
      <c r="C87" s="176">
        <f>data!D341</f>
        <v>460089699.68000001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942</v>
      </c>
      <c r="C89" s="176">
        <f>data!C343</f>
        <v>343693283.73000002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943</v>
      </c>
      <c r="C91" s="175"/>
    </row>
    <row r="92" spans="1:3" ht="20.100000000000001" customHeight="1" x14ac:dyDescent="0.25">
      <c r="A92" s="174">
        <v>36</v>
      </c>
      <c r="B92" s="176" t="s">
        <v>488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489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944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945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946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947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948</v>
      </c>
      <c r="C102" s="176">
        <f>data!C343+data!C345+data!C346+data!C347+data!C348-data!C349</f>
        <v>343693283.73000002</v>
      </c>
    </row>
    <row r="103" spans="1:3" ht="20.100000000000001" customHeight="1" x14ac:dyDescent="0.25">
      <c r="A103" s="174">
        <v>47</v>
      </c>
      <c r="B103" s="176" t="s">
        <v>949</v>
      </c>
      <c r="C103" s="176">
        <f>data!D352</f>
        <v>1278374506.3299999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950</v>
      </c>
      <c r="B106" s="169"/>
      <c r="C106" s="169"/>
    </row>
    <row r="107" spans="1:3" ht="20.100000000000001" customHeight="1" x14ac:dyDescent="0.25">
      <c r="A107" s="170"/>
      <c r="C107" s="94" t="s">
        <v>951</v>
      </c>
    </row>
    <row r="108" spans="1:3" ht="20.100000000000001" customHeight="1" x14ac:dyDescent="0.25">
      <c r="A108" s="120" t="str">
        <f>"Hospital: "&amp;data!C98</f>
        <v>Hospital: Virginia Mason Medical Center</v>
      </c>
      <c r="B108" s="170"/>
      <c r="C108" s="142" t="str">
        <f>"FYE: "&amp;data!C96</f>
        <v>FYE: 06/30/2024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952</v>
      </c>
      <c r="C110" s="175"/>
    </row>
    <row r="111" spans="1:3" ht="20.100000000000001" customHeight="1" x14ac:dyDescent="0.25">
      <c r="A111" s="174">
        <v>2</v>
      </c>
      <c r="B111" s="176" t="s">
        <v>497</v>
      </c>
      <c r="C111" s="176">
        <f>data!C358</f>
        <v>1144065048.29</v>
      </c>
    </row>
    <row r="112" spans="1:3" ht="20.100000000000001" customHeight="1" x14ac:dyDescent="0.25">
      <c r="A112" s="174">
        <v>3</v>
      </c>
      <c r="B112" s="176" t="s">
        <v>498</v>
      </c>
      <c r="C112" s="176">
        <f>data!C359</f>
        <v>2423840824.6599998</v>
      </c>
    </row>
    <row r="113" spans="1:3" ht="20.100000000000001" customHeight="1" x14ac:dyDescent="0.25">
      <c r="A113" s="174">
        <v>4</v>
      </c>
      <c r="B113" s="176" t="s">
        <v>953</v>
      </c>
      <c r="C113" s="176">
        <f>data!D360</f>
        <v>3567905872.9499998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954</v>
      </c>
      <c r="C115" s="175"/>
    </row>
    <row r="116" spans="1:3" ht="20.100000000000001" customHeight="1" x14ac:dyDescent="0.25">
      <c r="A116" s="174">
        <v>7</v>
      </c>
      <c r="B116" s="188" t="s">
        <v>955</v>
      </c>
      <c r="C116" s="189">
        <f>data!C362</f>
        <v>22963864.82</v>
      </c>
    </row>
    <row r="117" spans="1:3" ht="20.100000000000001" customHeight="1" x14ac:dyDescent="0.25">
      <c r="A117" s="174">
        <v>8</v>
      </c>
      <c r="B117" s="176" t="s">
        <v>501</v>
      </c>
      <c r="C117" s="189">
        <f>data!C363</f>
        <v>2294209036.9900002</v>
      </c>
    </row>
    <row r="118" spans="1:3" ht="20.100000000000001" customHeight="1" x14ac:dyDescent="0.25">
      <c r="A118" s="174">
        <v>9</v>
      </c>
      <c r="B118" s="176" t="s">
        <v>956</v>
      </c>
      <c r="C118" s="189">
        <f>data!C364</f>
        <v>20933591.829999998</v>
      </c>
    </row>
    <row r="119" spans="1:3" ht="20.100000000000001" customHeight="1" x14ac:dyDescent="0.25">
      <c r="A119" s="174">
        <v>10</v>
      </c>
      <c r="B119" s="176" t="s">
        <v>957</v>
      </c>
      <c r="C119" s="189">
        <f>data!C365</f>
        <v>47534577.079999998</v>
      </c>
    </row>
    <row r="120" spans="1:3" ht="20.100000000000001" customHeight="1" x14ac:dyDescent="0.25">
      <c r="A120" s="174">
        <v>11</v>
      </c>
      <c r="B120" s="176" t="s">
        <v>901</v>
      </c>
      <c r="C120" s="189">
        <f>data!D366</f>
        <v>2385641070.7200003</v>
      </c>
    </row>
    <row r="121" spans="1:3" ht="20.100000000000001" customHeight="1" x14ac:dyDescent="0.25">
      <c r="A121" s="174">
        <v>12</v>
      </c>
      <c r="B121" s="176" t="s">
        <v>958</v>
      </c>
      <c r="C121" s="189">
        <f>data!D367</f>
        <v>1182264802.2299995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505</v>
      </c>
      <c r="C123" s="175"/>
    </row>
    <row r="124" spans="1:3" ht="20.100000000000001" customHeight="1" x14ac:dyDescent="0.25">
      <c r="A124" s="174">
        <v>15</v>
      </c>
      <c r="B124" s="190" t="s">
        <v>506</v>
      </c>
      <c r="C124" s="191"/>
    </row>
    <row r="125" spans="1:3" ht="20.100000000000001" customHeight="1" x14ac:dyDescent="0.25">
      <c r="A125" s="195" t="s">
        <v>959</v>
      </c>
      <c r="B125" s="192" t="s">
        <v>507</v>
      </c>
      <c r="C125" s="191">
        <f>data!C370</f>
        <v>8101224.2000000002</v>
      </c>
    </row>
    <row r="126" spans="1:3" ht="20.100000000000001" customHeight="1" x14ac:dyDescent="0.25">
      <c r="A126" s="195" t="s">
        <v>960</v>
      </c>
      <c r="B126" s="192" t="s">
        <v>508</v>
      </c>
      <c r="C126" s="191">
        <f>data!C371</f>
        <v>12076043.76</v>
      </c>
    </row>
    <row r="127" spans="1:3" ht="20.100000000000001" customHeight="1" x14ac:dyDescent="0.25">
      <c r="A127" s="195" t="s">
        <v>961</v>
      </c>
      <c r="B127" s="192" t="s">
        <v>509</v>
      </c>
      <c r="C127" s="191">
        <f>data!C372</f>
        <v>13085038.560000001</v>
      </c>
    </row>
    <row r="128" spans="1:3" ht="20.100000000000001" customHeight="1" x14ac:dyDescent="0.25">
      <c r="A128" s="195" t="s">
        <v>962</v>
      </c>
      <c r="B128" s="192" t="s">
        <v>510</v>
      </c>
      <c r="C128" s="191">
        <f>data!C373</f>
        <v>0</v>
      </c>
    </row>
    <row r="129" spans="1:3" ht="20.100000000000001" customHeight="1" x14ac:dyDescent="0.25">
      <c r="A129" s="195" t="s">
        <v>963</v>
      </c>
      <c r="B129" s="192" t="s">
        <v>511</v>
      </c>
      <c r="C129" s="191">
        <f>data!C374</f>
        <v>10171085.120000001</v>
      </c>
    </row>
    <row r="130" spans="1:3" ht="20.100000000000001" customHeight="1" x14ac:dyDescent="0.25">
      <c r="A130" s="195" t="s">
        <v>964</v>
      </c>
      <c r="B130" s="192" t="s">
        <v>512</v>
      </c>
      <c r="C130" s="191">
        <f>data!C375</f>
        <v>3520532.42</v>
      </c>
    </row>
    <row r="131" spans="1:3" ht="20.100000000000001" customHeight="1" x14ac:dyDescent="0.25">
      <c r="A131" s="195" t="s">
        <v>965</v>
      </c>
      <c r="B131" s="192" t="s">
        <v>513</v>
      </c>
      <c r="C131" s="191">
        <f>data!C376</f>
        <v>12094637.42</v>
      </c>
    </row>
    <row r="132" spans="1:3" ht="20.100000000000001" customHeight="1" x14ac:dyDescent="0.25">
      <c r="A132" s="195" t="s">
        <v>966</v>
      </c>
      <c r="B132" s="192" t="s">
        <v>514</v>
      </c>
      <c r="C132" s="191">
        <f>data!C377</f>
        <v>0</v>
      </c>
    </row>
    <row r="133" spans="1:3" ht="20.100000000000001" customHeight="1" x14ac:dyDescent="0.25">
      <c r="A133" s="195" t="s">
        <v>967</v>
      </c>
      <c r="B133" s="192" t="s">
        <v>515</v>
      </c>
      <c r="C133" s="191">
        <f>data!C378</f>
        <v>3490861.96</v>
      </c>
    </row>
    <row r="134" spans="1:3" ht="20.100000000000001" customHeight="1" x14ac:dyDescent="0.25">
      <c r="A134" s="195" t="s">
        <v>968</v>
      </c>
      <c r="B134" s="192" t="s">
        <v>516</v>
      </c>
      <c r="C134" s="191">
        <f>data!C379</f>
        <v>2922756.3</v>
      </c>
    </row>
    <row r="135" spans="1:3" ht="20.100000000000001" customHeight="1" x14ac:dyDescent="0.25">
      <c r="A135" s="195" t="s">
        <v>969</v>
      </c>
      <c r="B135" s="192" t="s">
        <v>517</v>
      </c>
      <c r="C135" s="191">
        <f>data!C380</f>
        <v>14722423.169999998</v>
      </c>
    </row>
    <row r="136" spans="1:3" ht="20.100000000000001" customHeight="1" x14ac:dyDescent="0.25">
      <c r="A136" s="174">
        <v>16</v>
      </c>
      <c r="B136" s="176" t="s">
        <v>519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970</v>
      </c>
      <c r="C137" s="189">
        <f>data!D383</f>
        <v>80184602.909999996</v>
      </c>
    </row>
    <row r="138" spans="1:3" ht="20.100000000000001" customHeight="1" x14ac:dyDescent="0.25">
      <c r="A138" s="174">
        <v>18</v>
      </c>
      <c r="B138" s="176" t="s">
        <v>971</v>
      </c>
      <c r="C138" s="189">
        <f>data!D384</f>
        <v>1262449405.1399996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972</v>
      </c>
      <c r="C140" s="175"/>
    </row>
    <row r="141" spans="1:3" ht="20.100000000000001" customHeight="1" x14ac:dyDescent="0.25">
      <c r="A141" s="174">
        <v>21</v>
      </c>
      <c r="B141" s="176" t="s">
        <v>523</v>
      </c>
      <c r="C141" s="189">
        <f>data!C389</f>
        <v>593625568.71000004</v>
      </c>
    </row>
    <row r="142" spans="1:3" ht="20.100000000000001" customHeight="1" x14ac:dyDescent="0.25">
      <c r="A142" s="174">
        <v>22</v>
      </c>
      <c r="B142" s="176" t="s">
        <v>11</v>
      </c>
      <c r="C142" s="189">
        <f>data!C390</f>
        <v>83177104.599999994</v>
      </c>
    </row>
    <row r="143" spans="1:3" ht="20.100000000000001" customHeight="1" x14ac:dyDescent="0.25">
      <c r="A143" s="174">
        <v>23</v>
      </c>
      <c r="B143" s="176" t="s">
        <v>264</v>
      </c>
      <c r="C143" s="189">
        <f>data!C391</f>
        <v>8054165.79</v>
      </c>
    </row>
    <row r="144" spans="1:3" ht="20.100000000000001" customHeight="1" x14ac:dyDescent="0.25">
      <c r="A144" s="174">
        <v>24</v>
      </c>
      <c r="B144" s="176" t="s">
        <v>265</v>
      </c>
      <c r="C144" s="189">
        <f>data!C392</f>
        <v>268611612.67000002</v>
      </c>
    </row>
    <row r="145" spans="1:3" ht="20.100000000000001" customHeight="1" x14ac:dyDescent="0.25">
      <c r="A145" s="174">
        <v>25</v>
      </c>
      <c r="B145" s="176" t="s">
        <v>973</v>
      </c>
      <c r="C145" s="189">
        <f>data!C393</f>
        <v>14862304.039999999</v>
      </c>
    </row>
    <row r="146" spans="1:3" ht="20.100000000000001" customHeight="1" x14ac:dyDescent="0.25">
      <c r="A146" s="174">
        <v>26</v>
      </c>
      <c r="B146" s="176" t="s">
        <v>974</v>
      </c>
      <c r="C146" s="189">
        <f>data!C394</f>
        <v>63143309.480000012</v>
      </c>
    </row>
    <row r="147" spans="1:3" ht="20.100000000000001" customHeight="1" x14ac:dyDescent="0.25">
      <c r="A147" s="174">
        <v>27</v>
      </c>
      <c r="B147" s="176" t="s">
        <v>16</v>
      </c>
      <c r="C147" s="189">
        <f>data!C395</f>
        <v>32152302.289999999</v>
      </c>
    </row>
    <row r="148" spans="1:3" ht="20.100000000000001" customHeight="1" x14ac:dyDescent="0.25">
      <c r="A148" s="174">
        <v>28</v>
      </c>
      <c r="B148" s="176" t="s">
        <v>975</v>
      </c>
      <c r="C148" s="189">
        <f>data!C396</f>
        <v>18537753.920000002</v>
      </c>
    </row>
    <row r="149" spans="1:3" ht="20.100000000000001" customHeight="1" x14ac:dyDescent="0.25">
      <c r="A149" s="174">
        <v>29</v>
      </c>
      <c r="B149" s="176" t="s">
        <v>528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976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530</v>
      </c>
      <c r="C151" s="189">
        <f>data!C399</f>
        <v>13577874.4</v>
      </c>
    </row>
    <row r="152" spans="1:3" ht="20.100000000000001" customHeight="1" x14ac:dyDescent="0.25">
      <c r="A152" s="174">
        <v>32</v>
      </c>
      <c r="B152" s="176" t="s">
        <v>269</v>
      </c>
      <c r="C152" s="189"/>
    </row>
    <row r="153" spans="1:3" ht="20.100000000000001" customHeight="1" x14ac:dyDescent="0.25">
      <c r="A153" s="195" t="s">
        <v>977</v>
      </c>
      <c r="B153" s="193" t="s">
        <v>270</v>
      </c>
      <c r="C153" s="189">
        <f>data!C401</f>
        <v>3502306.95</v>
      </c>
    </row>
    <row r="154" spans="1:3" ht="20.100000000000001" customHeight="1" x14ac:dyDescent="0.25">
      <c r="A154" s="195" t="s">
        <v>978</v>
      </c>
      <c r="B154" s="193" t="s">
        <v>271</v>
      </c>
      <c r="C154" s="189">
        <f>data!C402</f>
        <v>76932759.329999998</v>
      </c>
    </row>
    <row r="155" spans="1:3" ht="20.100000000000001" customHeight="1" x14ac:dyDescent="0.25">
      <c r="A155" s="195" t="s">
        <v>979</v>
      </c>
      <c r="B155" s="193" t="s">
        <v>980</v>
      </c>
      <c r="C155" s="189">
        <f>data!C403</f>
        <v>0</v>
      </c>
    </row>
    <row r="156" spans="1:3" ht="20.100000000000001" customHeight="1" x14ac:dyDescent="0.25">
      <c r="A156" s="195" t="s">
        <v>981</v>
      </c>
      <c r="B156" s="193" t="s">
        <v>273</v>
      </c>
      <c r="C156" s="189">
        <f>data!C404</f>
        <v>8055204.9299999997</v>
      </c>
    </row>
    <row r="157" spans="1:3" ht="20.100000000000001" customHeight="1" x14ac:dyDescent="0.25">
      <c r="A157" s="195" t="s">
        <v>982</v>
      </c>
      <c r="B157" s="193" t="s">
        <v>274</v>
      </c>
      <c r="C157" s="189">
        <f>data!C405</f>
        <v>2931571.38</v>
      </c>
    </row>
    <row r="158" spans="1:3" ht="20.100000000000001" customHeight="1" x14ac:dyDescent="0.25">
      <c r="A158" s="195" t="s">
        <v>983</v>
      </c>
      <c r="B158" s="193" t="s">
        <v>275</v>
      </c>
      <c r="C158" s="189">
        <f>data!C406</f>
        <v>1760271.5</v>
      </c>
    </row>
    <row r="159" spans="1:3" ht="20.100000000000001" customHeight="1" x14ac:dyDescent="0.25">
      <c r="A159" s="195" t="s">
        <v>984</v>
      </c>
      <c r="B159" s="193" t="s">
        <v>276</v>
      </c>
      <c r="C159" s="189">
        <f>data!C407</f>
        <v>8416598.2400000002</v>
      </c>
    </row>
    <row r="160" spans="1:3" ht="20.100000000000001" customHeight="1" x14ac:dyDescent="0.25">
      <c r="A160" s="195" t="s">
        <v>985</v>
      </c>
      <c r="B160" s="193" t="s">
        <v>277</v>
      </c>
      <c r="C160" s="189">
        <f>data!C408</f>
        <v>33334454.460000001</v>
      </c>
    </row>
    <row r="161" spans="1:5" ht="20.100000000000001" customHeight="1" x14ac:dyDescent="0.25">
      <c r="A161" s="195" t="s">
        <v>986</v>
      </c>
      <c r="B161" s="193" t="s">
        <v>278</v>
      </c>
      <c r="C161" s="189">
        <f>data!C409</f>
        <v>0</v>
      </c>
    </row>
    <row r="162" spans="1:5" ht="20.100000000000001" customHeight="1" x14ac:dyDescent="0.25">
      <c r="A162" s="195" t="s">
        <v>987</v>
      </c>
      <c r="B162" s="193" t="s">
        <v>279</v>
      </c>
      <c r="C162" s="189">
        <f>data!C410</f>
        <v>84556.56</v>
      </c>
    </row>
    <row r="163" spans="1:5" ht="20.100000000000001" customHeight="1" x14ac:dyDescent="0.25">
      <c r="A163" s="195" t="s">
        <v>988</v>
      </c>
      <c r="B163" s="193" t="s">
        <v>280</v>
      </c>
      <c r="C163" s="189">
        <f>data!C411</f>
        <v>912667.62</v>
      </c>
    </row>
    <row r="164" spans="1:5" ht="20.100000000000001" customHeight="1" x14ac:dyDescent="0.25">
      <c r="A164" s="195" t="s">
        <v>989</v>
      </c>
      <c r="B164" s="193" t="s">
        <v>281</v>
      </c>
      <c r="C164" s="189">
        <f>data!C412</f>
        <v>42232198.380000003</v>
      </c>
    </row>
    <row r="165" spans="1:5" ht="20.100000000000001" customHeight="1" x14ac:dyDescent="0.25">
      <c r="A165" s="195" t="s">
        <v>990</v>
      </c>
      <c r="B165" s="193" t="s">
        <v>282</v>
      </c>
      <c r="C165" s="189">
        <f>data!C413</f>
        <v>0</v>
      </c>
    </row>
    <row r="166" spans="1:5" ht="20.100000000000001" customHeight="1" x14ac:dyDescent="0.25">
      <c r="A166" s="195" t="s">
        <v>991</v>
      </c>
      <c r="B166" s="193" t="s">
        <v>992</v>
      </c>
      <c r="C166" s="189">
        <f>data!C414</f>
        <v>23216656.649999857</v>
      </c>
      <c r="E166" s="12">
        <f>SUM(C153:C166)</f>
        <v>201379245.99999985</v>
      </c>
    </row>
    <row r="167" spans="1:5" ht="20.100000000000001" customHeight="1" x14ac:dyDescent="0.25">
      <c r="A167" s="174">
        <v>34</v>
      </c>
      <c r="B167" s="176" t="s">
        <v>993</v>
      </c>
      <c r="C167" s="189">
        <f>data!D416</f>
        <v>1297121241.8999999</v>
      </c>
    </row>
    <row r="168" spans="1:5" ht="20.100000000000001" customHeight="1" x14ac:dyDescent="0.25">
      <c r="A168" s="174">
        <v>35</v>
      </c>
      <c r="B168" s="176" t="s">
        <v>994</v>
      </c>
      <c r="C168" s="189">
        <f>data!D417</f>
        <v>-34671836.760000229</v>
      </c>
    </row>
    <row r="169" spans="1:5" ht="20.100000000000001" customHeight="1" x14ac:dyDescent="0.25">
      <c r="A169" s="174">
        <v>36</v>
      </c>
      <c r="B169" s="178"/>
      <c r="C169" s="176"/>
    </row>
    <row r="170" spans="1:5" ht="20.100000000000001" customHeight="1" x14ac:dyDescent="0.25">
      <c r="A170" s="174">
        <v>37</v>
      </c>
      <c r="B170" s="176" t="s">
        <v>995</v>
      </c>
      <c r="C170" s="189">
        <f>data!D420</f>
        <v>9723443.0099999998</v>
      </c>
    </row>
    <row r="171" spans="1:5" ht="20.100000000000001" customHeight="1" x14ac:dyDescent="0.25">
      <c r="A171" s="174">
        <v>38</v>
      </c>
      <c r="B171" s="178"/>
      <c r="C171" s="176"/>
    </row>
    <row r="172" spans="1:5" ht="20.100000000000001" customHeight="1" x14ac:dyDescent="0.25">
      <c r="A172" s="174">
        <v>39</v>
      </c>
      <c r="B172" s="176" t="s">
        <v>996</v>
      </c>
      <c r="C172" s="176">
        <f>data!D421</f>
        <v>-24948393.750000231</v>
      </c>
    </row>
    <row r="173" spans="1:5" ht="20.100000000000001" customHeight="1" x14ac:dyDescent="0.25">
      <c r="A173" s="174">
        <v>40</v>
      </c>
      <c r="B173" s="178"/>
      <c r="C173" s="176"/>
    </row>
    <row r="174" spans="1:5" ht="20.100000000000001" customHeight="1" x14ac:dyDescent="0.25">
      <c r="A174" s="174">
        <v>41</v>
      </c>
      <c r="B174" s="176" t="s">
        <v>997</v>
      </c>
      <c r="C174" s="189">
        <f>data!C422</f>
        <v>0</v>
      </c>
    </row>
    <row r="175" spans="1:5" ht="20.100000000000001" customHeight="1" x14ac:dyDescent="0.25">
      <c r="A175" s="174">
        <v>42</v>
      </c>
      <c r="B175" s="176" t="s">
        <v>998</v>
      </c>
      <c r="C175" s="189">
        <f>data!C423</f>
        <v>0</v>
      </c>
    </row>
    <row r="176" spans="1:5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999</v>
      </c>
      <c r="C177" s="189">
        <f>data!D424</f>
        <v>-24948393.750000231</v>
      </c>
    </row>
    <row r="178" spans="1:3" ht="20.100000000000001" customHeight="1" x14ac:dyDescent="0.25">
      <c r="A178" s="179">
        <v>45</v>
      </c>
      <c r="B178" s="178" t="s">
        <v>1000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43" zoomScale="65" workbookViewId="0">
      <selection activeCell="J378" sqref="J378"/>
    </sheetView>
  </sheetViews>
  <sheetFormatPr defaultColWidth="8.88671875" defaultRowHeight="20.100000000000001" customHeight="1" x14ac:dyDescent="0.2"/>
  <cols>
    <col min="1" max="1" width="5.77734375" style="281" customWidth="1"/>
    <col min="2" max="2" width="22.44140625" style="281" customWidth="1"/>
    <col min="3" max="8" width="13.77734375" style="281" customWidth="1"/>
    <col min="9" max="9" width="15.77734375" style="281" customWidth="1"/>
    <col min="10" max="13" width="8.88671875" style="281" customWidth="1"/>
    <col min="14" max="16384" width="8.88671875" style="281"/>
  </cols>
  <sheetData>
    <row r="1" spans="1:9" customFormat="1" ht="20.100000000000001" customHeight="1" x14ac:dyDescent="0.2">
      <c r="A1" s="282" t="s">
        <v>1001</v>
      </c>
      <c r="B1" s="283"/>
      <c r="C1" s="283"/>
      <c r="D1" s="283"/>
      <c r="E1" s="283"/>
      <c r="F1" s="283"/>
      <c r="G1" s="283"/>
      <c r="H1" s="283"/>
    </row>
    <row r="2" spans="1:9" customFormat="1" ht="20.100000000000001" customHeight="1" x14ac:dyDescent="0.2">
      <c r="A2" s="284"/>
      <c r="I2" s="285" t="s">
        <v>1002</v>
      </c>
    </row>
    <row r="3" spans="1:9" customFormat="1" ht="20.100000000000001" customHeight="1" x14ac:dyDescent="0.2">
      <c r="A3" s="284"/>
      <c r="I3" s="284"/>
    </row>
    <row r="4" spans="1:9" customFormat="1" ht="20.100000000000001" customHeight="1" x14ac:dyDescent="0.2">
      <c r="A4" s="286" t="str">
        <f>"Hospital: "&amp;data!C98</f>
        <v>Hospital: Virginia Mason Medical Center</v>
      </c>
      <c r="G4" s="287"/>
      <c r="H4" s="286" t="str">
        <f>"FYE: "&amp;data!C96</f>
        <v>FYE: 06/30/2024</v>
      </c>
    </row>
    <row r="5" spans="1:9" customFormat="1" ht="20.100000000000001" customHeight="1" x14ac:dyDescent="0.2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00000000000001" customHeight="1" x14ac:dyDescent="0.2">
      <c r="A6" s="292">
        <v>2</v>
      </c>
      <c r="B6" s="293" t="s">
        <v>1003</v>
      </c>
      <c r="C6" s="294" t="s">
        <v>118</v>
      </c>
      <c r="D6" s="295" t="s">
        <v>1004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00000000000001" customHeight="1" x14ac:dyDescent="0.2">
      <c r="A7" s="292"/>
      <c r="B7" s="293"/>
      <c r="C7" s="295" t="s">
        <v>190</v>
      </c>
      <c r="D7" s="295" t="s">
        <v>1005</v>
      </c>
      <c r="E7" s="295" t="s">
        <v>190</v>
      </c>
      <c r="F7" s="295" t="s">
        <v>1006</v>
      </c>
      <c r="G7" s="295" t="s">
        <v>192</v>
      </c>
      <c r="H7" s="295" t="s">
        <v>190</v>
      </c>
      <c r="I7" s="295" t="s">
        <v>193</v>
      </c>
    </row>
    <row r="8" spans="1:9" customFormat="1" ht="20.100000000000001" customHeight="1" x14ac:dyDescent="0.2">
      <c r="A8" s="288">
        <v>3</v>
      </c>
      <c r="B8" s="289" t="s">
        <v>1007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00000000000001" customHeight="1" x14ac:dyDescent="0.2">
      <c r="A9" s="288">
        <v>4</v>
      </c>
      <c r="B9" s="289" t="s">
        <v>261</v>
      </c>
      <c r="C9" s="289">
        <f>data!C59</f>
        <v>6847</v>
      </c>
      <c r="D9" s="289">
        <f>data!D59</f>
        <v>0</v>
      </c>
      <c r="E9" s="289">
        <f>data!E59</f>
        <v>54379</v>
      </c>
      <c r="F9" s="289">
        <f>data!F59</f>
        <v>2062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00000000000001" customHeight="1" x14ac:dyDescent="0.2">
      <c r="A10" s="288">
        <v>5</v>
      </c>
      <c r="B10" s="289" t="s">
        <v>262</v>
      </c>
      <c r="C10" s="296">
        <f>data!C60</f>
        <v>73.619172602739724</v>
      </c>
      <c r="D10" s="296">
        <f>data!D60</f>
        <v>0</v>
      </c>
      <c r="E10" s="296">
        <f>data!E60</f>
        <v>340.69677465753432</v>
      </c>
      <c r="F10" s="296">
        <f>data!F60</f>
        <v>32.421784931506849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00000000000001" customHeight="1" x14ac:dyDescent="0.2">
      <c r="A11" s="288">
        <v>6</v>
      </c>
      <c r="B11" s="289" t="s">
        <v>263</v>
      </c>
      <c r="C11" s="289">
        <f>data!C61</f>
        <v>9528143.9900000002</v>
      </c>
      <c r="D11" s="289">
        <f>data!D61</f>
        <v>0</v>
      </c>
      <c r="E11" s="289">
        <f>data!E61</f>
        <v>41321232.74000001</v>
      </c>
      <c r="F11" s="289">
        <f>data!F61</f>
        <v>4561001.12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00000000000001" customHeight="1" x14ac:dyDescent="0.2">
      <c r="A12" s="288">
        <v>7</v>
      </c>
      <c r="B12" s="289" t="s">
        <v>11</v>
      </c>
      <c r="C12" s="289">
        <f>data!C62</f>
        <v>2228607</v>
      </c>
      <c r="D12" s="289">
        <f>data!D62</f>
        <v>0</v>
      </c>
      <c r="E12" s="289">
        <f>data!E62</f>
        <v>9545419</v>
      </c>
      <c r="F12" s="289">
        <f>data!F62</f>
        <v>333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00000000000001" customHeight="1" x14ac:dyDescent="0.2">
      <c r="A13" s="288">
        <v>8</v>
      </c>
      <c r="B13" s="289" t="s">
        <v>264</v>
      </c>
      <c r="C13" s="289">
        <f>data!C63</f>
        <v>0</v>
      </c>
      <c r="D13" s="289">
        <f>data!D63</f>
        <v>0</v>
      </c>
      <c r="E13" s="289">
        <f>data!E63</f>
        <v>0</v>
      </c>
      <c r="F13" s="289">
        <f>data!F63</f>
        <v>0</v>
      </c>
      <c r="G13" s="289">
        <f>data!G63</f>
        <v>0</v>
      </c>
      <c r="H13" s="289">
        <f>data!H63</f>
        <v>0</v>
      </c>
      <c r="I13" s="289">
        <f>data!I63</f>
        <v>0</v>
      </c>
    </row>
    <row r="14" spans="1:9" customFormat="1" ht="20.100000000000001" customHeight="1" x14ac:dyDescent="0.2">
      <c r="A14" s="288">
        <v>9</v>
      </c>
      <c r="B14" s="289" t="s">
        <v>265</v>
      </c>
      <c r="C14" s="289">
        <f>data!C64</f>
        <v>2742946.25</v>
      </c>
      <c r="D14" s="289">
        <f>data!D64</f>
        <v>0</v>
      </c>
      <c r="E14" s="289">
        <f>data!E64</f>
        <v>3977612.7300000018</v>
      </c>
      <c r="F14" s="289">
        <f>data!F64</f>
        <v>358482.48999999993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00000000000001" customHeight="1" x14ac:dyDescent="0.2">
      <c r="A15" s="288">
        <v>10</v>
      </c>
      <c r="B15" s="289" t="s">
        <v>525</v>
      </c>
      <c r="C15" s="289">
        <f>data!C65</f>
        <v>10.07</v>
      </c>
      <c r="D15" s="289">
        <f>data!D65</f>
        <v>0</v>
      </c>
      <c r="E15" s="289">
        <f>data!E65</f>
        <v>-166.95000000000002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00000000000001" customHeight="1" x14ac:dyDescent="0.2">
      <c r="A16" s="288">
        <v>11</v>
      </c>
      <c r="B16" s="289" t="s">
        <v>526</v>
      </c>
      <c r="C16" s="289">
        <f>data!C66</f>
        <v>90811.04</v>
      </c>
      <c r="D16" s="289">
        <f>data!D66</f>
        <v>0</v>
      </c>
      <c r="E16" s="289">
        <f>data!E66</f>
        <v>990134.23</v>
      </c>
      <c r="F16" s="289">
        <f>data!F66</f>
        <v>1992.76</v>
      </c>
      <c r="G16" s="289">
        <f>data!G66</f>
        <v>0</v>
      </c>
      <c r="H16" s="289">
        <f>data!H66</f>
        <v>0</v>
      </c>
      <c r="I16" s="289">
        <f>data!I66</f>
        <v>0</v>
      </c>
    </row>
    <row r="17" spans="1:9" customFormat="1" ht="20.100000000000001" customHeight="1" x14ac:dyDescent="0.2">
      <c r="A17" s="288">
        <v>12</v>
      </c>
      <c r="B17" s="289" t="s">
        <v>16</v>
      </c>
      <c r="C17" s="289">
        <f>data!C67</f>
        <v>263368</v>
      </c>
      <c r="D17" s="289">
        <f>data!D67</f>
        <v>0</v>
      </c>
      <c r="E17" s="289">
        <f>data!E67</f>
        <v>447006</v>
      </c>
      <c r="F17" s="289">
        <f>data!F67</f>
        <v>1126217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00000000000001" customHeight="1" x14ac:dyDescent="0.2">
      <c r="A18" s="288">
        <v>13</v>
      </c>
      <c r="B18" s="289" t="s">
        <v>1008</v>
      </c>
      <c r="C18" s="289">
        <f>data!C68</f>
        <v>1065647.2</v>
      </c>
      <c r="D18" s="289">
        <f>data!D68</f>
        <v>0</v>
      </c>
      <c r="E18" s="289">
        <f>data!E68</f>
        <v>7278604.9899999993</v>
      </c>
      <c r="F18" s="289">
        <f>data!F68</f>
        <v>642812.89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00000000000001" customHeight="1" x14ac:dyDescent="0.2">
      <c r="A19" s="288">
        <v>14</v>
      </c>
      <c r="B19" s="289" t="s">
        <v>1009</v>
      </c>
      <c r="C19" s="289">
        <f>data!C69</f>
        <v>6551267.4000000004</v>
      </c>
      <c r="D19" s="289">
        <f>data!D69</f>
        <v>0</v>
      </c>
      <c r="E19" s="289">
        <f>data!E69</f>
        <v>26142781.429999992</v>
      </c>
      <c r="F19" s="289">
        <f>data!F69</f>
        <v>1461898.74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00000000000001" customHeight="1" x14ac:dyDescent="0.2">
      <c r="A20" s="288">
        <v>15</v>
      </c>
      <c r="B20" s="289" t="s">
        <v>284</v>
      </c>
      <c r="C20" s="289">
        <f>-data!C84</f>
        <v>-4187</v>
      </c>
      <c r="D20" s="289">
        <f>-data!D84</f>
        <v>0</v>
      </c>
      <c r="E20" s="289">
        <f>-data!E84</f>
        <v>-10878.23</v>
      </c>
      <c r="F20" s="289">
        <f>-data!F84</f>
        <v>-908039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00000000000001" customHeight="1" x14ac:dyDescent="0.2">
      <c r="A21" s="288">
        <v>16</v>
      </c>
      <c r="B21" s="297" t="s">
        <v>1010</v>
      </c>
      <c r="C21" s="289">
        <f>data!C85</f>
        <v>22466613.949999999</v>
      </c>
      <c r="D21" s="289">
        <f>data!D85</f>
        <v>0</v>
      </c>
      <c r="E21" s="289">
        <f>data!E85</f>
        <v>89691745.939999998</v>
      </c>
      <c r="F21" s="289">
        <f>data!F85</f>
        <v>7244699</v>
      </c>
      <c r="G21" s="289">
        <f>data!G85</f>
        <v>0</v>
      </c>
      <c r="H21" s="289">
        <f>data!H85</f>
        <v>0</v>
      </c>
      <c r="I21" s="289">
        <f>data!I85</f>
        <v>0</v>
      </c>
    </row>
    <row r="22" spans="1:9" customFormat="1" ht="20.100000000000001" customHeight="1" x14ac:dyDescent="0.2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00000000000001" customHeight="1" x14ac:dyDescent="0.2">
      <c r="A23" s="288">
        <v>18</v>
      </c>
      <c r="B23" s="289" t="s">
        <v>1011</v>
      </c>
      <c r="C23" s="297">
        <f>+data!M668</f>
        <v>4078565</v>
      </c>
      <c r="D23" s="297">
        <f>+data!M669</f>
        <v>0</v>
      </c>
      <c r="E23" s="297">
        <f>+data!M670</f>
        <v>22287140</v>
      </c>
      <c r="F23" s="297">
        <f>+data!M671</f>
        <v>1615426</v>
      </c>
      <c r="G23" s="297">
        <f>+data!M672</f>
        <v>0</v>
      </c>
      <c r="H23" s="297">
        <f>+data!M673</f>
        <v>1150</v>
      </c>
      <c r="I23" s="297">
        <f>+data!M674</f>
        <v>0</v>
      </c>
    </row>
    <row r="24" spans="1:9" customFormat="1" ht="20.100000000000001" customHeight="1" x14ac:dyDescent="0.2">
      <c r="A24" s="288">
        <v>19</v>
      </c>
      <c r="B24" s="297" t="s">
        <v>1012</v>
      </c>
      <c r="C24" s="289">
        <f>data!C87</f>
        <v>63488989.060000002</v>
      </c>
      <c r="D24" s="289">
        <f>data!D87</f>
        <v>0</v>
      </c>
      <c r="E24" s="289">
        <f>data!E87</f>
        <v>255280984.01999998</v>
      </c>
      <c r="F24" s="289">
        <f>data!F87</f>
        <v>11691747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00000000000001" customHeight="1" x14ac:dyDescent="0.2">
      <c r="A25" s="288">
        <v>20</v>
      </c>
      <c r="B25" s="297" t="s">
        <v>1013</v>
      </c>
      <c r="C25" s="289">
        <f>data!C88</f>
        <v>12118</v>
      </c>
      <c r="D25" s="289">
        <f>data!D88</f>
        <v>0</v>
      </c>
      <c r="E25" s="289">
        <f>data!E88</f>
        <v>17428247.800000001</v>
      </c>
      <c r="F25" s="289">
        <f>data!F88</f>
        <v>394022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2">
      <c r="A26" s="288">
        <v>21</v>
      </c>
      <c r="B26" s="297" t="s">
        <v>1014</v>
      </c>
      <c r="C26" s="289">
        <f>data!C89</f>
        <v>63501107.060000002</v>
      </c>
      <c r="D26" s="289">
        <f>data!D89</f>
        <v>0</v>
      </c>
      <c r="E26" s="289">
        <f>data!E89</f>
        <v>272709231.81999999</v>
      </c>
      <c r="F26" s="289">
        <f>data!F89</f>
        <v>12085769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00000000000001" customHeight="1" x14ac:dyDescent="0.2">
      <c r="A27" s="288" t="s">
        <v>1015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00000000000001" customHeight="1" x14ac:dyDescent="0.2">
      <c r="A28" s="288">
        <v>22</v>
      </c>
      <c r="B28" s="289" t="s">
        <v>1016</v>
      </c>
      <c r="C28" s="289">
        <f>data!C90</f>
        <v>24033</v>
      </c>
      <c r="D28" s="289">
        <f>data!D90</f>
        <v>0</v>
      </c>
      <c r="E28" s="289">
        <f>data!E90</f>
        <v>129242</v>
      </c>
      <c r="F28" s="289">
        <f>data!F90</f>
        <v>15439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00000000000001" customHeight="1" x14ac:dyDescent="0.2">
      <c r="A29" s="288">
        <v>23</v>
      </c>
      <c r="B29" s="289" t="s">
        <v>1017</v>
      </c>
      <c r="C29" s="289">
        <f>data!C91</f>
        <v>10494.6</v>
      </c>
      <c r="D29" s="289">
        <f>data!D91</f>
        <v>0</v>
      </c>
      <c r="E29" s="289">
        <f>data!E91</f>
        <v>155394</v>
      </c>
      <c r="F29" s="289">
        <f>data!F91</f>
        <v>4036.2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00000000000001" customHeight="1" x14ac:dyDescent="0.2">
      <c r="A30" s="288">
        <v>24</v>
      </c>
      <c r="B30" s="289" t="s">
        <v>1018</v>
      </c>
      <c r="C30" s="289">
        <f>data!C92</f>
        <v>4551.8194999727302</v>
      </c>
      <c r="D30" s="289">
        <f>data!D92</f>
        <v>0</v>
      </c>
      <c r="E30" s="289">
        <f>data!E92</f>
        <v>24478.269704800718</v>
      </c>
      <c r="F30" s="289">
        <f>data!F92</f>
        <v>2924.1268780459773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00000000000001" customHeight="1" x14ac:dyDescent="0.2">
      <c r="A31" s="288">
        <v>25</v>
      </c>
      <c r="B31" s="289" t="s">
        <v>1019</v>
      </c>
      <c r="C31" s="289">
        <f>data!C93</f>
        <v>53037</v>
      </c>
      <c r="D31" s="289">
        <f>data!D93</f>
        <v>0</v>
      </c>
      <c r="E31" s="289">
        <f>data!E93</f>
        <v>480925</v>
      </c>
      <c r="F31" s="289">
        <f>data!F93</f>
        <v>0</v>
      </c>
      <c r="G31" s="289">
        <f>data!G93</f>
        <v>0</v>
      </c>
      <c r="H31" s="289">
        <f>data!H93</f>
        <v>1028</v>
      </c>
      <c r="I31" s="289">
        <f>data!I93</f>
        <v>0</v>
      </c>
    </row>
    <row r="32" spans="1:9" customFormat="1" ht="20.100000000000001" customHeight="1" x14ac:dyDescent="0.2">
      <c r="A32" s="288">
        <v>26</v>
      </c>
      <c r="B32" s="289" t="s">
        <v>294</v>
      </c>
      <c r="C32" s="296">
        <f>data!C94</f>
        <v>57.719953551912567</v>
      </c>
      <c r="D32" s="296">
        <f>data!D94</f>
        <v>0</v>
      </c>
      <c r="E32" s="296">
        <f>data!E94</f>
        <v>177.66505874316937</v>
      </c>
      <c r="F32" s="296">
        <f>data!F94</f>
        <v>25.868193989071038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00000000000001" customHeight="1" x14ac:dyDescent="0.2">
      <c r="A33" s="282" t="s">
        <v>1001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00000000000001" customHeight="1" x14ac:dyDescent="0.2">
      <c r="A34" s="284"/>
      <c r="I34" s="285" t="s">
        <v>1020</v>
      </c>
    </row>
    <row r="35" spans="1:9" customFormat="1" ht="20.100000000000001" customHeight="1" x14ac:dyDescent="0.2">
      <c r="A35" s="284"/>
      <c r="I35" s="284"/>
    </row>
    <row r="36" spans="1:9" customFormat="1" ht="20.100000000000001" customHeight="1" x14ac:dyDescent="0.2">
      <c r="A36" s="286" t="str">
        <f>"Hospital: "&amp;data!C98</f>
        <v>Hospital: Virginia Mason Medical Center</v>
      </c>
      <c r="G36" s="287"/>
      <c r="H36" s="286" t="str">
        <f>"FYE: "&amp;data!C96</f>
        <v>FYE: 06/30/2024</v>
      </c>
    </row>
    <row r="37" spans="1:9" customFormat="1" ht="20.100000000000001" customHeight="1" x14ac:dyDescent="0.2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00000000000001" customHeight="1" x14ac:dyDescent="0.2">
      <c r="A38" s="292">
        <v>2</v>
      </c>
      <c r="B38" s="293" t="s">
        <v>1003</v>
      </c>
      <c r="C38" s="295"/>
      <c r="D38" s="295" t="s">
        <v>126</v>
      </c>
      <c r="E38" s="295" t="s">
        <v>127</v>
      </c>
      <c r="F38" s="295" t="s">
        <v>1021</v>
      </c>
      <c r="G38" s="295" t="s">
        <v>129</v>
      </c>
      <c r="H38" s="295" t="s">
        <v>1022</v>
      </c>
      <c r="I38" s="295" t="s">
        <v>131</v>
      </c>
    </row>
    <row r="39" spans="1:9" customFormat="1" ht="20.100000000000001" customHeight="1" x14ac:dyDescent="0.2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00000000000001" customHeight="1" x14ac:dyDescent="0.2">
      <c r="A40" s="288">
        <v>3</v>
      </c>
      <c r="B40" s="289" t="s">
        <v>1007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00000000000001" customHeight="1" x14ac:dyDescent="0.2">
      <c r="A41" s="288">
        <v>4</v>
      </c>
      <c r="B41" s="289" t="s">
        <v>261</v>
      </c>
      <c r="C41" s="289">
        <f>data!J59</f>
        <v>0</v>
      </c>
      <c r="D41" s="289">
        <f>data!K59</f>
        <v>10617</v>
      </c>
      <c r="E41" s="289">
        <f>data!L59</f>
        <v>0</v>
      </c>
      <c r="F41" s="289">
        <f>data!M59</f>
        <v>0</v>
      </c>
      <c r="G41" s="289">
        <f>data!N59</f>
        <v>0</v>
      </c>
      <c r="H41" s="289">
        <f>data!O59</f>
        <v>0</v>
      </c>
      <c r="I41" s="289">
        <f>data!P59</f>
        <v>2283052</v>
      </c>
    </row>
    <row r="42" spans="1:9" customFormat="1" ht="20.100000000000001" customHeight="1" x14ac:dyDescent="0.2">
      <c r="A42" s="288">
        <v>5</v>
      </c>
      <c r="B42" s="289" t="s">
        <v>262</v>
      </c>
      <c r="C42" s="296">
        <f>data!J60</f>
        <v>0.6307191780821918</v>
      </c>
      <c r="D42" s="296">
        <f>data!K60</f>
        <v>133.25676095890415</v>
      </c>
      <c r="E42" s="296">
        <f>data!L60</f>
        <v>0</v>
      </c>
      <c r="F42" s="296">
        <f>data!M60</f>
        <v>0</v>
      </c>
      <c r="G42" s="296">
        <f>data!N60</f>
        <v>0</v>
      </c>
      <c r="H42" s="296">
        <f>data!O60</f>
        <v>0</v>
      </c>
      <c r="I42" s="296">
        <f>data!P60</f>
        <v>112.8275773972603</v>
      </c>
    </row>
    <row r="43" spans="1:9" customFormat="1" ht="20.100000000000001" customHeight="1" x14ac:dyDescent="0.2">
      <c r="A43" s="288">
        <v>6</v>
      </c>
      <c r="B43" s="289" t="s">
        <v>263</v>
      </c>
      <c r="C43" s="289">
        <f>data!J61</f>
        <v>94992.939999999988</v>
      </c>
      <c r="D43" s="289">
        <f>data!K61</f>
        <v>13087076.810000004</v>
      </c>
      <c r="E43" s="289">
        <f>data!L61</f>
        <v>0</v>
      </c>
      <c r="F43" s="289">
        <f>data!M61</f>
        <v>0</v>
      </c>
      <c r="G43" s="289">
        <f>data!N61</f>
        <v>0</v>
      </c>
      <c r="H43" s="289">
        <f>data!O61</f>
        <v>0</v>
      </c>
      <c r="I43" s="289">
        <f>data!P61</f>
        <v>14477797.370000005</v>
      </c>
    </row>
    <row r="44" spans="1:9" customFormat="1" ht="20.100000000000001" customHeight="1" x14ac:dyDescent="0.2">
      <c r="A44" s="288">
        <v>7</v>
      </c>
      <c r="B44" s="289" t="s">
        <v>11</v>
      </c>
      <c r="C44" s="289">
        <f>data!J62</f>
        <v>0</v>
      </c>
      <c r="D44" s="289">
        <f>data!K62</f>
        <v>3259375</v>
      </c>
      <c r="E44" s="289">
        <f>data!L62</f>
        <v>0</v>
      </c>
      <c r="F44" s="289">
        <f>data!M62</f>
        <v>0</v>
      </c>
      <c r="G44" s="289">
        <f>data!N62</f>
        <v>0</v>
      </c>
      <c r="H44" s="289">
        <f>data!O62</f>
        <v>0</v>
      </c>
      <c r="I44" s="289">
        <f>data!P62</f>
        <v>3354159</v>
      </c>
    </row>
    <row r="45" spans="1:9" customFormat="1" ht="20.100000000000001" customHeight="1" x14ac:dyDescent="0.2">
      <c r="A45" s="288">
        <v>8</v>
      </c>
      <c r="B45" s="289" t="s">
        <v>264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0</v>
      </c>
    </row>
    <row r="46" spans="1:9" customFormat="1" ht="20.100000000000001" customHeight="1" x14ac:dyDescent="0.2">
      <c r="A46" s="288">
        <v>9</v>
      </c>
      <c r="B46" s="289" t="s">
        <v>265</v>
      </c>
      <c r="C46" s="289">
        <f>data!J64</f>
        <v>37849.180000000008</v>
      </c>
      <c r="D46" s="289">
        <f>data!K64</f>
        <v>1280054.9300000006</v>
      </c>
      <c r="E46" s="289">
        <f>data!L64</f>
        <v>0</v>
      </c>
      <c r="F46" s="289">
        <f>data!M64</f>
        <v>0</v>
      </c>
      <c r="G46" s="289">
        <f>data!N64</f>
        <v>13786.289999999999</v>
      </c>
      <c r="H46" s="289">
        <f>data!O64</f>
        <v>0</v>
      </c>
      <c r="I46" s="289">
        <f>data!P64</f>
        <v>53748772.119999997</v>
      </c>
    </row>
    <row r="47" spans="1:9" customFormat="1" ht="20.100000000000001" customHeight="1" x14ac:dyDescent="0.2">
      <c r="A47" s="288">
        <v>10</v>
      </c>
      <c r="B47" s="289" t="s">
        <v>525</v>
      </c>
      <c r="C47" s="289">
        <f>data!J65</f>
        <v>0</v>
      </c>
      <c r="D47" s="289">
        <f>data!K65</f>
        <v>358302.11000000004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5759.86</v>
      </c>
    </row>
    <row r="48" spans="1:9" customFormat="1" ht="20.100000000000001" customHeight="1" x14ac:dyDescent="0.2">
      <c r="A48" s="288">
        <v>11</v>
      </c>
      <c r="B48" s="289" t="s">
        <v>526</v>
      </c>
      <c r="C48" s="289">
        <f>data!J66</f>
        <v>1103643.53</v>
      </c>
      <c r="D48" s="289">
        <f>data!K66</f>
        <v>604388.44000000006</v>
      </c>
      <c r="E48" s="289">
        <f>data!L66</f>
        <v>0</v>
      </c>
      <c r="F48" s="289">
        <f>data!M66</f>
        <v>0</v>
      </c>
      <c r="G48" s="289">
        <f>data!N66</f>
        <v>23.53</v>
      </c>
      <c r="H48" s="289">
        <f>data!O66</f>
        <v>0</v>
      </c>
      <c r="I48" s="289">
        <f>data!P66</f>
        <v>2798909.41</v>
      </c>
    </row>
    <row r="49" spans="1:11" customFormat="1" ht="20.100000000000001" customHeight="1" x14ac:dyDescent="0.2">
      <c r="A49" s="288">
        <v>12</v>
      </c>
      <c r="B49" s="289" t="s">
        <v>16</v>
      </c>
      <c r="C49" s="289">
        <f>data!J67</f>
        <v>0</v>
      </c>
      <c r="D49" s="289">
        <f>data!K67</f>
        <v>220061</v>
      </c>
      <c r="E49" s="289">
        <f>data!L67</f>
        <v>0</v>
      </c>
      <c r="F49" s="289">
        <f>data!M67</f>
        <v>0</v>
      </c>
      <c r="G49" s="289">
        <f>data!N67</f>
        <v>0</v>
      </c>
      <c r="H49" s="289">
        <f>data!O67</f>
        <v>0</v>
      </c>
      <c r="I49" s="289">
        <f>data!P67</f>
        <v>2670410</v>
      </c>
    </row>
    <row r="50" spans="1:11" customFormat="1" ht="20.100000000000001" customHeight="1" x14ac:dyDescent="0.2">
      <c r="A50" s="288">
        <v>13</v>
      </c>
      <c r="B50" s="289" t="s">
        <v>1008</v>
      </c>
      <c r="C50" s="289">
        <f>data!J68</f>
        <v>82520</v>
      </c>
      <c r="D50" s="289">
        <f>data!K68</f>
        <v>1049402.26</v>
      </c>
      <c r="E50" s="289">
        <f>data!L68</f>
        <v>0</v>
      </c>
      <c r="F50" s="289">
        <f>data!M68</f>
        <v>0</v>
      </c>
      <c r="G50" s="289">
        <f>data!N68</f>
        <v>1133.22</v>
      </c>
      <c r="H50" s="289">
        <f>data!O68</f>
        <v>0</v>
      </c>
      <c r="I50" s="289">
        <f>data!P68</f>
        <v>2627814.0499999998</v>
      </c>
    </row>
    <row r="51" spans="1:11" customFormat="1" ht="20.100000000000001" customHeight="1" x14ac:dyDescent="0.2">
      <c r="A51" s="288">
        <v>14</v>
      </c>
      <c r="B51" s="289" t="s">
        <v>1009</v>
      </c>
      <c r="C51" s="289">
        <f>data!J69</f>
        <v>37355.870000000003</v>
      </c>
      <c r="D51" s="289">
        <f>data!K69</f>
        <v>1450859.25</v>
      </c>
      <c r="E51" s="289">
        <f>data!L69</f>
        <v>0</v>
      </c>
      <c r="F51" s="289">
        <f>data!M69</f>
        <v>0</v>
      </c>
      <c r="G51" s="289">
        <f>data!N69</f>
        <v>-15043.849999999999</v>
      </c>
      <c r="H51" s="289">
        <f>data!O69</f>
        <v>0</v>
      </c>
      <c r="I51" s="289">
        <f>data!P69</f>
        <v>10403758.859999999</v>
      </c>
    </row>
    <row r="52" spans="1:11" customFormat="1" ht="20.100000000000001" customHeight="1" x14ac:dyDescent="0.2">
      <c r="A52" s="288">
        <v>15</v>
      </c>
      <c r="B52" s="289" t="s">
        <v>284</v>
      </c>
      <c r="C52" s="289">
        <f>-data!J84</f>
        <v>-79686.77</v>
      </c>
      <c r="D52" s="289">
        <f>-data!K84</f>
        <v>-7539317.1900000013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-414000</v>
      </c>
    </row>
    <row r="53" spans="1:11" customFormat="1" ht="20.100000000000001" customHeight="1" x14ac:dyDescent="0.2">
      <c r="A53" s="288">
        <v>16</v>
      </c>
      <c r="B53" s="297" t="s">
        <v>1010</v>
      </c>
      <c r="C53" s="289">
        <f>data!J85</f>
        <v>1276674.75</v>
      </c>
      <c r="D53" s="289">
        <f>data!K85</f>
        <v>13770202.610000007</v>
      </c>
      <c r="E53" s="289">
        <f>data!L85</f>
        <v>0</v>
      </c>
      <c r="F53" s="289">
        <f>data!M85</f>
        <v>0</v>
      </c>
      <c r="G53" s="289">
        <f>data!N85</f>
        <v>-100.80999999999949</v>
      </c>
      <c r="H53" s="289">
        <f>data!O85</f>
        <v>0</v>
      </c>
      <c r="I53" s="289">
        <f>data!P85</f>
        <v>89673380.670000002</v>
      </c>
    </row>
    <row r="54" spans="1:11" customFormat="1" ht="20.100000000000001" customHeight="1" x14ac:dyDescent="0.2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00000000000001" customHeight="1" x14ac:dyDescent="0.2">
      <c r="A55" s="288">
        <v>18</v>
      </c>
      <c r="B55" s="289" t="s">
        <v>1011</v>
      </c>
      <c r="C55" s="297">
        <f>+data!M675</f>
        <v>249398</v>
      </c>
      <c r="D55" s="297">
        <f>+data!M676</f>
        <v>693717</v>
      </c>
      <c r="E55" s="297">
        <f>+data!M691</f>
        <v>1663340</v>
      </c>
      <c r="F55" s="297">
        <f>+data!M692</f>
        <v>1233286</v>
      </c>
      <c r="G55" s="297">
        <f>+data!M693</f>
        <v>2524986</v>
      </c>
      <c r="H55" s="297">
        <f>+data!M680</f>
        <v>4394</v>
      </c>
      <c r="I55" s="297">
        <f>+data!M681</f>
        <v>21116793</v>
      </c>
    </row>
    <row r="56" spans="1:11" customFormat="1" ht="20.100000000000001" customHeight="1" x14ac:dyDescent="0.2">
      <c r="A56" s="288">
        <v>19</v>
      </c>
      <c r="B56" s="297" t="s">
        <v>1012</v>
      </c>
      <c r="C56" s="289">
        <f>data!J87</f>
        <v>4845694</v>
      </c>
      <c r="D56" s="289">
        <f>data!K87</f>
        <v>12036808.790000001</v>
      </c>
      <c r="E56" s="289">
        <f>data!L87</f>
        <v>0</v>
      </c>
      <c r="F56" s="289">
        <f>data!M87</f>
        <v>0</v>
      </c>
      <c r="G56" s="289">
        <f>data!N87</f>
        <v>0</v>
      </c>
      <c r="H56" s="289">
        <f>data!O87</f>
        <v>0</v>
      </c>
      <c r="I56" s="289">
        <f>data!P87</f>
        <v>325226667.39999998</v>
      </c>
    </row>
    <row r="57" spans="1:11" customFormat="1" ht="20.100000000000001" customHeight="1" x14ac:dyDescent="0.2">
      <c r="A57" s="288">
        <v>20</v>
      </c>
      <c r="B57" s="297" t="s">
        <v>1013</v>
      </c>
      <c r="C57" s="289">
        <f>data!J88</f>
        <v>800</v>
      </c>
      <c r="D57" s="289">
        <f>data!K88</f>
        <v>0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0</v>
      </c>
      <c r="I57" s="289">
        <f>data!P88</f>
        <v>290213861.10000002</v>
      </c>
    </row>
    <row r="58" spans="1:11" customFormat="1" ht="20.100000000000001" customHeight="1" x14ac:dyDescent="0.2">
      <c r="A58" s="288">
        <v>21</v>
      </c>
      <c r="B58" s="297" t="s">
        <v>1014</v>
      </c>
      <c r="C58" s="289">
        <f>data!J89</f>
        <v>4846494</v>
      </c>
      <c r="D58" s="289">
        <f>data!K89</f>
        <v>12036808.790000001</v>
      </c>
      <c r="E58" s="289">
        <f>data!L89</f>
        <v>0</v>
      </c>
      <c r="F58" s="289">
        <f>data!M89</f>
        <v>0</v>
      </c>
      <c r="G58" s="289">
        <f>data!N89</f>
        <v>0</v>
      </c>
      <c r="H58" s="289">
        <f>data!O89</f>
        <v>0</v>
      </c>
      <c r="I58" s="289">
        <f>data!P89</f>
        <v>615440528.5</v>
      </c>
    </row>
    <row r="59" spans="1:11" customFormat="1" ht="20.100000000000001" customHeight="1" x14ac:dyDescent="0.2">
      <c r="A59" s="288" t="s">
        <v>1015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00000000000001" customHeight="1" x14ac:dyDescent="0.25">
      <c r="A60" s="288">
        <v>22</v>
      </c>
      <c r="B60" s="289" t="s">
        <v>1016</v>
      </c>
      <c r="C60" s="289">
        <f>data!J90</f>
        <v>2058</v>
      </c>
      <c r="D60" s="289">
        <f>data!K90</f>
        <v>0</v>
      </c>
      <c r="E60" s="289">
        <f>data!L90</f>
        <v>0</v>
      </c>
      <c r="F60" s="289">
        <f>data!M90</f>
        <v>0</v>
      </c>
      <c r="G60" s="289">
        <f>data!N90</f>
        <v>0</v>
      </c>
      <c r="H60" s="289">
        <f>data!O90</f>
        <v>0</v>
      </c>
      <c r="I60" s="289">
        <f>data!P90</f>
        <v>46391</v>
      </c>
      <c r="K60" s="300"/>
    </row>
    <row r="61" spans="1:11" customFormat="1" ht="20.100000000000001" customHeight="1" x14ac:dyDescent="0.2">
      <c r="A61" s="288">
        <v>23</v>
      </c>
      <c r="B61" s="289" t="s">
        <v>1017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91.8</v>
      </c>
      <c r="H61" s="289">
        <f>data!O91</f>
        <v>0</v>
      </c>
      <c r="I61" s="289">
        <f>data!P91</f>
        <v>0</v>
      </c>
    </row>
    <row r="62" spans="1:11" customFormat="1" ht="20.100000000000001" customHeight="1" x14ac:dyDescent="0.2">
      <c r="A62" s="288">
        <v>24</v>
      </c>
      <c r="B62" s="289" t="s">
        <v>1018</v>
      </c>
      <c r="C62" s="289">
        <f>data!J92</f>
        <v>389.78257108741644</v>
      </c>
      <c r="D62" s="289">
        <f>data!K92</f>
        <v>0</v>
      </c>
      <c r="E62" s="289">
        <f>data!L92</f>
        <v>0</v>
      </c>
      <c r="F62" s="289">
        <f>data!M92</f>
        <v>0</v>
      </c>
      <c r="G62" s="289">
        <f>data!N92</f>
        <v>0</v>
      </c>
      <c r="H62" s="289">
        <f>data!O92</f>
        <v>0</v>
      </c>
      <c r="I62" s="289">
        <f>data!P92</f>
        <v>8786.396139609491</v>
      </c>
    </row>
    <row r="63" spans="1:11" customFormat="1" ht="20.100000000000001" customHeight="1" x14ac:dyDescent="0.2">
      <c r="A63" s="288">
        <v>25</v>
      </c>
      <c r="B63" s="289" t="s">
        <v>1019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0</v>
      </c>
      <c r="H63" s="289">
        <f>data!O93</f>
        <v>3928</v>
      </c>
      <c r="I63" s="289">
        <f>data!P93</f>
        <v>369170</v>
      </c>
    </row>
    <row r="64" spans="1:11" customFormat="1" ht="20.100000000000001" customHeight="1" x14ac:dyDescent="0.2">
      <c r="A64" s="288">
        <v>26</v>
      </c>
      <c r="B64" s="289" t="s">
        <v>294</v>
      </c>
      <c r="C64" s="296">
        <f>data!J94</f>
        <v>0.62899590163934427</v>
      </c>
      <c r="D64" s="296">
        <f>data!K94</f>
        <v>38.28208674863388</v>
      </c>
      <c r="E64" s="296">
        <f>data!L94</f>
        <v>0</v>
      </c>
      <c r="F64" s="296">
        <f>data!M94</f>
        <v>0</v>
      </c>
      <c r="G64" s="296">
        <f>data!N94</f>
        <v>0</v>
      </c>
      <c r="H64" s="296">
        <f>data!O94</f>
        <v>0</v>
      </c>
      <c r="I64" s="296">
        <f>data!P94</f>
        <v>55.463204234972672</v>
      </c>
    </row>
    <row r="65" spans="1:9" customFormat="1" ht="20.100000000000001" customHeight="1" x14ac:dyDescent="0.2">
      <c r="A65" s="282" t="s">
        <v>1001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00000000000001" customHeight="1" x14ac:dyDescent="0.2">
      <c r="D66" s="284"/>
      <c r="I66" s="285" t="s">
        <v>1023</v>
      </c>
    </row>
    <row r="67" spans="1:9" customFormat="1" ht="20.100000000000001" customHeight="1" x14ac:dyDescent="0.2">
      <c r="A67" s="284"/>
    </row>
    <row r="68" spans="1:9" customFormat="1" ht="20.100000000000001" customHeight="1" x14ac:dyDescent="0.2">
      <c r="A68" s="286" t="str">
        <f>"Hospital: "&amp;data!C98</f>
        <v>Hospital: Virginia Mason Medical Center</v>
      </c>
      <c r="G68" s="287"/>
      <c r="H68" s="286" t="str">
        <f>"FYE: "&amp;data!C96</f>
        <v>FYE: 06/30/2024</v>
      </c>
    </row>
    <row r="69" spans="1:9" customFormat="1" ht="20.100000000000001" customHeight="1" x14ac:dyDescent="0.2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00000000000001" customHeight="1" x14ac:dyDescent="0.2">
      <c r="A70" s="292">
        <v>2</v>
      </c>
      <c r="B70" s="293" t="s">
        <v>1003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00000000000001" customHeight="1" x14ac:dyDescent="0.2">
      <c r="A71" s="292"/>
      <c r="B71" s="293"/>
      <c r="C71" s="295" t="s">
        <v>198</v>
      </c>
      <c r="D71" s="295" t="s">
        <v>1024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00000000000001" customHeight="1" x14ac:dyDescent="0.2">
      <c r="A72" s="288">
        <v>3</v>
      </c>
      <c r="B72" s="289" t="s">
        <v>1007</v>
      </c>
      <c r="C72" s="291" t="s">
        <v>1025</v>
      </c>
      <c r="D72" s="290" t="s">
        <v>1026</v>
      </c>
      <c r="E72" s="301"/>
      <c r="F72" s="301"/>
      <c r="G72" s="290" t="s">
        <v>1027</v>
      </c>
      <c r="H72" s="290" t="s">
        <v>1027</v>
      </c>
      <c r="I72" s="291" t="s">
        <v>250</v>
      </c>
    </row>
    <row r="73" spans="1:9" customFormat="1" ht="20.100000000000001" customHeight="1" x14ac:dyDescent="0.2">
      <c r="A73" s="288">
        <v>4</v>
      </c>
      <c r="B73" s="289" t="s">
        <v>261</v>
      </c>
      <c r="C73" s="289">
        <f>data!Q59</f>
        <v>2173536</v>
      </c>
      <c r="D73" s="297">
        <f>data!R59</f>
        <v>2674452</v>
      </c>
      <c r="E73" s="301"/>
      <c r="F73" s="301"/>
      <c r="G73" s="289">
        <f>data!U59</f>
        <v>2444363</v>
      </c>
      <c r="H73" s="289">
        <f>data!V59</f>
        <v>0</v>
      </c>
      <c r="I73" s="289">
        <f>data!W59</f>
        <v>15434.22</v>
      </c>
    </row>
    <row r="74" spans="1:9" customFormat="1" ht="20.100000000000001" customHeight="1" x14ac:dyDescent="0.2">
      <c r="A74" s="288">
        <v>5</v>
      </c>
      <c r="B74" s="289" t="s">
        <v>262</v>
      </c>
      <c r="C74" s="296">
        <f>data!Q60</f>
        <v>75.400581506849292</v>
      </c>
      <c r="D74" s="296">
        <f>data!R60</f>
        <v>84.474590410958911</v>
      </c>
      <c r="E74" s="296">
        <f>data!S60</f>
        <v>116.37527808219177</v>
      </c>
      <c r="F74" s="296">
        <f>data!T60</f>
        <v>16.773836301369862</v>
      </c>
      <c r="G74" s="296">
        <f>data!U60</f>
        <v>149.03876438356158</v>
      </c>
      <c r="H74" s="296">
        <f>data!V60</f>
        <v>0</v>
      </c>
      <c r="I74" s="296">
        <f>data!W60</f>
        <v>8.8173678082191778</v>
      </c>
    </row>
    <row r="75" spans="1:9" customFormat="1" ht="20.100000000000001" customHeight="1" x14ac:dyDescent="0.2">
      <c r="A75" s="288">
        <v>6</v>
      </c>
      <c r="B75" s="289" t="s">
        <v>263</v>
      </c>
      <c r="C75" s="289">
        <f>data!Q61</f>
        <v>10102367.41</v>
      </c>
      <c r="D75" s="289">
        <f>data!R61</f>
        <v>25641941.980000004</v>
      </c>
      <c r="E75" s="289">
        <f>data!S61</f>
        <v>8564348.3400000017</v>
      </c>
      <c r="F75" s="289">
        <f>data!T61</f>
        <v>2828519.2600000007</v>
      </c>
      <c r="G75" s="289">
        <f>data!U61</f>
        <v>17928135.820000008</v>
      </c>
      <c r="H75" s="289">
        <f>data!V61</f>
        <v>0</v>
      </c>
      <c r="I75" s="289">
        <f>data!W61</f>
        <v>1915678.62</v>
      </c>
    </row>
    <row r="76" spans="1:9" customFormat="1" ht="20.100000000000001" customHeight="1" x14ac:dyDescent="0.2">
      <c r="A76" s="288">
        <v>7</v>
      </c>
      <c r="B76" s="289" t="s">
        <v>11</v>
      </c>
      <c r="C76" s="289">
        <f>data!Q62</f>
        <v>2345581</v>
      </c>
      <c r="D76" s="289">
        <f>data!R62</f>
        <v>4883297</v>
      </c>
      <c r="E76" s="289">
        <f>data!S62</f>
        <v>1959115</v>
      </c>
      <c r="F76" s="289">
        <f>data!T62</f>
        <v>654043</v>
      </c>
      <c r="G76" s="289">
        <f>data!U62</f>
        <v>3737421</v>
      </c>
      <c r="H76" s="289">
        <f>data!V62</f>
        <v>0</v>
      </c>
      <c r="I76" s="289">
        <f>data!W62</f>
        <v>394959</v>
      </c>
    </row>
    <row r="77" spans="1:9" customFormat="1" ht="20.100000000000001" customHeight="1" x14ac:dyDescent="0.2">
      <c r="A77" s="288">
        <v>8</v>
      </c>
      <c r="B77" s="289" t="s">
        <v>264</v>
      </c>
      <c r="C77" s="289">
        <f>data!Q63</f>
        <v>0</v>
      </c>
      <c r="D77" s="289">
        <f>data!R63</f>
        <v>0</v>
      </c>
      <c r="E77" s="289">
        <f>data!S63</f>
        <v>0</v>
      </c>
      <c r="F77" s="289">
        <f>data!T63</f>
        <v>0</v>
      </c>
      <c r="G77" s="289">
        <f>data!U63</f>
        <v>0</v>
      </c>
      <c r="H77" s="289">
        <f>data!V63</f>
        <v>0</v>
      </c>
      <c r="I77" s="289">
        <f>data!W63</f>
        <v>0</v>
      </c>
    </row>
    <row r="78" spans="1:9" customFormat="1" ht="20.100000000000001" customHeight="1" x14ac:dyDescent="0.2">
      <c r="A78" s="288">
        <v>9</v>
      </c>
      <c r="B78" s="289" t="s">
        <v>265</v>
      </c>
      <c r="C78" s="289">
        <f>data!Q64</f>
        <v>1292769.99</v>
      </c>
      <c r="D78" s="289">
        <f>data!R64</f>
        <v>2743655.21</v>
      </c>
      <c r="E78" s="289">
        <f>data!S64</f>
        <v>2491717.8300000005</v>
      </c>
      <c r="F78" s="289">
        <f>data!T64</f>
        <v>643224.6100000001</v>
      </c>
      <c r="G78" s="289">
        <f>data!U64</f>
        <v>10388496.540000001</v>
      </c>
      <c r="H78" s="289">
        <f>data!V64</f>
        <v>0</v>
      </c>
      <c r="I78" s="289">
        <f>data!W64</f>
        <v>418833.55</v>
      </c>
    </row>
    <row r="79" spans="1:9" customFormat="1" ht="20.100000000000001" customHeight="1" x14ac:dyDescent="0.2">
      <c r="A79" s="288">
        <v>10</v>
      </c>
      <c r="B79" s="289" t="s">
        <v>525</v>
      </c>
      <c r="C79" s="289">
        <f>data!Q65</f>
        <v>-36.29</v>
      </c>
      <c r="D79" s="289">
        <f>data!R65</f>
        <v>42.93</v>
      </c>
      <c r="E79" s="289">
        <f>data!S65</f>
        <v>10.17</v>
      </c>
      <c r="F79" s="289">
        <f>data!T65</f>
        <v>1.26</v>
      </c>
      <c r="G79" s="289">
        <f>data!U65</f>
        <v>1530.2200000000003</v>
      </c>
      <c r="H79" s="289">
        <f>data!V65</f>
        <v>0</v>
      </c>
      <c r="I79" s="289">
        <f>data!W65</f>
        <v>2651.8700000000003</v>
      </c>
    </row>
    <row r="80" spans="1:9" customFormat="1" ht="20.100000000000001" customHeight="1" x14ac:dyDescent="0.2">
      <c r="A80" s="288">
        <v>11</v>
      </c>
      <c r="B80" s="289" t="s">
        <v>526</v>
      </c>
      <c r="C80" s="289">
        <f>data!Q66</f>
        <v>21682.01</v>
      </c>
      <c r="D80" s="289">
        <f>data!R66</f>
        <v>823452.8</v>
      </c>
      <c r="E80" s="289">
        <f>data!S66</f>
        <v>2741440.8600000003</v>
      </c>
      <c r="F80" s="289">
        <f>data!T66</f>
        <v>40944.129999999997</v>
      </c>
      <c r="G80" s="289">
        <f>data!U66</f>
        <v>557861.68999999994</v>
      </c>
      <c r="H80" s="289">
        <f>data!V66</f>
        <v>0</v>
      </c>
      <c r="I80" s="289">
        <f>data!W66</f>
        <v>158157.80000000002</v>
      </c>
    </row>
    <row r="81" spans="1:9" customFormat="1" ht="20.100000000000001" customHeight="1" x14ac:dyDescent="0.2">
      <c r="A81" s="288">
        <v>12</v>
      </c>
      <c r="B81" s="289" t="s">
        <v>16</v>
      </c>
      <c r="C81" s="289">
        <f>data!Q67</f>
        <v>72398</v>
      </c>
      <c r="D81" s="289">
        <f>data!R67</f>
        <v>188271</v>
      </c>
      <c r="E81" s="289">
        <f>data!S67</f>
        <v>240863</v>
      </c>
      <c r="F81" s="289">
        <f>data!T67</f>
        <v>8706</v>
      </c>
      <c r="G81" s="289">
        <f>data!U67</f>
        <v>233395</v>
      </c>
      <c r="H81" s="289">
        <f>data!V67</f>
        <v>0</v>
      </c>
      <c r="I81" s="289">
        <f>data!W67</f>
        <v>1145695</v>
      </c>
    </row>
    <row r="82" spans="1:9" customFormat="1" ht="20.100000000000001" customHeight="1" x14ac:dyDescent="0.2">
      <c r="A82" s="288">
        <v>13</v>
      </c>
      <c r="B82" s="289" t="s">
        <v>1008</v>
      </c>
      <c r="C82" s="289">
        <f>data!Q68</f>
        <v>1304036.4099999999</v>
      </c>
      <c r="D82" s="289">
        <f>data!R68</f>
        <v>750718.32</v>
      </c>
      <c r="E82" s="289">
        <f>data!S68</f>
        <v>679760</v>
      </c>
      <c r="F82" s="289">
        <f>data!T68</f>
        <v>37080</v>
      </c>
      <c r="G82" s="289">
        <f>data!U68</f>
        <v>1615288.35</v>
      </c>
      <c r="H82" s="289">
        <f>data!V68</f>
        <v>0</v>
      </c>
      <c r="I82" s="289">
        <f>data!W68</f>
        <v>158485.48000000001</v>
      </c>
    </row>
    <row r="83" spans="1:9" customFormat="1" ht="20.100000000000001" customHeight="1" x14ac:dyDescent="0.2">
      <c r="A83" s="288">
        <v>14</v>
      </c>
      <c r="B83" s="289" t="s">
        <v>1009</v>
      </c>
      <c r="C83" s="289">
        <f>data!Q69</f>
        <v>2552346.1199999996</v>
      </c>
      <c r="D83" s="289">
        <f>data!R69</f>
        <v>7942041.7400000002</v>
      </c>
      <c r="E83" s="289">
        <f>data!S69</f>
        <v>1302298.77</v>
      </c>
      <c r="F83" s="289">
        <f>data!T69</f>
        <v>38574.550000000003</v>
      </c>
      <c r="G83" s="289">
        <f>data!U69</f>
        <v>12897084.850000001</v>
      </c>
      <c r="H83" s="289">
        <f>data!V69</f>
        <v>0</v>
      </c>
      <c r="I83" s="289">
        <f>data!W69</f>
        <v>428118.56000000006</v>
      </c>
    </row>
    <row r="84" spans="1:9" customFormat="1" ht="20.100000000000001" customHeight="1" x14ac:dyDescent="0.2">
      <c r="A84" s="288">
        <v>15</v>
      </c>
      <c r="B84" s="289" t="s">
        <v>284</v>
      </c>
      <c r="C84" s="289">
        <f>-data!Q84</f>
        <v>0</v>
      </c>
      <c r="D84" s="289">
        <f>-data!R84</f>
        <v>-2512048.44</v>
      </c>
      <c r="E84" s="289">
        <f>-data!S84</f>
        <v>-3359.84</v>
      </c>
      <c r="F84" s="289">
        <f>-data!T84</f>
        <v>0</v>
      </c>
      <c r="G84" s="289">
        <f>-data!U84</f>
        <v>-21175.239999999998</v>
      </c>
      <c r="H84" s="289">
        <f>-data!V84</f>
        <v>0</v>
      </c>
      <c r="I84" s="289">
        <f>-data!W84</f>
        <v>0</v>
      </c>
    </row>
    <row r="85" spans="1:9" customFormat="1" ht="20.100000000000001" customHeight="1" x14ac:dyDescent="0.2">
      <c r="A85" s="288">
        <v>16</v>
      </c>
      <c r="B85" s="297" t="s">
        <v>1010</v>
      </c>
      <c r="C85" s="289">
        <f>data!Q85</f>
        <v>17691144.650000002</v>
      </c>
      <c r="D85" s="289">
        <f>data!R85</f>
        <v>40461372.540000007</v>
      </c>
      <c r="E85" s="289">
        <f>data!S85</f>
        <v>17976194.130000003</v>
      </c>
      <c r="F85" s="289">
        <f>data!T85</f>
        <v>4251092.8100000005</v>
      </c>
      <c r="G85" s="289">
        <f>data!U85</f>
        <v>47338038.230000004</v>
      </c>
      <c r="H85" s="289">
        <f>data!V85</f>
        <v>0</v>
      </c>
      <c r="I85" s="289">
        <f>data!W85</f>
        <v>4622579.8800000008</v>
      </c>
    </row>
    <row r="86" spans="1:9" customFormat="1" ht="20.100000000000001" customHeight="1" x14ac:dyDescent="0.2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00000000000001" customHeight="1" x14ac:dyDescent="0.2">
      <c r="A87" s="288">
        <v>18</v>
      </c>
      <c r="B87" s="289" t="s">
        <v>1011</v>
      </c>
      <c r="C87" s="297">
        <f>+data!M682</f>
        <v>2980480</v>
      </c>
      <c r="D87" s="297">
        <f>+data!M683</f>
        <v>3021711</v>
      </c>
      <c r="E87" s="297">
        <f>+data!M684</f>
        <v>736970</v>
      </c>
      <c r="F87" s="297">
        <f>+data!M685</f>
        <v>436645</v>
      </c>
      <c r="G87" s="297">
        <f>+data!M686</f>
        <v>8551069</v>
      </c>
      <c r="H87" s="297">
        <f>+data!M687</f>
        <v>0</v>
      </c>
      <c r="I87" s="297">
        <f>+data!M688</f>
        <v>1540617</v>
      </c>
    </row>
    <row r="88" spans="1:9" customFormat="1" ht="20.100000000000001" customHeight="1" x14ac:dyDescent="0.2">
      <c r="A88" s="288">
        <v>19</v>
      </c>
      <c r="B88" s="297" t="s">
        <v>1012</v>
      </c>
      <c r="C88" s="289">
        <f>data!Q87</f>
        <v>10826390</v>
      </c>
      <c r="D88" s="289">
        <f>data!R87</f>
        <v>10288722</v>
      </c>
      <c r="E88" s="289">
        <f>data!S87</f>
        <v>0</v>
      </c>
      <c r="F88" s="289">
        <f>data!T87</f>
        <v>7010427.4000000004</v>
      </c>
      <c r="G88" s="289">
        <f>data!U87</f>
        <v>63400848.130000003</v>
      </c>
      <c r="H88" s="289">
        <f>data!V87</f>
        <v>0</v>
      </c>
      <c r="I88" s="289">
        <f>data!W87</f>
        <v>4747019.7</v>
      </c>
    </row>
    <row r="89" spans="1:9" customFormat="1" ht="20.100000000000001" customHeight="1" x14ac:dyDescent="0.2">
      <c r="A89" s="288">
        <v>20</v>
      </c>
      <c r="B89" s="297" t="s">
        <v>1013</v>
      </c>
      <c r="C89" s="289">
        <f>data!Q88</f>
        <v>20835419</v>
      </c>
      <c r="D89" s="289">
        <f>data!R88</f>
        <v>77504939.590000018</v>
      </c>
      <c r="E89" s="289">
        <f>data!S88</f>
        <v>0</v>
      </c>
      <c r="F89" s="289">
        <f>data!T88</f>
        <v>1107392.48</v>
      </c>
      <c r="G89" s="289">
        <f>data!U88</f>
        <v>182532097.93000001</v>
      </c>
      <c r="H89" s="289">
        <f>data!V88</f>
        <v>0</v>
      </c>
      <c r="I89" s="289">
        <f>data!W88</f>
        <v>33258910.690000001</v>
      </c>
    </row>
    <row r="90" spans="1:9" customFormat="1" ht="20.100000000000001" customHeight="1" x14ac:dyDescent="0.2">
      <c r="A90" s="288">
        <v>21</v>
      </c>
      <c r="B90" s="297" t="s">
        <v>1014</v>
      </c>
      <c r="C90" s="289">
        <f>data!Q89</f>
        <v>31661809</v>
      </c>
      <c r="D90" s="289">
        <f>data!R89</f>
        <v>87793661.590000018</v>
      </c>
      <c r="E90" s="289">
        <f>data!S89</f>
        <v>0</v>
      </c>
      <c r="F90" s="289">
        <f>data!T89</f>
        <v>8117819.8800000008</v>
      </c>
      <c r="G90" s="289">
        <f>data!U89</f>
        <v>245932946.06</v>
      </c>
      <c r="H90" s="289">
        <f>data!V89</f>
        <v>0</v>
      </c>
      <c r="I90" s="289">
        <f>data!W89</f>
        <v>38005930.390000001</v>
      </c>
    </row>
    <row r="91" spans="1:9" customFormat="1" ht="20.100000000000001" customHeight="1" x14ac:dyDescent="0.2">
      <c r="A91" s="288" t="s">
        <v>1015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00000000000001" customHeight="1" x14ac:dyDescent="0.2">
      <c r="A92" s="288">
        <v>22</v>
      </c>
      <c r="B92" s="289" t="s">
        <v>1016</v>
      </c>
      <c r="C92" s="289">
        <f>data!Q90</f>
        <v>28276</v>
      </c>
      <c r="D92" s="289">
        <f>data!R90</f>
        <v>18721</v>
      </c>
      <c r="E92" s="289">
        <f>data!S90</f>
        <v>16843</v>
      </c>
      <c r="F92" s="289">
        <f>data!T90</f>
        <v>925</v>
      </c>
      <c r="G92" s="289">
        <f>data!U90</f>
        <v>29792</v>
      </c>
      <c r="H92" s="289">
        <f>data!V90</f>
        <v>0</v>
      </c>
      <c r="I92" s="289">
        <f>data!W90</f>
        <v>6697</v>
      </c>
    </row>
    <row r="93" spans="1:9" customFormat="1" ht="20.100000000000001" customHeight="1" x14ac:dyDescent="0.2">
      <c r="A93" s="288">
        <v>23</v>
      </c>
      <c r="B93" s="289" t="s">
        <v>1017</v>
      </c>
      <c r="C93" s="289">
        <f>data!Q91</f>
        <v>111.80000000000001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00000000000001" customHeight="1" x14ac:dyDescent="0.2">
      <c r="A94" s="288">
        <v>24</v>
      </c>
      <c r="B94" s="289" t="s">
        <v>1018</v>
      </c>
      <c r="C94" s="289">
        <f>data!Q92</f>
        <v>5355.4382799163195</v>
      </c>
      <c r="D94" s="289">
        <f>data!R92</f>
        <v>3545.7334855818863</v>
      </c>
      <c r="E94" s="289">
        <f>data!S92</f>
        <v>3190.0426845604247</v>
      </c>
      <c r="F94" s="289">
        <f>data!T92</f>
        <v>175.19381839448988</v>
      </c>
      <c r="G94" s="289">
        <f>data!U92</f>
        <v>5642.5667433606941</v>
      </c>
      <c r="H94" s="289">
        <f>data!V92</f>
        <v>0</v>
      </c>
      <c r="I94" s="289">
        <f>data!W92</f>
        <v>1268.4032451761068</v>
      </c>
    </row>
    <row r="95" spans="1:9" customFormat="1" ht="20.100000000000001" customHeight="1" x14ac:dyDescent="0.2">
      <c r="A95" s="288">
        <v>25</v>
      </c>
      <c r="B95" s="289" t="s">
        <v>1019</v>
      </c>
      <c r="C95" s="289">
        <f>data!Q93</f>
        <v>6682</v>
      </c>
      <c r="D95" s="289">
        <f>data!R93</f>
        <v>35991</v>
      </c>
      <c r="E95" s="289">
        <f>data!S93</f>
        <v>0</v>
      </c>
      <c r="F95" s="289">
        <f>data!T93</f>
        <v>631</v>
      </c>
      <c r="G95" s="289">
        <f>data!U93</f>
        <v>94336</v>
      </c>
      <c r="H95" s="289">
        <f>data!V93</f>
        <v>0</v>
      </c>
      <c r="I95" s="289">
        <f>data!W93</f>
        <v>65080</v>
      </c>
    </row>
    <row r="96" spans="1:9" customFormat="1" ht="20.100000000000001" customHeight="1" x14ac:dyDescent="0.2">
      <c r="A96" s="288">
        <v>26</v>
      </c>
      <c r="B96" s="289" t="s">
        <v>294</v>
      </c>
      <c r="C96" s="296">
        <f>data!Q94</f>
        <v>51.055040300546445</v>
      </c>
      <c r="D96" s="296">
        <f>data!R94</f>
        <v>1.45513456284153</v>
      </c>
      <c r="E96" s="296">
        <f>data!S94</f>
        <v>1.221174863387978E-2</v>
      </c>
      <c r="F96" s="296">
        <f>data!T94</f>
        <v>16.728006147540984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00000000000001" customHeight="1" x14ac:dyDescent="0.2">
      <c r="A97" s="282" t="s">
        <v>1001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00000000000001" customHeight="1" x14ac:dyDescent="0.2">
      <c r="D98" s="284"/>
      <c r="I98" s="285" t="s">
        <v>1028</v>
      </c>
    </row>
    <row r="99" spans="1:9" customFormat="1" ht="20.100000000000001" customHeight="1" x14ac:dyDescent="0.2">
      <c r="A99" s="284"/>
    </row>
    <row r="100" spans="1:9" customFormat="1" ht="20.100000000000001" customHeight="1" x14ac:dyDescent="0.2">
      <c r="A100" s="286" t="str">
        <f>"Hospital: "&amp;data!C98</f>
        <v>Hospital: Virginia Mason Medical Center</v>
      </c>
      <c r="G100" s="287"/>
      <c r="H100" s="286" t="str">
        <f>"FYE: "&amp;data!C96</f>
        <v>FYE: 06/30/2024</v>
      </c>
    </row>
    <row r="101" spans="1:9" customFormat="1" ht="20.100000000000001" customHeight="1" x14ac:dyDescent="0.2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00000000000001" customHeight="1" x14ac:dyDescent="0.2">
      <c r="A102" s="292">
        <v>2</v>
      </c>
      <c r="B102" s="293" t="s">
        <v>1003</v>
      </c>
      <c r="C102" s="295" t="s">
        <v>1029</v>
      </c>
      <c r="D102" s="295" t="s">
        <v>1030</v>
      </c>
      <c r="E102" s="295" t="s">
        <v>1030</v>
      </c>
      <c r="F102" s="295" t="s">
        <v>141</v>
      </c>
      <c r="G102" s="295"/>
      <c r="H102" s="295" t="s">
        <v>143</v>
      </c>
      <c r="I102" s="295"/>
    </row>
    <row r="103" spans="1:9" customFormat="1" ht="20.100000000000001" customHeight="1" x14ac:dyDescent="0.2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00000000000001" customHeight="1" x14ac:dyDescent="0.2">
      <c r="A104" s="288">
        <v>3</v>
      </c>
      <c r="B104" s="289" t="s">
        <v>1007</v>
      </c>
      <c r="C104" s="290" t="s">
        <v>251</v>
      </c>
      <c r="D104" s="291" t="s">
        <v>1031</v>
      </c>
      <c r="E104" s="291" t="s">
        <v>1031</v>
      </c>
      <c r="F104" s="291" t="s">
        <v>1031</v>
      </c>
      <c r="G104" s="301"/>
      <c r="H104" s="291" t="s">
        <v>253</v>
      </c>
      <c r="I104" s="291" t="s">
        <v>254</v>
      </c>
    </row>
    <row r="105" spans="1:9" customFormat="1" ht="20.100000000000001" customHeight="1" x14ac:dyDescent="0.2">
      <c r="A105" s="288">
        <v>4</v>
      </c>
      <c r="B105" s="289" t="s">
        <v>261</v>
      </c>
      <c r="C105" s="289">
        <f>data!X59</f>
        <v>34526.75</v>
      </c>
      <c r="D105" s="289">
        <f>data!Y59</f>
        <v>57431.31</v>
      </c>
      <c r="E105" s="289">
        <f>data!Z59</f>
        <v>402797.88000000006</v>
      </c>
      <c r="F105" s="289">
        <f>data!AA59</f>
        <v>7102.42</v>
      </c>
      <c r="G105" s="301"/>
      <c r="H105" s="289">
        <f>data!AC59</f>
        <v>67315</v>
      </c>
      <c r="I105" s="289">
        <f>data!AD59</f>
        <v>19971</v>
      </c>
    </row>
    <row r="106" spans="1:9" customFormat="1" ht="20.100000000000001" customHeight="1" x14ac:dyDescent="0.2">
      <c r="A106" s="288">
        <v>5</v>
      </c>
      <c r="B106" s="289" t="s">
        <v>262</v>
      </c>
      <c r="C106" s="296">
        <f>data!X60</f>
        <v>16.469226027397259</v>
      </c>
      <c r="D106" s="296">
        <f>data!Y60</f>
        <v>91.947752054794506</v>
      </c>
      <c r="E106" s="296">
        <f>data!Z60</f>
        <v>53.675976027397269</v>
      </c>
      <c r="F106" s="296">
        <f>data!AA60</f>
        <v>7.5233602739726022</v>
      </c>
      <c r="G106" s="296">
        <f>data!AB60</f>
        <v>77.573980821917814</v>
      </c>
      <c r="H106" s="296">
        <f>data!AC60</f>
        <v>21.56639109589041</v>
      </c>
      <c r="I106" s="296">
        <f>data!AD60</f>
        <v>8.121438356164383E-2</v>
      </c>
    </row>
    <row r="107" spans="1:9" customFormat="1" ht="20.100000000000001" customHeight="1" x14ac:dyDescent="0.2">
      <c r="A107" s="288">
        <v>6</v>
      </c>
      <c r="B107" s="289" t="s">
        <v>263</v>
      </c>
      <c r="C107" s="289">
        <f>data!X61</f>
        <v>3124567.0400000005</v>
      </c>
      <c r="D107" s="289">
        <f>data!Y61</f>
        <v>12882805.070000002</v>
      </c>
      <c r="E107" s="289">
        <f>data!Z61</f>
        <v>13092368.889999999</v>
      </c>
      <c r="F107" s="289">
        <f>data!AA61</f>
        <v>1284509.6599999999</v>
      </c>
      <c r="G107" s="289">
        <f>data!AB61</f>
        <v>11312417.690000001</v>
      </c>
      <c r="H107" s="289">
        <f>data!AC61</f>
        <v>2312940.29</v>
      </c>
      <c r="I107" s="289">
        <f>data!AD61</f>
        <v>29369.06</v>
      </c>
    </row>
    <row r="108" spans="1:9" customFormat="1" ht="20.100000000000001" customHeight="1" x14ac:dyDescent="0.2">
      <c r="A108" s="288">
        <v>7</v>
      </c>
      <c r="B108" s="289" t="s">
        <v>11</v>
      </c>
      <c r="C108" s="289">
        <f>data!X62</f>
        <v>650303</v>
      </c>
      <c r="D108" s="289">
        <f>data!Y62</f>
        <v>2804354</v>
      </c>
      <c r="E108" s="289">
        <f>data!Z62</f>
        <v>2391621</v>
      </c>
      <c r="F108" s="289">
        <f>data!AA62</f>
        <v>267408</v>
      </c>
      <c r="G108" s="289">
        <f>data!AB62</f>
        <v>2632249</v>
      </c>
      <c r="H108" s="289">
        <f>data!AC62</f>
        <v>531253</v>
      </c>
      <c r="I108" s="289">
        <f>data!AD62</f>
        <v>5315</v>
      </c>
    </row>
    <row r="109" spans="1:9" customFormat="1" ht="20.100000000000001" customHeight="1" x14ac:dyDescent="0.2">
      <c r="A109" s="288">
        <v>8</v>
      </c>
      <c r="B109" s="289" t="s">
        <v>264</v>
      </c>
      <c r="C109" s="289">
        <f>data!X63</f>
        <v>0</v>
      </c>
      <c r="D109" s="289">
        <f>data!Y63</f>
        <v>0</v>
      </c>
      <c r="E109" s="289">
        <f>data!Z63</f>
        <v>0</v>
      </c>
      <c r="F109" s="289">
        <f>data!AA63</f>
        <v>0</v>
      </c>
      <c r="G109" s="289">
        <f>data!AB63</f>
        <v>0</v>
      </c>
      <c r="H109" s="289">
        <f>data!AC63</f>
        <v>0</v>
      </c>
      <c r="I109" s="289">
        <f>data!AD63</f>
        <v>0</v>
      </c>
    </row>
    <row r="110" spans="1:9" customFormat="1" ht="20.100000000000001" customHeight="1" x14ac:dyDescent="0.2">
      <c r="A110" s="288">
        <v>9</v>
      </c>
      <c r="B110" s="289" t="s">
        <v>265</v>
      </c>
      <c r="C110" s="289">
        <f>data!X64</f>
        <v>1907957.4799999997</v>
      </c>
      <c r="D110" s="289">
        <f>data!Y64</f>
        <v>5935100.0000000009</v>
      </c>
      <c r="E110" s="289">
        <f>data!Z64</f>
        <v>410059.96</v>
      </c>
      <c r="F110" s="289">
        <f>data!AA64</f>
        <v>2603546.4699999997</v>
      </c>
      <c r="G110" s="289">
        <f>data!AB64</f>
        <v>15033015.840000002</v>
      </c>
      <c r="H110" s="289">
        <f>data!AC64</f>
        <v>502012.6700000001</v>
      </c>
      <c r="I110" s="289">
        <f>data!AD64</f>
        <v>51451.280000000006</v>
      </c>
    </row>
    <row r="111" spans="1:9" customFormat="1" ht="20.100000000000001" customHeight="1" x14ac:dyDescent="0.2">
      <c r="A111" s="288">
        <v>10</v>
      </c>
      <c r="B111" s="289" t="s">
        <v>525</v>
      </c>
      <c r="C111" s="289">
        <f>data!X65</f>
        <v>10.08</v>
      </c>
      <c r="D111" s="289">
        <f>data!Y65</f>
        <v>1436.81</v>
      </c>
      <c r="E111" s="289">
        <f>data!Z65</f>
        <v>404.03999999999996</v>
      </c>
      <c r="F111" s="289">
        <f>data!AA65</f>
        <v>7.57</v>
      </c>
      <c r="G111" s="289">
        <f>data!AB65</f>
        <v>3799.27</v>
      </c>
      <c r="H111" s="289">
        <f>data!AC65</f>
        <v>4.82</v>
      </c>
      <c r="I111" s="289">
        <f>data!AD65</f>
        <v>0</v>
      </c>
    </row>
    <row r="112" spans="1:9" customFormat="1" ht="20.100000000000001" customHeight="1" x14ac:dyDescent="0.2">
      <c r="A112" s="288">
        <v>11</v>
      </c>
      <c r="B112" s="289" t="s">
        <v>526</v>
      </c>
      <c r="C112" s="289">
        <f>data!X66</f>
        <v>374752.77</v>
      </c>
      <c r="D112" s="289">
        <f>data!Y66</f>
        <v>1370208.5699999998</v>
      </c>
      <c r="E112" s="289">
        <f>data!Z66</f>
        <v>1260871.83</v>
      </c>
      <c r="F112" s="289">
        <f>data!AA66</f>
        <v>1487729.23</v>
      </c>
      <c r="G112" s="289">
        <f>data!AB66</f>
        <v>100381.57</v>
      </c>
      <c r="H112" s="289">
        <f>data!AC66</f>
        <v>3474.3500000000004</v>
      </c>
      <c r="I112" s="289">
        <f>data!AD66</f>
        <v>3423019.31</v>
      </c>
    </row>
    <row r="113" spans="1:9" customFormat="1" ht="20.100000000000001" customHeight="1" x14ac:dyDescent="0.2">
      <c r="A113" s="288">
        <v>12</v>
      </c>
      <c r="B113" s="289" t="s">
        <v>16</v>
      </c>
      <c r="C113" s="289">
        <f>data!X67</f>
        <v>139409</v>
      </c>
      <c r="D113" s="289">
        <f>data!Y67</f>
        <v>1376363</v>
      </c>
      <c r="E113" s="289">
        <f>data!Z67</f>
        <v>209013</v>
      </c>
      <c r="F113" s="289">
        <f>data!AA67</f>
        <v>92054</v>
      </c>
      <c r="G113" s="289">
        <f>data!AB67</f>
        <v>123854</v>
      </c>
      <c r="H113" s="289">
        <f>data!AC67</f>
        <v>72839</v>
      </c>
      <c r="I113" s="289">
        <f>data!AD67</f>
        <v>0</v>
      </c>
    </row>
    <row r="114" spans="1:9" customFormat="1" ht="20.100000000000001" customHeight="1" x14ac:dyDescent="0.2">
      <c r="A114" s="288">
        <v>13</v>
      </c>
      <c r="B114" s="289" t="s">
        <v>1008</v>
      </c>
      <c r="C114" s="289">
        <f>data!X68</f>
        <v>162439.79999999999</v>
      </c>
      <c r="D114" s="289">
        <f>data!Y68</f>
        <v>1380709.98</v>
      </c>
      <c r="E114" s="289">
        <f>data!Z68</f>
        <v>452885</v>
      </c>
      <c r="F114" s="289">
        <f>data!AA68</f>
        <v>244332.42</v>
      </c>
      <c r="G114" s="289">
        <f>data!AB68</f>
        <v>457745.95999999996</v>
      </c>
      <c r="H114" s="289">
        <f>data!AC68</f>
        <v>144756.08000000002</v>
      </c>
      <c r="I114" s="289">
        <f>data!AD68</f>
        <v>65984.490000000005</v>
      </c>
    </row>
    <row r="115" spans="1:9" customFormat="1" ht="20.100000000000001" customHeight="1" x14ac:dyDescent="0.2">
      <c r="A115" s="288">
        <v>14</v>
      </c>
      <c r="B115" s="289" t="s">
        <v>1009</v>
      </c>
      <c r="C115" s="289">
        <f>data!X69</f>
        <v>1946135.0999999999</v>
      </c>
      <c r="D115" s="289">
        <f>data!Y69</f>
        <v>5339551.25</v>
      </c>
      <c r="E115" s="289">
        <f>data!Z69</f>
        <v>924329.53</v>
      </c>
      <c r="F115" s="289">
        <f>data!AA69</f>
        <v>233080.53</v>
      </c>
      <c r="G115" s="289">
        <f>data!AB69</f>
        <v>1069870.5900000001</v>
      </c>
      <c r="H115" s="289">
        <f>data!AC69</f>
        <v>110493.12</v>
      </c>
      <c r="I115" s="289">
        <f>data!AD69</f>
        <v>82788.460000000006</v>
      </c>
    </row>
    <row r="116" spans="1:9" customFormat="1" ht="20.100000000000001" customHeight="1" x14ac:dyDescent="0.2">
      <c r="A116" s="288">
        <v>15</v>
      </c>
      <c r="B116" s="289" t="s">
        <v>284</v>
      </c>
      <c r="C116" s="289">
        <f>-data!X84</f>
        <v>0</v>
      </c>
      <c r="D116" s="289">
        <f>-data!Y84</f>
        <v>-6793</v>
      </c>
      <c r="E116" s="289">
        <f>-data!Z84</f>
        <v>-1852091.12</v>
      </c>
      <c r="F116" s="289">
        <f>-data!AA84</f>
        <v>0</v>
      </c>
      <c r="G116" s="289">
        <f>-data!AB84</f>
        <v>-2741118.69</v>
      </c>
      <c r="H116" s="289">
        <f>-data!AC84</f>
        <v>0</v>
      </c>
      <c r="I116" s="289">
        <f>-data!AD84</f>
        <v>0</v>
      </c>
    </row>
    <row r="117" spans="1:9" customFormat="1" ht="20.100000000000001" customHeight="1" x14ac:dyDescent="0.2">
      <c r="A117" s="288">
        <v>16</v>
      </c>
      <c r="B117" s="297" t="s">
        <v>1010</v>
      </c>
      <c r="C117" s="289">
        <f>data!X85</f>
        <v>8305574.2700000005</v>
      </c>
      <c r="D117" s="289">
        <f>data!Y85</f>
        <v>31083735.680000003</v>
      </c>
      <c r="E117" s="289">
        <f>data!Z85</f>
        <v>16889462.129999999</v>
      </c>
      <c r="F117" s="289">
        <f>data!AA85</f>
        <v>6212667.8799999999</v>
      </c>
      <c r="G117" s="289">
        <f>data!AB85</f>
        <v>27992215.23</v>
      </c>
      <c r="H117" s="289">
        <f>data!AC85</f>
        <v>3677773.33</v>
      </c>
      <c r="I117" s="289">
        <f>data!AD85</f>
        <v>3657927.6</v>
      </c>
    </row>
    <row r="118" spans="1:9" customFormat="1" ht="20.100000000000001" customHeight="1" x14ac:dyDescent="0.2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00000000000001" customHeight="1" x14ac:dyDescent="0.2">
      <c r="A119" s="288">
        <v>18</v>
      </c>
      <c r="B119" s="289" t="s">
        <v>1011</v>
      </c>
      <c r="C119" s="297">
        <f>+data!M689</f>
        <v>2757489</v>
      </c>
      <c r="D119" s="297">
        <f>+data!M690</f>
        <v>6001014</v>
      </c>
      <c r="E119" s="297">
        <f>+data!M691</f>
        <v>1663340</v>
      </c>
      <c r="F119" s="297">
        <f>+data!M692</f>
        <v>1233286</v>
      </c>
      <c r="G119" s="297">
        <f>+data!M693</f>
        <v>2524986</v>
      </c>
      <c r="H119" s="297">
        <f>+data!M694</f>
        <v>825942</v>
      </c>
      <c r="I119" s="297">
        <f>+data!M695</f>
        <v>202952</v>
      </c>
    </row>
    <row r="120" spans="1:9" customFormat="1" ht="20.100000000000001" customHeight="1" x14ac:dyDescent="0.2">
      <c r="A120" s="288">
        <v>19</v>
      </c>
      <c r="B120" s="297" t="s">
        <v>1012</v>
      </c>
      <c r="C120" s="289">
        <f>data!X87</f>
        <v>22615326</v>
      </c>
      <c r="D120" s="289">
        <f>data!Y87</f>
        <v>50112058.219999999</v>
      </c>
      <c r="E120" s="289">
        <f>data!Z87</f>
        <v>1699074</v>
      </c>
      <c r="F120" s="289">
        <f>data!AA87</f>
        <v>1254291.71</v>
      </c>
      <c r="G120" s="289">
        <f>data!AB87</f>
        <v>63899151.789999999</v>
      </c>
      <c r="H120" s="289">
        <f>data!AC87</f>
        <v>25911588</v>
      </c>
      <c r="I120" s="289">
        <f>data!AD87</f>
        <v>6143430</v>
      </c>
    </row>
    <row r="121" spans="1:9" customFormat="1" ht="20.100000000000001" customHeight="1" x14ac:dyDescent="0.2">
      <c r="A121" s="288">
        <v>20</v>
      </c>
      <c r="B121" s="297" t="s">
        <v>1013</v>
      </c>
      <c r="C121" s="289">
        <f>data!X88</f>
        <v>60845572.5</v>
      </c>
      <c r="D121" s="289">
        <f>data!Y88</f>
        <v>79772699.239999995</v>
      </c>
      <c r="E121" s="289">
        <f>data!Z88</f>
        <v>38999341.909999996</v>
      </c>
      <c r="F121" s="289">
        <f>data!AA88</f>
        <v>31094727.690000001</v>
      </c>
      <c r="G121" s="289">
        <f>data!AB88</f>
        <v>13577396.4</v>
      </c>
      <c r="H121" s="289">
        <f>data!AC88</f>
        <v>515212</v>
      </c>
      <c r="I121" s="289">
        <f>data!AD88</f>
        <v>250646</v>
      </c>
    </row>
    <row r="122" spans="1:9" customFormat="1" ht="20.100000000000001" customHeight="1" x14ac:dyDescent="0.2">
      <c r="A122" s="288">
        <v>21</v>
      </c>
      <c r="B122" s="297" t="s">
        <v>1014</v>
      </c>
      <c r="C122" s="289">
        <f>data!X89</f>
        <v>83460898.5</v>
      </c>
      <c r="D122" s="289">
        <f>data!Y89</f>
        <v>129884757.45999999</v>
      </c>
      <c r="E122" s="289">
        <f>data!Z89</f>
        <v>40698415.909999996</v>
      </c>
      <c r="F122" s="289">
        <f>data!AA89</f>
        <v>32349019.400000002</v>
      </c>
      <c r="G122" s="289">
        <f>data!AB89</f>
        <v>77476548.189999998</v>
      </c>
      <c r="H122" s="289">
        <f>data!AC89</f>
        <v>26426800</v>
      </c>
      <c r="I122" s="289">
        <f>data!AD89</f>
        <v>6394076</v>
      </c>
    </row>
    <row r="123" spans="1:9" customFormat="1" ht="20.100000000000001" customHeight="1" x14ac:dyDescent="0.2">
      <c r="A123" s="288" t="s">
        <v>1015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00000000000001" customHeight="1" x14ac:dyDescent="0.2">
      <c r="A124" s="288">
        <v>22</v>
      </c>
      <c r="B124" s="289" t="s">
        <v>1016</v>
      </c>
      <c r="C124" s="289">
        <f>data!X90</f>
        <v>4023</v>
      </c>
      <c r="D124" s="289">
        <f>data!Y90</f>
        <v>34458</v>
      </c>
      <c r="E124" s="289">
        <f>data!Z90</f>
        <v>11295</v>
      </c>
      <c r="F124" s="289">
        <f>data!AA90</f>
        <v>6082</v>
      </c>
      <c r="G124" s="289">
        <f>data!AB90</f>
        <v>9996</v>
      </c>
      <c r="H124" s="289">
        <f>data!AC90</f>
        <v>956</v>
      </c>
      <c r="I124" s="289">
        <f>data!AD90</f>
        <v>1582</v>
      </c>
    </row>
    <row r="125" spans="1:9" customFormat="1" ht="20.100000000000001" customHeight="1" x14ac:dyDescent="0.2">
      <c r="A125" s="288">
        <v>23</v>
      </c>
      <c r="B125" s="289" t="s">
        <v>1017</v>
      </c>
      <c r="C125" s="289">
        <f>data!X91</f>
        <v>0</v>
      </c>
      <c r="D125" s="289">
        <f>data!Y91</f>
        <v>2.4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00000000000001" customHeight="1" x14ac:dyDescent="0.2">
      <c r="A126" s="288">
        <v>24</v>
      </c>
      <c r="B126" s="289" t="s">
        <v>1018</v>
      </c>
      <c r="C126" s="289">
        <f>data!X92</f>
        <v>761.9510609740895</v>
      </c>
      <c r="D126" s="289">
        <f>data!Y92</f>
        <v>6526.3011829592788</v>
      </c>
      <c r="E126" s="289">
        <f>data!Z92</f>
        <v>2139.2585716386629</v>
      </c>
      <c r="F126" s="289">
        <f>data!AA92</f>
        <v>1151.9230307840946</v>
      </c>
      <c r="G126" s="289">
        <f>data!AB92</f>
        <v>1893.2296309960227</v>
      </c>
      <c r="H126" s="289">
        <f>data!AC92</f>
        <v>181.06517879473765</v>
      </c>
      <c r="I126" s="289">
        <f>data!AD92</f>
        <v>299.62877913522487</v>
      </c>
    </row>
    <row r="127" spans="1:9" customFormat="1" ht="20.100000000000001" customHeight="1" x14ac:dyDescent="0.2">
      <c r="A127" s="288">
        <v>25</v>
      </c>
      <c r="B127" s="289" t="s">
        <v>1019</v>
      </c>
      <c r="C127" s="289">
        <f>data!X93</f>
        <v>109320</v>
      </c>
      <c r="D127" s="289">
        <f>data!Y93</f>
        <v>351795</v>
      </c>
      <c r="E127" s="289">
        <f>data!Z93</f>
        <v>26022</v>
      </c>
      <c r="F127" s="289">
        <f>data!AA93</f>
        <v>0</v>
      </c>
      <c r="G127" s="289">
        <f>data!AB93</f>
        <v>17703</v>
      </c>
      <c r="H127" s="289">
        <f>data!AC93</f>
        <v>13820</v>
      </c>
      <c r="I127" s="289">
        <f>data!AD93</f>
        <v>0</v>
      </c>
    </row>
    <row r="128" spans="1:9" customFormat="1" ht="20.100000000000001" customHeight="1" x14ac:dyDescent="0.2">
      <c r="A128" s="288">
        <v>26</v>
      </c>
      <c r="B128" s="289" t="s">
        <v>294</v>
      </c>
      <c r="C128" s="296">
        <f>data!X94</f>
        <v>0</v>
      </c>
      <c r="D128" s="296">
        <f>data!Y94</f>
        <v>12.782841530054645</v>
      </c>
      <c r="E128" s="296">
        <f>data!Z94</f>
        <v>3.824285519125683</v>
      </c>
      <c r="F128" s="296">
        <f>data!AA94</f>
        <v>0</v>
      </c>
      <c r="G128" s="296">
        <f>data!AB94</f>
        <v>0</v>
      </c>
      <c r="H128" s="296">
        <f>data!AC94</f>
        <v>0</v>
      </c>
      <c r="I128" s="296">
        <f>data!AD94</f>
        <v>0</v>
      </c>
    </row>
    <row r="129" spans="1:14" customFormat="1" ht="20.100000000000001" customHeight="1" x14ac:dyDescent="0.2">
      <c r="A129" s="282" t="s">
        <v>1001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00000000000001" customHeight="1" x14ac:dyDescent="0.2">
      <c r="D130" s="284"/>
      <c r="I130" s="285" t="s">
        <v>1032</v>
      </c>
    </row>
    <row r="131" spans="1:14" customFormat="1" ht="20.100000000000001" customHeight="1" x14ac:dyDescent="0.2">
      <c r="A131" s="284"/>
    </row>
    <row r="132" spans="1:14" customFormat="1" ht="20.100000000000001" customHeight="1" x14ac:dyDescent="0.2">
      <c r="A132" s="286" t="str">
        <f>"Hospital: "&amp;data!C98</f>
        <v>Hospital: Virginia Mason Medical Center</v>
      </c>
      <c r="G132" s="287"/>
      <c r="H132" s="286" t="str">
        <f>"FYE: "&amp;data!C96</f>
        <v>FYE: 06/30/2024</v>
      </c>
    </row>
    <row r="133" spans="1:14" customFormat="1" ht="20.100000000000001" customHeight="1" x14ac:dyDescent="0.2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00000000000001" customHeight="1" x14ac:dyDescent="0.2">
      <c r="A134" s="292">
        <v>2</v>
      </c>
      <c r="B134" s="293" t="s">
        <v>1003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1033</v>
      </c>
      <c r="H134" s="295"/>
      <c r="I134" s="295" t="s">
        <v>149</v>
      </c>
    </row>
    <row r="135" spans="1:14" customFormat="1" ht="20.100000000000001" customHeight="1" x14ac:dyDescent="0.2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00000000000001" customHeight="1" x14ac:dyDescent="0.2">
      <c r="A136" s="288">
        <v>3</v>
      </c>
      <c r="B136" s="289" t="s">
        <v>1007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1034</v>
      </c>
      <c r="H136" s="291" t="s">
        <v>255</v>
      </c>
      <c r="I136" s="291" t="s">
        <v>253</v>
      </c>
    </row>
    <row r="137" spans="1:14" customFormat="1" ht="20.100000000000001" customHeight="1" x14ac:dyDescent="0.25">
      <c r="A137" s="288">
        <v>4</v>
      </c>
      <c r="B137" s="289" t="s">
        <v>261</v>
      </c>
      <c r="C137" s="289">
        <f>data!AE59</f>
        <v>218155</v>
      </c>
      <c r="D137" s="289">
        <f>data!AF59</f>
        <v>1348</v>
      </c>
      <c r="E137" s="289">
        <f>data!AG59</f>
        <v>22719</v>
      </c>
      <c r="F137" s="289">
        <f>data!AH59</f>
        <v>0</v>
      </c>
      <c r="G137" s="289">
        <f>data!AI59</f>
        <v>0</v>
      </c>
      <c r="H137" s="289">
        <f>data!AJ59</f>
        <v>346826</v>
      </c>
      <c r="I137" s="289">
        <f>data!AK59</f>
        <v>0</v>
      </c>
      <c r="K137" s="300"/>
      <c r="L137" s="302"/>
      <c r="M137" s="302"/>
      <c r="N137" s="302"/>
    </row>
    <row r="138" spans="1:14" customFormat="1" ht="20.100000000000001" customHeight="1" x14ac:dyDescent="0.2">
      <c r="A138" s="288">
        <v>5</v>
      </c>
      <c r="B138" s="289" t="s">
        <v>262</v>
      </c>
      <c r="C138" s="296">
        <f>data!AE60</f>
        <v>57.525813013698624</v>
      </c>
      <c r="D138" s="296">
        <f>data!AF60</f>
        <v>5.0108636986301365</v>
      </c>
      <c r="E138" s="296">
        <f>data!AG60</f>
        <v>53.512339041095892</v>
      </c>
      <c r="F138" s="296">
        <f>data!AH60</f>
        <v>0</v>
      </c>
      <c r="G138" s="296">
        <f>data!AI60</f>
        <v>0</v>
      </c>
      <c r="H138" s="296">
        <f>data!AJ60</f>
        <v>858.60232260274017</v>
      </c>
      <c r="I138" s="296">
        <f>data!AK60</f>
        <v>0</v>
      </c>
    </row>
    <row r="139" spans="1:14" customFormat="1" ht="20.100000000000001" customHeight="1" x14ac:dyDescent="0.2">
      <c r="A139" s="288">
        <v>6</v>
      </c>
      <c r="B139" s="289" t="s">
        <v>263</v>
      </c>
      <c r="C139" s="289">
        <f>data!AE61</f>
        <v>7101225.4600000009</v>
      </c>
      <c r="D139" s="289">
        <f>data!AF61</f>
        <v>594500.75999999989</v>
      </c>
      <c r="E139" s="289">
        <f>data!AG61</f>
        <v>10220168.42</v>
      </c>
      <c r="F139" s="289">
        <f>data!AH61</f>
        <v>0</v>
      </c>
      <c r="G139" s="289">
        <f>data!AI61</f>
        <v>0</v>
      </c>
      <c r="H139" s="289">
        <f>data!AJ61</f>
        <v>165815874.18999994</v>
      </c>
      <c r="I139" s="289">
        <f>data!AK61</f>
        <v>0</v>
      </c>
    </row>
    <row r="140" spans="1:14" customFormat="1" ht="20.100000000000001" customHeight="1" x14ac:dyDescent="0.2">
      <c r="A140" s="288">
        <v>7</v>
      </c>
      <c r="B140" s="289" t="s">
        <v>11</v>
      </c>
      <c r="C140" s="289">
        <f>data!AE62</f>
        <v>1518638</v>
      </c>
      <c r="D140" s="289">
        <f>data!AF62</f>
        <v>120099</v>
      </c>
      <c r="E140" s="289">
        <f>data!AG62</f>
        <v>2051231</v>
      </c>
      <c r="F140" s="289">
        <f>data!AH62</f>
        <v>0</v>
      </c>
      <c r="G140" s="289">
        <f>data!AI62</f>
        <v>0</v>
      </c>
      <c r="H140" s="289">
        <f>data!AJ62</f>
        <v>30808431</v>
      </c>
      <c r="I140" s="289">
        <f>data!AK62</f>
        <v>0</v>
      </c>
    </row>
    <row r="141" spans="1:14" customFormat="1" ht="20.100000000000001" customHeight="1" x14ac:dyDescent="0.2">
      <c r="A141" s="288">
        <v>8</v>
      </c>
      <c r="B141" s="289" t="s">
        <v>264</v>
      </c>
      <c r="C141" s="289">
        <f>data!AE63</f>
        <v>0</v>
      </c>
      <c r="D141" s="289">
        <f>data!AF63</f>
        <v>0</v>
      </c>
      <c r="E141" s="289">
        <f>data!AG63</f>
        <v>0</v>
      </c>
      <c r="F141" s="289">
        <f>data!AH63</f>
        <v>0</v>
      </c>
      <c r="G141" s="289">
        <f>data!AI63</f>
        <v>0</v>
      </c>
      <c r="H141" s="289">
        <f>data!AJ63</f>
        <v>8054165.79</v>
      </c>
      <c r="I141" s="289">
        <f>data!AK63</f>
        <v>0</v>
      </c>
    </row>
    <row r="142" spans="1:14" customFormat="1" ht="20.100000000000001" customHeight="1" x14ac:dyDescent="0.2">
      <c r="A142" s="288">
        <v>9</v>
      </c>
      <c r="B142" s="289" t="s">
        <v>265</v>
      </c>
      <c r="C142" s="289">
        <f>data!AE64</f>
        <v>1220425.4400000004</v>
      </c>
      <c r="D142" s="289">
        <f>data!AF64</f>
        <v>3529.14</v>
      </c>
      <c r="E142" s="289">
        <f>data!AG64</f>
        <v>1190761.06</v>
      </c>
      <c r="F142" s="289">
        <f>data!AH64</f>
        <v>0</v>
      </c>
      <c r="G142" s="289">
        <f>data!AI64</f>
        <v>0</v>
      </c>
      <c r="H142" s="289">
        <f>data!AJ64</f>
        <v>81975309.61999999</v>
      </c>
      <c r="I142" s="289">
        <f>data!AK64</f>
        <v>0</v>
      </c>
    </row>
    <row r="143" spans="1:14" customFormat="1" ht="20.100000000000001" customHeight="1" x14ac:dyDescent="0.2">
      <c r="A143" s="288">
        <v>10</v>
      </c>
      <c r="B143" s="289" t="s">
        <v>525</v>
      </c>
      <c r="C143" s="289">
        <f>data!AE65</f>
        <v>-106.23</v>
      </c>
      <c r="D143" s="289">
        <f>data!AF65</f>
        <v>0</v>
      </c>
      <c r="E143" s="289">
        <f>data!AG65</f>
        <v>2.5099999999999998</v>
      </c>
      <c r="F143" s="289">
        <f>data!AH65</f>
        <v>0</v>
      </c>
      <c r="G143" s="289">
        <f>data!AI65</f>
        <v>0</v>
      </c>
      <c r="H143" s="289">
        <f>data!AJ65</f>
        <v>133578.84</v>
      </c>
      <c r="I143" s="289">
        <f>data!AK65</f>
        <v>0</v>
      </c>
    </row>
    <row r="144" spans="1:14" customFormat="1" ht="20.100000000000001" customHeight="1" x14ac:dyDescent="0.2">
      <c r="A144" s="288">
        <v>11</v>
      </c>
      <c r="B144" s="289" t="s">
        <v>526</v>
      </c>
      <c r="C144" s="289">
        <f>data!AE66</f>
        <v>51694.37999999999</v>
      </c>
      <c r="D144" s="289">
        <f>data!AF66</f>
        <v>1935.93</v>
      </c>
      <c r="E144" s="289">
        <f>data!AG66</f>
        <v>347375.13</v>
      </c>
      <c r="F144" s="289">
        <f>data!AH66</f>
        <v>0</v>
      </c>
      <c r="G144" s="289">
        <f>data!AI66</f>
        <v>0</v>
      </c>
      <c r="H144" s="289">
        <f>data!AJ66</f>
        <v>-17385450.719999999</v>
      </c>
      <c r="I144" s="289">
        <f>data!AK66</f>
        <v>0</v>
      </c>
    </row>
    <row r="145" spans="1:9" customFormat="1" ht="20.100000000000001" customHeight="1" x14ac:dyDescent="0.2">
      <c r="A145" s="288">
        <v>12</v>
      </c>
      <c r="B145" s="289" t="s">
        <v>16</v>
      </c>
      <c r="C145" s="289">
        <f>data!AE67</f>
        <v>27544</v>
      </c>
      <c r="D145" s="289">
        <f>data!AF67</f>
        <v>316</v>
      </c>
      <c r="E145" s="289">
        <f>data!AG67</f>
        <v>47635</v>
      </c>
      <c r="F145" s="289">
        <f>data!AH67</f>
        <v>0</v>
      </c>
      <c r="G145" s="289">
        <f>data!AI67</f>
        <v>0</v>
      </c>
      <c r="H145" s="289">
        <f>data!AJ67</f>
        <v>2248100</v>
      </c>
      <c r="I145" s="289">
        <f>data!AK67</f>
        <v>0</v>
      </c>
    </row>
    <row r="146" spans="1:9" customFormat="1" ht="20.100000000000001" customHeight="1" x14ac:dyDescent="0.2">
      <c r="A146" s="288">
        <v>13</v>
      </c>
      <c r="B146" s="289" t="s">
        <v>1008</v>
      </c>
      <c r="C146" s="289">
        <f>data!AE68</f>
        <v>466332.12</v>
      </c>
      <c r="D146" s="289">
        <f>data!AF68</f>
        <v>21849</v>
      </c>
      <c r="E146" s="289">
        <f>data!AG68</f>
        <v>625860.14</v>
      </c>
      <c r="F146" s="289">
        <f>data!AH68</f>
        <v>0</v>
      </c>
      <c r="G146" s="289">
        <f>data!AI68</f>
        <v>0</v>
      </c>
      <c r="H146" s="289">
        <f>data!AJ68</f>
        <v>8866886.6699999981</v>
      </c>
      <c r="I146" s="289">
        <f>data!AK68</f>
        <v>0</v>
      </c>
    </row>
    <row r="147" spans="1:9" customFormat="1" ht="20.100000000000001" customHeight="1" x14ac:dyDescent="0.2">
      <c r="A147" s="288">
        <v>14</v>
      </c>
      <c r="B147" s="289" t="s">
        <v>1009</v>
      </c>
      <c r="C147" s="289">
        <f>data!AE69</f>
        <v>386281.76</v>
      </c>
      <c r="D147" s="289">
        <f>data!AF69</f>
        <v>10187.299999999999</v>
      </c>
      <c r="E147" s="289">
        <f>data!AG69</f>
        <v>3175506.95</v>
      </c>
      <c r="F147" s="289">
        <f>data!AH69</f>
        <v>0</v>
      </c>
      <c r="G147" s="289">
        <f>data!AI69</f>
        <v>0</v>
      </c>
      <c r="H147" s="289">
        <f>data!AJ69</f>
        <v>27689290.380000003</v>
      </c>
      <c r="I147" s="289">
        <f>data!AK69</f>
        <v>0</v>
      </c>
    </row>
    <row r="148" spans="1:9" customFormat="1" ht="20.100000000000001" customHeight="1" x14ac:dyDescent="0.2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0</v>
      </c>
      <c r="F148" s="289">
        <f>-data!AH84</f>
        <v>0</v>
      </c>
      <c r="G148" s="289">
        <f>-data!AI84</f>
        <v>0</v>
      </c>
      <c r="H148" s="289">
        <f>-data!AJ84</f>
        <v>-15407580.91</v>
      </c>
      <c r="I148" s="289">
        <f>-data!AK84</f>
        <v>0</v>
      </c>
    </row>
    <row r="149" spans="1:9" customFormat="1" ht="20.100000000000001" customHeight="1" x14ac:dyDescent="0.2">
      <c r="A149" s="288">
        <v>16</v>
      </c>
      <c r="B149" s="297" t="s">
        <v>1010</v>
      </c>
      <c r="C149" s="289">
        <f>data!AE85</f>
        <v>10772034.930000002</v>
      </c>
      <c r="D149" s="289">
        <f>data!AF85</f>
        <v>752417.13</v>
      </c>
      <c r="E149" s="289">
        <f>data!AG85</f>
        <v>17658540.210000001</v>
      </c>
      <c r="F149" s="289">
        <f>data!AH85</f>
        <v>0</v>
      </c>
      <c r="G149" s="289">
        <f>data!AI85</f>
        <v>0</v>
      </c>
      <c r="H149" s="289">
        <f>data!AJ85</f>
        <v>292798604.8599999</v>
      </c>
      <c r="I149" s="289">
        <f>data!AK85</f>
        <v>0</v>
      </c>
    </row>
    <row r="150" spans="1:9" customFormat="1" ht="20.100000000000001" customHeight="1" x14ac:dyDescent="0.2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00000000000001" customHeight="1" x14ac:dyDescent="0.2">
      <c r="A151" s="288">
        <v>18</v>
      </c>
      <c r="B151" s="289" t="s">
        <v>1011</v>
      </c>
      <c r="C151" s="297">
        <f>+data!M696</f>
        <v>1321230</v>
      </c>
      <c r="D151" s="297">
        <f>+data!M697</f>
        <v>63651</v>
      </c>
      <c r="E151" s="297">
        <f>+data!M698</f>
        <v>3945061</v>
      </c>
      <c r="F151" s="297">
        <f>+data!M699</f>
        <v>0</v>
      </c>
      <c r="G151" s="297">
        <f>+data!M700</f>
        <v>0</v>
      </c>
      <c r="H151" s="297">
        <f>+data!M701</f>
        <v>37157631</v>
      </c>
      <c r="I151" s="297">
        <f>+data!M702</f>
        <v>0</v>
      </c>
    </row>
    <row r="152" spans="1:9" customFormat="1" ht="20.100000000000001" customHeight="1" x14ac:dyDescent="0.2">
      <c r="A152" s="288">
        <v>19</v>
      </c>
      <c r="B152" s="297" t="s">
        <v>1012</v>
      </c>
      <c r="C152" s="289">
        <f>data!AE87</f>
        <v>10669669</v>
      </c>
      <c r="D152" s="289">
        <f>data!AF87</f>
        <v>0</v>
      </c>
      <c r="E152" s="289">
        <f>data!AG87</f>
        <v>18356522.280000001</v>
      </c>
      <c r="F152" s="289">
        <f>data!AH87</f>
        <v>0</v>
      </c>
      <c r="G152" s="289">
        <f>data!AI87</f>
        <v>0</v>
      </c>
      <c r="H152" s="289">
        <f>data!AJ87</f>
        <v>64161728.689999804</v>
      </c>
      <c r="I152" s="289">
        <f>data!AK87</f>
        <v>0</v>
      </c>
    </row>
    <row r="153" spans="1:9" customFormat="1" ht="20.100000000000001" customHeight="1" x14ac:dyDescent="0.2">
      <c r="A153" s="288">
        <v>20</v>
      </c>
      <c r="B153" s="297" t="s">
        <v>1013</v>
      </c>
      <c r="C153" s="289">
        <f>data!AE88</f>
        <v>14861050.479999999</v>
      </c>
      <c r="D153" s="289">
        <f>data!AF88</f>
        <v>442870</v>
      </c>
      <c r="E153" s="289">
        <f>data!AG88</f>
        <v>62685246.460000001</v>
      </c>
      <c r="F153" s="289">
        <f>data!AH88</f>
        <v>0</v>
      </c>
      <c r="G153" s="289">
        <f>data!AI88</f>
        <v>0</v>
      </c>
      <c r="H153" s="289">
        <f>data!AJ88</f>
        <v>835617300.32000017</v>
      </c>
      <c r="I153" s="289">
        <f>data!AK88</f>
        <v>0</v>
      </c>
    </row>
    <row r="154" spans="1:9" customFormat="1" ht="20.100000000000001" customHeight="1" x14ac:dyDescent="0.2">
      <c r="A154" s="288">
        <v>21</v>
      </c>
      <c r="B154" s="297" t="s">
        <v>1014</v>
      </c>
      <c r="C154" s="289">
        <f>data!AE89</f>
        <v>25530719.479999997</v>
      </c>
      <c r="D154" s="289">
        <f>data!AF89</f>
        <v>442870</v>
      </c>
      <c r="E154" s="289">
        <f>data!AG89</f>
        <v>81041768.74000001</v>
      </c>
      <c r="F154" s="289">
        <f>data!AH89</f>
        <v>0</v>
      </c>
      <c r="G154" s="289">
        <f>data!AI89</f>
        <v>0</v>
      </c>
      <c r="H154" s="289">
        <f>data!AJ89</f>
        <v>899779029.00999999</v>
      </c>
      <c r="I154" s="289">
        <f>data!AK89</f>
        <v>0</v>
      </c>
    </row>
    <row r="155" spans="1:9" customFormat="1" ht="20.100000000000001" customHeight="1" x14ac:dyDescent="0.2">
      <c r="A155" s="288" t="s">
        <v>1015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00000000000001" customHeight="1" x14ac:dyDescent="0.2">
      <c r="A156" s="288">
        <v>22</v>
      </c>
      <c r="B156" s="289" t="s">
        <v>1016</v>
      </c>
      <c r="C156" s="289">
        <f>data!AE90</f>
        <v>11251</v>
      </c>
      <c r="D156" s="289">
        <f>data!AF90</f>
        <v>1037</v>
      </c>
      <c r="E156" s="289">
        <f>data!AG90</f>
        <v>15108</v>
      </c>
      <c r="F156" s="289">
        <f>data!AH90</f>
        <v>0</v>
      </c>
      <c r="G156" s="289">
        <f>data!AI90</f>
        <v>0</v>
      </c>
      <c r="H156" s="289">
        <f>data!AJ90</f>
        <v>216475</v>
      </c>
      <c r="I156" s="289">
        <f>data!AK90</f>
        <v>0</v>
      </c>
    </row>
    <row r="157" spans="1:9" customFormat="1" ht="20.100000000000001" customHeight="1" x14ac:dyDescent="0.2">
      <c r="A157" s="288">
        <v>23</v>
      </c>
      <c r="B157" s="289" t="s">
        <v>1017</v>
      </c>
      <c r="C157" s="289">
        <f>data!AE91</f>
        <v>0</v>
      </c>
      <c r="D157" s="289">
        <f>data!AF91</f>
        <v>0</v>
      </c>
      <c r="E157" s="289">
        <f>data!AG91</f>
        <v>16625.2</v>
      </c>
      <c r="F157" s="289">
        <f>data!AH91</f>
        <v>0</v>
      </c>
      <c r="G157" s="289">
        <f>data!AI91</f>
        <v>0</v>
      </c>
      <c r="H157" s="289">
        <f>data!AJ91</f>
        <v>161.6</v>
      </c>
      <c r="I157" s="289">
        <f>data!AK91</f>
        <v>0</v>
      </c>
    </row>
    <row r="158" spans="1:9" customFormat="1" ht="20.100000000000001" customHeight="1" x14ac:dyDescent="0.2">
      <c r="A158" s="288">
        <v>24</v>
      </c>
      <c r="B158" s="289" t="s">
        <v>1018</v>
      </c>
      <c r="C158" s="289">
        <f>data!AE92</f>
        <v>2130.925027844763</v>
      </c>
      <c r="D158" s="289">
        <f>data!AF92</f>
        <v>196.40647532441733</v>
      </c>
      <c r="E158" s="289">
        <f>data!AG92</f>
        <v>2861.4359008691385</v>
      </c>
      <c r="F158" s="289">
        <f>data!AH92</f>
        <v>0</v>
      </c>
      <c r="G158" s="289">
        <f>data!AI92</f>
        <v>0</v>
      </c>
      <c r="H158" s="289">
        <f>data!AJ92</f>
        <v>41000.088472375348</v>
      </c>
      <c r="I158" s="289">
        <f>data!AK92</f>
        <v>0</v>
      </c>
    </row>
    <row r="159" spans="1:9" customFormat="1" ht="20.100000000000001" customHeight="1" x14ac:dyDescent="0.2">
      <c r="A159" s="288">
        <v>25</v>
      </c>
      <c r="B159" s="289" t="s">
        <v>1019</v>
      </c>
      <c r="C159" s="289">
        <f>data!AE93</f>
        <v>19621</v>
      </c>
      <c r="D159" s="289">
        <f>data!AF93</f>
        <v>0</v>
      </c>
      <c r="E159" s="289">
        <f>data!AG93</f>
        <v>15132</v>
      </c>
      <c r="F159" s="289">
        <f>data!AH93</f>
        <v>0</v>
      </c>
      <c r="G159" s="289">
        <f>data!AI93</f>
        <v>0</v>
      </c>
      <c r="H159" s="289">
        <f>data!AJ93</f>
        <v>219648</v>
      </c>
      <c r="I159" s="289">
        <f>data!AK93</f>
        <v>0</v>
      </c>
    </row>
    <row r="160" spans="1:9" customFormat="1" ht="20.100000000000001" customHeight="1" x14ac:dyDescent="0.2">
      <c r="A160" s="288">
        <v>26</v>
      </c>
      <c r="B160" s="289" t="s">
        <v>294</v>
      </c>
      <c r="C160" s="296">
        <f>data!AE94</f>
        <v>1.8531256830601091</v>
      </c>
      <c r="D160" s="296">
        <f>data!AF94</f>
        <v>0</v>
      </c>
      <c r="E160" s="296">
        <f>data!AG94</f>
        <v>27.061947404371587</v>
      </c>
      <c r="F160" s="296">
        <f>data!AH94</f>
        <v>0</v>
      </c>
      <c r="G160" s="296">
        <f>data!AI94</f>
        <v>0</v>
      </c>
      <c r="H160" s="296">
        <f>data!AJ94</f>
        <v>142.61335245901643</v>
      </c>
      <c r="I160" s="296">
        <f>data!AK94</f>
        <v>0</v>
      </c>
    </row>
    <row r="161" spans="1:9" customFormat="1" ht="20.100000000000001" customHeight="1" x14ac:dyDescent="0.2">
      <c r="A161" s="282" t="s">
        <v>1001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00000000000001" customHeight="1" x14ac:dyDescent="0.2">
      <c r="D162" s="284"/>
      <c r="I162" s="285" t="s">
        <v>1035</v>
      </c>
    </row>
    <row r="163" spans="1:9" customFormat="1" ht="20.100000000000001" customHeight="1" x14ac:dyDescent="0.2">
      <c r="A163" s="284"/>
    </row>
    <row r="164" spans="1:9" customFormat="1" ht="20.100000000000001" customHeight="1" x14ac:dyDescent="0.2">
      <c r="A164" s="286" t="str">
        <f>"Hospital: "&amp;data!C98</f>
        <v>Hospital: Virginia Mason Medical Center</v>
      </c>
      <c r="G164" s="287"/>
      <c r="H164" s="286" t="str">
        <f>"FYE: "&amp;data!C96</f>
        <v>FYE: 06/30/2024</v>
      </c>
    </row>
    <row r="165" spans="1:9" customFormat="1" ht="20.100000000000001" customHeight="1" x14ac:dyDescent="0.2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00000000000001" customHeight="1" x14ac:dyDescent="0.2">
      <c r="A166" s="292">
        <v>2</v>
      </c>
      <c r="B166" s="293" t="s">
        <v>1003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1036</v>
      </c>
      <c r="H166" s="295" t="s">
        <v>154</v>
      </c>
      <c r="I166" s="295" t="s">
        <v>155</v>
      </c>
    </row>
    <row r="167" spans="1:9" customFormat="1" ht="20.100000000000001" customHeight="1" x14ac:dyDescent="0.2">
      <c r="A167" s="292"/>
      <c r="B167" s="293"/>
      <c r="C167" s="295" t="s">
        <v>199</v>
      </c>
      <c r="D167" s="295" t="s">
        <v>199</v>
      </c>
      <c r="E167" s="295" t="s">
        <v>1037</v>
      </c>
      <c r="F167" s="295" t="s">
        <v>209</v>
      </c>
      <c r="G167" s="295" t="s">
        <v>148</v>
      </c>
      <c r="H167" s="294" t="s">
        <v>1038</v>
      </c>
      <c r="I167" s="295" t="s">
        <v>196</v>
      </c>
    </row>
    <row r="168" spans="1:9" customFormat="1" ht="20.100000000000001" customHeight="1" x14ac:dyDescent="0.2">
      <c r="A168" s="288">
        <v>3</v>
      </c>
      <c r="B168" s="289" t="s">
        <v>1007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00000000000001" customHeight="1" x14ac:dyDescent="0.2">
      <c r="A169" s="288">
        <v>4</v>
      </c>
      <c r="B169" s="289" t="s">
        <v>261</v>
      </c>
      <c r="C169" s="289">
        <f>data!AL59</f>
        <v>0</v>
      </c>
      <c r="D169" s="289">
        <f>data!AM59</f>
        <v>0</v>
      </c>
      <c r="E169" s="289">
        <f>data!AN59</f>
        <v>0</v>
      </c>
      <c r="F169" s="289">
        <f>data!AO59</f>
        <v>0</v>
      </c>
      <c r="G169" s="289">
        <f>data!AP59</f>
        <v>579507</v>
      </c>
      <c r="H169" s="289">
        <f>data!AQ59</f>
        <v>0</v>
      </c>
      <c r="I169" s="289">
        <f>data!AR59</f>
        <v>0</v>
      </c>
    </row>
    <row r="170" spans="1:9" customFormat="1" ht="20.100000000000001" customHeight="1" x14ac:dyDescent="0.2">
      <c r="A170" s="288">
        <v>5</v>
      </c>
      <c r="B170" s="289" t="s">
        <v>262</v>
      </c>
      <c r="C170" s="296">
        <f>data!AL60</f>
        <v>0</v>
      </c>
      <c r="D170" s="296">
        <f>data!AM60</f>
        <v>0</v>
      </c>
      <c r="E170" s="296">
        <f>data!AN60</f>
        <v>0</v>
      </c>
      <c r="F170" s="296">
        <f>data!AO60</f>
        <v>0</v>
      </c>
      <c r="G170" s="296">
        <f>data!AP60</f>
        <v>834.77459589041018</v>
      </c>
      <c r="H170" s="296">
        <f>data!AQ60</f>
        <v>0</v>
      </c>
      <c r="I170" s="296">
        <f>data!AR60</f>
        <v>0</v>
      </c>
    </row>
    <row r="171" spans="1:9" customFormat="1" ht="20.100000000000001" customHeight="1" x14ac:dyDescent="0.2">
      <c r="A171" s="288">
        <v>6</v>
      </c>
      <c r="B171" s="289" t="s">
        <v>263</v>
      </c>
      <c r="C171" s="289">
        <f>data!AL61</f>
        <v>0</v>
      </c>
      <c r="D171" s="289">
        <f>data!AM61</f>
        <v>0</v>
      </c>
      <c r="E171" s="289">
        <f>data!AN61</f>
        <v>0</v>
      </c>
      <c r="F171" s="289">
        <f>data!AO61</f>
        <v>0</v>
      </c>
      <c r="G171" s="289">
        <f>data!AP61</f>
        <v>124594937.70999983</v>
      </c>
      <c r="H171" s="289">
        <f>data!AQ61</f>
        <v>0</v>
      </c>
      <c r="I171" s="289">
        <f>data!AR61</f>
        <v>0</v>
      </c>
    </row>
    <row r="172" spans="1:9" customFormat="1" ht="20.100000000000001" customHeight="1" x14ac:dyDescent="0.2">
      <c r="A172" s="288">
        <v>7</v>
      </c>
      <c r="B172" s="289" t="s">
        <v>11</v>
      </c>
      <c r="C172" s="289">
        <f>data!AL62</f>
        <v>0</v>
      </c>
      <c r="D172" s="289">
        <f>data!AM62</f>
        <v>0</v>
      </c>
      <c r="E172" s="289">
        <f>data!AN62</f>
        <v>0</v>
      </c>
      <c r="F172" s="289">
        <f>data!AO62</f>
        <v>0</v>
      </c>
      <c r="G172" s="289">
        <f>data!AP62</f>
        <v>24695398</v>
      </c>
      <c r="H172" s="289">
        <f>data!AQ62</f>
        <v>0</v>
      </c>
      <c r="I172" s="289">
        <f>data!AR62</f>
        <v>0</v>
      </c>
    </row>
    <row r="173" spans="1:9" customFormat="1" ht="20.100000000000001" customHeight="1" x14ac:dyDescent="0.2">
      <c r="A173" s="288">
        <v>8</v>
      </c>
      <c r="B173" s="289" t="s">
        <v>264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0</v>
      </c>
      <c r="H173" s="289">
        <f>data!AQ63</f>
        <v>0</v>
      </c>
      <c r="I173" s="289">
        <f>data!AR63</f>
        <v>0</v>
      </c>
    </row>
    <row r="174" spans="1:9" customFormat="1" ht="20.100000000000001" customHeight="1" x14ac:dyDescent="0.2">
      <c r="A174" s="288">
        <v>9</v>
      </c>
      <c r="B174" s="289" t="s">
        <v>265</v>
      </c>
      <c r="C174" s="289">
        <f>data!AL64</f>
        <v>0</v>
      </c>
      <c r="D174" s="289">
        <f>data!AM64</f>
        <v>0</v>
      </c>
      <c r="E174" s="289">
        <f>data!AN64</f>
        <v>0</v>
      </c>
      <c r="F174" s="289">
        <f>data!AO64</f>
        <v>0</v>
      </c>
      <c r="G174" s="289">
        <f>data!AP64</f>
        <v>39763968.729999989</v>
      </c>
      <c r="H174" s="289">
        <f>data!AQ64</f>
        <v>0</v>
      </c>
      <c r="I174" s="289">
        <f>data!AR64</f>
        <v>0</v>
      </c>
    </row>
    <row r="175" spans="1:9" customFormat="1" ht="20.100000000000001" customHeight="1" x14ac:dyDescent="0.2">
      <c r="A175" s="288">
        <v>10</v>
      </c>
      <c r="B175" s="289" t="s">
        <v>525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1377075.4799999997</v>
      </c>
      <c r="H175" s="289">
        <f>data!AQ65</f>
        <v>0</v>
      </c>
      <c r="I175" s="289">
        <f>data!AR65</f>
        <v>0</v>
      </c>
    </row>
    <row r="176" spans="1:9" customFormat="1" ht="20.100000000000001" customHeight="1" x14ac:dyDescent="0.2">
      <c r="A176" s="288">
        <v>11</v>
      </c>
      <c r="B176" s="289" t="s">
        <v>526</v>
      </c>
      <c r="C176" s="289">
        <f>data!AL66</f>
        <v>0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2749913.1799999997</v>
      </c>
      <c r="H176" s="289">
        <f>data!AQ66</f>
        <v>0</v>
      </c>
      <c r="I176" s="289">
        <f>data!AR66</f>
        <v>0</v>
      </c>
    </row>
    <row r="177" spans="1:9" customFormat="1" ht="20.100000000000001" customHeight="1" x14ac:dyDescent="0.2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3547897</v>
      </c>
      <c r="H177" s="289">
        <f>data!AQ67</f>
        <v>0</v>
      </c>
      <c r="I177" s="289">
        <f>data!AR67</f>
        <v>0</v>
      </c>
    </row>
    <row r="178" spans="1:9" customFormat="1" ht="20.100000000000001" customHeight="1" x14ac:dyDescent="0.2">
      <c r="A178" s="288">
        <v>13</v>
      </c>
      <c r="B178" s="289" t="s">
        <v>1008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10340983.569999998</v>
      </c>
      <c r="H178" s="289">
        <f>data!AQ68</f>
        <v>0</v>
      </c>
      <c r="I178" s="289">
        <f>data!AR68</f>
        <v>0</v>
      </c>
    </row>
    <row r="179" spans="1:9" customFormat="1" ht="20.100000000000001" customHeight="1" x14ac:dyDescent="0.2">
      <c r="A179" s="288">
        <v>14</v>
      </c>
      <c r="B179" s="289" t="s">
        <v>1009</v>
      </c>
      <c r="C179" s="289">
        <f>data!AL69</f>
        <v>0</v>
      </c>
      <c r="D179" s="289">
        <f>data!AM69</f>
        <v>0</v>
      </c>
      <c r="E179" s="289">
        <f>data!AN69</f>
        <v>0</v>
      </c>
      <c r="F179" s="289">
        <f>data!AO69</f>
        <v>0</v>
      </c>
      <c r="G179" s="289">
        <f>data!AP69</f>
        <v>16117779.050000004</v>
      </c>
      <c r="H179" s="289">
        <f>data!AQ69</f>
        <v>0</v>
      </c>
      <c r="I179" s="289">
        <f>data!AR69</f>
        <v>0</v>
      </c>
    </row>
    <row r="180" spans="1:9" customFormat="1" ht="20.100000000000001" customHeight="1" x14ac:dyDescent="0.2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-11117111.49</v>
      </c>
      <c r="H180" s="289">
        <f>-data!AQ84</f>
        <v>0</v>
      </c>
      <c r="I180" s="289">
        <f>-data!AR84</f>
        <v>0</v>
      </c>
    </row>
    <row r="181" spans="1:9" customFormat="1" ht="20.100000000000001" customHeight="1" x14ac:dyDescent="0.2">
      <c r="A181" s="288">
        <v>16</v>
      </c>
      <c r="B181" s="297" t="s">
        <v>1010</v>
      </c>
      <c r="C181" s="289">
        <f>data!AL85</f>
        <v>0</v>
      </c>
      <c r="D181" s="289">
        <f>data!AM85</f>
        <v>0</v>
      </c>
      <c r="E181" s="289">
        <f>data!AN85</f>
        <v>0</v>
      </c>
      <c r="F181" s="289">
        <f>data!AO85</f>
        <v>0</v>
      </c>
      <c r="G181" s="289">
        <f>data!AP85</f>
        <v>212070841.22999981</v>
      </c>
      <c r="H181" s="289">
        <f>data!AQ85</f>
        <v>0</v>
      </c>
      <c r="I181" s="289">
        <f>data!AR85</f>
        <v>0</v>
      </c>
    </row>
    <row r="182" spans="1:9" customFormat="1" ht="20.100000000000001" customHeight="1" x14ac:dyDescent="0.2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00000000000001" customHeight="1" x14ac:dyDescent="0.2">
      <c r="A183" s="288">
        <v>18</v>
      </c>
      <c r="B183" s="289" t="s">
        <v>1011</v>
      </c>
      <c r="C183" s="297">
        <f>+data!M703</f>
        <v>0</v>
      </c>
      <c r="D183" s="297">
        <f>+data!M704</f>
        <v>0</v>
      </c>
      <c r="E183" s="297">
        <f>+data!M705</f>
        <v>0</v>
      </c>
      <c r="F183" s="297">
        <f>+data!M706</f>
        <v>0</v>
      </c>
      <c r="G183" s="297">
        <f>+data!M707</f>
        <v>32819532</v>
      </c>
      <c r="H183" s="297">
        <f>+data!M708</f>
        <v>0</v>
      </c>
      <c r="I183" s="297">
        <f>+data!M709</f>
        <v>0</v>
      </c>
    </row>
    <row r="184" spans="1:9" customFormat="1" ht="20.100000000000001" customHeight="1" x14ac:dyDescent="0.2">
      <c r="A184" s="288">
        <v>19</v>
      </c>
      <c r="B184" s="297" t="s">
        <v>1012</v>
      </c>
      <c r="C184" s="289">
        <f>data!AL87</f>
        <v>0</v>
      </c>
      <c r="D184" s="289">
        <f>data!AM87</f>
        <v>0</v>
      </c>
      <c r="E184" s="289">
        <f>data!AN87</f>
        <v>0</v>
      </c>
      <c r="F184" s="289">
        <f>data!AO87</f>
        <v>0</v>
      </c>
      <c r="G184" s="289">
        <f>data!AP87</f>
        <v>7006</v>
      </c>
      <c r="H184" s="289">
        <f>data!AQ87</f>
        <v>0</v>
      </c>
      <c r="I184" s="289">
        <f>data!AR87</f>
        <v>0</v>
      </c>
    </row>
    <row r="185" spans="1:9" customFormat="1" ht="20.100000000000001" customHeight="1" x14ac:dyDescent="0.2">
      <c r="A185" s="288">
        <v>20</v>
      </c>
      <c r="B185" s="297" t="s">
        <v>1013</v>
      </c>
      <c r="C185" s="289">
        <f>data!AL88</f>
        <v>0</v>
      </c>
      <c r="D185" s="289">
        <f>data!AM88</f>
        <v>0</v>
      </c>
      <c r="E185" s="289">
        <f>data!AN88</f>
        <v>0</v>
      </c>
      <c r="F185" s="289">
        <f>data!AO88</f>
        <v>0</v>
      </c>
      <c r="G185" s="289">
        <f>data!AP88</f>
        <v>595827736.2299999</v>
      </c>
      <c r="H185" s="289">
        <f>data!AQ88</f>
        <v>0</v>
      </c>
      <c r="I185" s="289">
        <f>data!AR88</f>
        <v>0</v>
      </c>
    </row>
    <row r="186" spans="1:9" customFormat="1" ht="20.100000000000001" customHeight="1" x14ac:dyDescent="0.2">
      <c r="A186" s="288">
        <v>21</v>
      </c>
      <c r="B186" s="297" t="s">
        <v>1014</v>
      </c>
      <c r="C186" s="289">
        <f>data!AL89</f>
        <v>0</v>
      </c>
      <c r="D186" s="289">
        <f>data!AM89</f>
        <v>0</v>
      </c>
      <c r="E186" s="289">
        <f>data!AN89</f>
        <v>0</v>
      </c>
      <c r="F186" s="289">
        <f>data!AO89</f>
        <v>0</v>
      </c>
      <c r="G186" s="289">
        <f>data!AP89</f>
        <v>595834742.2299999</v>
      </c>
      <c r="H186" s="289">
        <f>data!AQ89</f>
        <v>0</v>
      </c>
      <c r="I186" s="289">
        <f>data!AR89</f>
        <v>0</v>
      </c>
    </row>
    <row r="187" spans="1:9" customFormat="1" ht="20.100000000000001" customHeight="1" x14ac:dyDescent="0.2">
      <c r="A187" s="288" t="s">
        <v>1015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00000000000001" customHeight="1" x14ac:dyDescent="0.2">
      <c r="A188" s="288">
        <v>22</v>
      </c>
      <c r="B188" s="289" t="s">
        <v>1016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281395</v>
      </c>
      <c r="H188" s="289">
        <f>data!AQ90</f>
        <v>0</v>
      </c>
      <c r="I188" s="289">
        <f>data!AR90</f>
        <v>0</v>
      </c>
    </row>
    <row r="189" spans="1:9" customFormat="1" ht="20.100000000000001" customHeight="1" x14ac:dyDescent="0.2">
      <c r="A189" s="288">
        <v>23</v>
      </c>
      <c r="B189" s="289" t="s">
        <v>1017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00000000000001" customHeight="1" x14ac:dyDescent="0.2">
      <c r="A190" s="288">
        <v>24</v>
      </c>
      <c r="B190" s="289" t="s">
        <v>1018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0</v>
      </c>
      <c r="G190" s="289">
        <f>data!AP92</f>
        <v>53295.853542829711</v>
      </c>
      <c r="H190" s="289">
        <f>data!AQ92</f>
        <v>0</v>
      </c>
      <c r="I190" s="289">
        <f>data!AR92</f>
        <v>0</v>
      </c>
    </row>
    <row r="191" spans="1:9" customFormat="1" ht="20.100000000000001" customHeight="1" x14ac:dyDescent="0.2">
      <c r="A191" s="288">
        <v>25</v>
      </c>
      <c r="B191" s="289" t="s">
        <v>1019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404984</v>
      </c>
      <c r="H191" s="289">
        <f>data!AQ93</f>
        <v>0</v>
      </c>
      <c r="I191" s="289">
        <f>data!AR93</f>
        <v>0</v>
      </c>
    </row>
    <row r="192" spans="1:9" customFormat="1" ht="20.100000000000001" customHeight="1" x14ac:dyDescent="0.2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87.347568306010999</v>
      </c>
      <c r="H192" s="296">
        <f>data!AQ94</f>
        <v>0</v>
      </c>
      <c r="I192" s="296">
        <f>data!AR94</f>
        <v>0</v>
      </c>
    </row>
    <row r="193" spans="1:9" customFormat="1" ht="20.100000000000001" customHeight="1" x14ac:dyDescent="0.2">
      <c r="A193" s="282" t="s">
        <v>1001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00000000000001" customHeight="1" x14ac:dyDescent="0.2">
      <c r="D194" s="284"/>
      <c r="I194" s="285" t="s">
        <v>1039</v>
      </c>
    </row>
    <row r="195" spans="1:9" customFormat="1" ht="20.100000000000001" customHeight="1" x14ac:dyDescent="0.2">
      <c r="A195" s="284"/>
    </row>
    <row r="196" spans="1:9" customFormat="1" ht="20.100000000000001" customHeight="1" x14ac:dyDescent="0.2">
      <c r="A196" s="286" t="str">
        <f>"Hospital: "&amp;data!C98</f>
        <v>Hospital: Virginia Mason Medical Center</v>
      </c>
      <c r="G196" s="287"/>
      <c r="H196" s="286" t="str">
        <f>"FYE: "&amp;data!C96</f>
        <v>FYE: 06/30/2024</v>
      </c>
    </row>
    <row r="197" spans="1:9" customFormat="1" ht="20.100000000000001" customHeight="1" x14ac:dyDescent="0.2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00000000000001" customHeight="1" x14ac:dyDescent="0.2">
      <c r="A198" s="292">
        <v>2</v>
      </c>
      <c r="B198" s="293" t="s">
        <v>1003</v>
      </c>
      <c r="C198" s="295"/>
      <c r="D198" s="295" t="s">
        <v>157</v>
      </c>
      <c r="E198" s="295" t="s">
        <v>158</v>
      </c>
      <c r="F198" s="295" t="s">
        <v>159</v>
      </c>
      <c r="G198" s="295" t="s">
        <v>1040</v>
      </c>
      <c r="H198" s="295" t="s">
        <v>161</v>
      </c>
      <c r="I198" s="295"/>
    </row>
    <row r="199" spans="1:9" customFormat="1" ht="20.100000000000001" customHeight="1" x14ac:dyDescent="0.2">
      <c r="A199" s="292"/>
      <c r="B199" s="293"/>
      <c r="C199" s="295" t="s">
        <v>156</v>
      </c>
      <c r="D199" s="295" t="s">
        <v>258</v>
      </c>
      <c r="E199" s="295" t="s">
        <v>1041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00000000000001" customHeight="1" x14ac:dyDescent="0.2">
      <c r="A200" s="288">
        <v>3</v>
      </c>
      <c r="B200" s="289" t="s">
        <v>1007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00000000000001" customHeight="1" x14ac:dyDescent="0.2">
      <c r="A201" s="288">
        <v>4</v>
      </c>
      <c r="B201" s="289" t="s">
        <v>261</v>
      </c>
      <c r="C201" s="289">
        <f>data!AS59</f>
        <v>0</v>
      </c>
      <c r="D201" s="289">
        <f>data!AT59</f>
        <v>81</v>
      </c>
      <c r="E201" s="289">
        <f>data!AU59</f>
        <v>0</v>
      </c>
      <c r="F201" s="301"/>
      <c r="G201" s="301"/>
      <c r="H201" s="301"/>
      <c r="I201" s="289">
        <f>data!AY59</f>
        <v>186918</v>
      </c>
    </row>
    <row r="202" spans="1:9" customFormat="1" ht="20.100000000000001" customHeight="1" x14ac:dyDescent="0.2">
      <c r="A202" s="288">
        <v>5</v>
      </c>
      <c r="B202" s="289" t="s">
        <v>262</v>
      </c>
      <c r="C202" s="296">
        <f>data!AS60</f>
        <v>0</v>
      </c>
      <c r="D202" s="296">
        <f>data!AT60</f>
        <v>19.385785616438355</v>
      </c>
      <c r="E202" s="296">
        <f>data!AU60</f>
        <v>0</v>
      </c>
      <c r="F202" s="296">
        <f>data!AV60</f>
        <v>49.562167123287651</v>
      </c>
      <c r="G202" s="296">
        <f>data!AW60</f>
        <v>163.34069452054794</v>
      </c>
      <c r="H202" s="296">
        <f>data!AX60</f>
        <v>0</v>
      </c>
      <c r="I202" s="296">
        <f>data!AY60</f>
        <v>40.976767808219172</v>
      </c>
    </row>
    <row r="203" spans="1:9" customFormat="1" ht="20.100000000000001" customHeight="1" x14ac:dyDescent="0.2">
      <c r="A203" s="288">
        <v>6</v>
      </c>
      <c r="B203" s="289" t="s">
        <v>263</v>
      </c>
      <c r="C203" s="289">
        <f>data!AS61</f>
        <v>0</v>
      </c>
      <c r="D203" s="289">
        <f>data!AT61</f>
        <v>2504953.9400000004</v>
      </c>
      <c r="E203" s="289">
        <f>data!AU61</f>
        <v>0</v>
      </c>
      <c r="F203" s="289">
        <f>data!AV61</f>
        <v>8105932.9900000012</v>
      </c>
      <c r="G203" s="289">
        <f>data!AW61</f>
        <v>15477975.979999997</v>
      </c>
      <c r="H203" s="289">
        <f>data!AX61</f>
        <v>0</v>
      </c>
      <c r="I203" s="289">
        <f>data!AY61</f>
        <v>3080452.7599999993</v>
      </c>
    </row>
    <row r="204" spans="1:9" customFormat="1" ht="20.100000000000001" customHeight="1" x14ac:dyDescent="0.2">
      <c r="A204" s="288">
        <v>7</v>
      </c>
      <c r="B204" s="289" t="s">
        <v>11</v>
      </c>
      <c r="C204" s="289">
        <f>data!AS62</f>
        <v>0</v>
      </c>
      <c r="D204" s="289">
        <f>data!AT62</f>
        <v>548174</v>
      </c>
      <c r="E204" s="289">
        <f>data!AU62</f>
        <v>0</v>
      </c>
      <c r="F204" s="289">
        <f>data!AV62</f>
        <v>1674640</v>
      </c>
      <c r="G204" s="289">
        <f>data!AW62</f>
        <v>3510994</v>
      </c>
      <c r="H204" s="289">
        <f>data!AX62</f>
        <v>0</v>
      </c>
      <c r="I204" s="289">
        <f>data!AY62</f>
        <v>702921</v>
      </c>
    </row>
    <row r="205" spans="1:9" customFormat="1" ht="20.100000000000001" customHeight="1" x14ac:dyDescent="0.2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0</v>
      </c>
      <c r="G205" s="289">
        <f>data!AW63</f>
        <v>0</v>
      </c>
      <c r="H205" s="289">
        <f>data!AX63</f>
        <v>0</v>
      </c>
      <c r="I205" s="289">
        <f>data!AY63</f>
        <v>0</v>
      </c>
    </row>
    <row r="206" spans="1:9" customFormat="1" ht="20.100000000000001" customHeight="1" x14ac:dyDescent="0.2">
      <c r="A206" s="288">
        <v>9</v>
      </c>
      <c r="B206" s="289" t="s">
        <v>265</v>
      </c>
      <c r="C206" s="289">
        <f>data!AS64</f>
        <v>0</v>
      </c>
      <c r="D206" s="289">
        <f>data!AT64</f>
        <v>3789002.89</v>
      </c>
      <c r="E206" s="289">
        <f>data!AU64</f>
        <v>0</v>
      </c>
      <c r="F206" s="289">
        <f>data!AV64</f>
        <v>27652508.310000006</v>
      </c>
      <c r="G206" s="289">
        <f>data!AW64</f>
        <v>196319.53999999998</v>
      </c>
      <c r="H206" s="289">
        <f>data!AX64</f>
        <v>665.28</v>
      </c>
      <c r="I206" s="289">
        <f>data!AY64</f>
        <v>70876.17</v>
      </c>
    </row>
    <row r="207" spans="1:9" customFormat="1" ht="20.100000000000001" customHeight="1" x14ac:dyDescent="0.2">
      <c r="A207" s="288">
        <v>10</v>
      </c>
      <c r="B207" s="289" t="s">
        <v>525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3097.4599999999996</v>
      </c>
      <c r="G207" s="289">
        <f>data!AW65</f>
        <v>2034.86</v>
      </c>
      <c r="H207" s="289">
        <f>data!AX65</f>
        <v>11.33</v>
      </c>
      <c r="I207" s="289">
        <f>data!AY65</f>
        <v>0</v>
      </c>
    </row>
    <row r="208" spans="1:9" customFormat="1" ht="20.100000000000001" customHeight="1" x14ac:dyDescent="0.2">
      <c r="A208" s="288">
        <v>11</v>
      </c>
      <c r="B208" s="289" t="s">
        <v>526</v>
      </c>
      <c r="C208" s="289">
        <f>data!AS66</f>
        <v>0</v>
      </c>
      <c r="D208" s="289">
        <f>data!AT66</f>
        <v>2207952.52</v>
      </c>
      <c r="E208" s="289">
        <f>data!AU66</f>
        <v>0</v>
      </c>
      <c r="F208" s="289">
        <f>data!AV66</f>
        <v>206095.34</v>
      </c>
      <c r="G208" s="289">
        <f>data!AW66</f>
        <v>6524405.1399999997</v>
      </c>
      <c r="H208" s="289">
        <f>data!AX66</f>
        <v>382250.93</v>
      </c>
      <c r="I208" s="289">
        <f>data!AY66</f>
        <v>1793845.8900000001</v>
      </c>
    </row>
    <row r="209" spans="1:9" customFormat="1" ht="20.100000000000001" customHeight="1" x14ac:dyDescent="0.2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0</v>
      </c>
      <c r="F209" s="289">
        <f>data!AV67</f>
        <v>382873</v>
      </c>
      <c r="G209" s="289">
        <f>data!AW67</f>
        <v>17487</v>
      </c>
      <c r="H209" s="289">
        <f>data!AX67</f>
        <v>614</v>
      </c>
      <c r="I209" s="289">
        <f>data!AY67</f>
        <v>7663</v>
      </c>
    </row>
    <row r="210" spans="1:9" customFormat="1" ht="20.100000000000001" customHeight="1" x14ac:dyDescent="0.2">
      <c r="A210" s="288">
        <v>13</v>
      </c>
      <c r="B210" s="289" t="s">
        <v>1008</v>
      </c>
      <c r="C210" s="289">
        <f>data!AS68</f>
        <v>0</v>
      </c>
      <c r="D210" s="289">
        <f>data!AT68</f>
        <v>88490</v>
      </c>
      <c r="E210" s="289">
        <f>data!AU68</f>
        <v>0</v>
      </c>
      <c r="F210" s="289">
        <f>data!AV68</f>
        <v>903910.59</v>
      </c>
      <c r="G210" s="289">
        <f>data!AW68</f>
        <v>318603.55</v>
      </c>
      <c r="H210" s="289">
        <f>data!AX68</f>
        <v>138912</v>
      </c>
      <c r="I210" s="289">
        <f>data!AY68</f>
        <v>220950</v>
      </c>
    </row>
    <row r="211" spans="1:9" customFormat="1" ht="20.100000000000001" customHeight="1" x14ac:dyDescent="0.2">
      <c r="A211" s="288">
        <v>14</v>
      </c>
      <c r="B211" s="289" t="s">
        <v>1009</v>
      </c>
      <c r="C211" s="289">
        <f>data!AS69</f>
        <v>0</v>
      </c>
      <c r="D211" s="289">
        <f>data!AT69</f>
        <v>402447.32</v>
      </c>
      <c r="E211" s="289">
        <f>data!AU69</f>
        <v>0</v>
      </c>
      <c r="F211" s="289">
        <f>data!AV69</f>
        <v>2531983.9000000004</v>
      </c>
      <c r="G211" s="289">
        <f>data!AW69</f>
        <v>1173225.42</v>
      </c>
      <c r="H211" s="289">
        <f>data!AX69</f>
        <v>163490.49</v>
      </c>
      <c r="I211" s="289">
        <f>data!AY69</f>
        <v>248973.39</v>
      </c>
    </row>
    <row r="212" spans="1:9" customFormat="1" ht="20.100000000000001" customHeight="1" x14ac:dyDescent="0.2">
      <c r="A212" s="288">
        <v>15</v>
      </c>
      <c r="B212" s="289" t="s">
        <v>284</v>
      </c>
      <c r="C212" s="289">
        <f>-data!AS84</f>
        <v>0</v>
      </c>
      <c r="D212" s="289">
        <f>-data!AT84</f>
        <v>-229453.29</v>
      </c>
      <c r="E212" s="289">
        <f>-data!AU84</f>
        <v>0</v>
      </c>
      <c r="F212" s="289">
        <f>-data!AV84</f>
        <v>-328562.75</v>
      </c>
      <c r="G212" s="289">
        <f>-data!AW84</f>
        <v>-6614.63</v>
      </c>
      <c r="H212" s="289">
        <f>-data!AX84</f>
        <v>0</v>
      </c>
      <c r="I212" s="289">
        <f>-data!AY84</f>
        <v>0</v>
      </c>
    </row>
    <row r="213" spans="1:9" customFormat="1" ht="20.100000000000001" customHeight="1" x14ac:dyDescent="0.2">
      <c r="A213" s="288">
        <v>16</v>
      </c>
      <c r="B213" s="297" t="s">
        <v>1010</v>
      </c>
      <c r="C213" s="289">
        <f>data!AS85</f>
        <v>0</v>
      </c>
      <c r="D213" s="289">
        <f>data!AT85</f>
        <v>9311567.3800000008</v>
      </c>
      <c r="E213" s="289">
        <f>data!AU85</f>
        <v>0</v>
      </c>
      <c r="F213" s="289">
        <f>data!AV85</f>
        <v>41132478.840000018</v>
      </c>
      <c r="G213" s="289">
        <f>data!AW85</f>
        <v>27214430.859999996</v>
      </c>
      <c r="H213" s="289">
        <f>data!AX85</f>
        <v>685944.03</v>
      </c>
      <c r="I213" s="289">
        <f>data!AY85</f>
        <v>6125682.209999999</v>
      </c>
    </row>
    <row r="214" spans="1:9" customFormat="1" ht="20.100000000000001" customHeight="1" x14ac:dyDescent="0.2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00000000000001" customHeight="1" x14ac:dyDescent="0.2">
      <c r="A215" s="288">
        <v>18</v>
      </c>
      <c r="B215" s="289" t="s">
        <v>1011</v>
      </c>
      <c r="C215" s="297">
        <f>+data!M710</f>
        <v>0</v>
      </c>
      <c r="D215" s="297">
        <f>+data!M711</f>
        <v>362433</v>
      </c>
      <c r="E215" s="297">
        <f>+data!M712</f>
        <v>0</v>
      </c>
      <c r="F215" s="297">
        <f>+data!M713</f>
        <v>6383508</v>
      </c>
      <c r="G215" s="303"/>
      <c r="H215" s="289"/>
      <c r="I215" s="289"/>
    </row>
    <row r="216" spans="1:9" customFormat="1" ht="20.100000000000001" customHeight="1" x14ac:dyDescent="0.2">
      <c r="A216" s="288">
        <v>19</v>
      </c>
      <c r="B216" s="297" t="s">
        <v>1012</v>
      </c>
      <c r="C216" s="289">
        <f>data!AS87</f>
        <v>0</v>
      </c>
      <c r="D216" s="289">
        <f>data!AT87</f>
        <v>10121000</v>
      </c>
      <c r="E216" s="289">
        <f>data!AU87</f>
        <v>0</v>
      </c>
      <c r="F216" s="289">
        <f>data!AV87</f>
        <v>100269905.10000001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00000000000001" customHeight="1" x14ac:dyDescent="0.2">
      <c r="A217" s="288">
        <v>20</v>
      </c>
      <c r="B217" s="297" t="s">
        <v>1013</v>
      </c>
      <c r="C217" s="289">
        <f>data!AS88</f>
        <v>0</v>
      </c>
      <c r="D217" s="289">
        <f>data!AT88</f>
        <v>0</v>
      </c>
      <c r="E217" s="289">
        <f>data!AU88</f>
        <v>0</v>
      </c>
      <c r="F217" s="289">
        <f>data!AV88</f>
        <v>66063216.839999996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00000000000001" customHeight="1" x14ac:dyDescent="0.2">
      <c r="A218" s="288">
        <v>21</v>
      </c>
      <c r="B218" s="297" t="s">
        <v>1014</v>
      </c>
      <c r="C218" s="289">
        <f>data!AS89</f>
        <v>0</v>
      </c>
      <c r="D218" s="289">
        <f>data!AT89</f>
        <v>10121000</v>
      </c>
      <c r="E218" s="289">
        <f>data!AU89</f>
        <v>0</v>
      </c>
      <c r="F218" s="289">
        <f>data!AV89</f>
        <v>166333121.94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00000000000001" customHeight="1" x14ac:dyDescent="0.2">
      <c r="A219" s="288" t="s">
        <v>1015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00000000000001" customHeight="1" x14ac:dyDescent="0.2">
      <c r="A220" s="288">
        <v>22</v>
      </c>
      <c r="B220" s="289" t="s">
        <v>1016</v>
      </c>
      <c r="C220" s="289">
        <f>data!AS90</f>
        <v>0</v>
      </c>
      <c r="D220" s="289">
        <f>data!AT90</f>
        <v>2207</v>
      </c>
      <c r="E220" s="289">
        <f>data!AU90</f>
        <v>0</v>
      </c>
      <c r="F220" s="289">
        <f>data!AV90</f>
        <v>21494</v>
      </c>
      <c r="G220" s="289">
        <f>data!AW90</f>
        <v>7915</v>
      </c>
      <c r="H220" s="289">
        <f>data!AX90</f>
        <v>3415</v>
      </c>
      <c r="I220" s="289">
        <f>data!AY90</f>
        <v>5511</v>
      </c>
    </row>
    <row r="221" spans="1:9" customFormat="1" ht="20.100000000000001" customHeight="1" x14ac:dyDescent="0.2">
      <c r="A221" s="288">
        <v>23</v>
      </c>
      <c r="B221" s="289" t="s">
        <v>1017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00000000000001" customHeight="1" x14ac:dyDescent="0.2">
      <c r="A222" s="288">
        <v>24</v>
      </c>
      <c r="B222" s="289" t="s">
        <v>1018</v>
      </c>
      <c r="C222" s="289">
        <f>data!AS92</f>
        <v>0</v>
      </c>
      <c r="D222" s="289">
        <f>data!AT92</f>
        <v>418.00298075312344</v>
      </c>
      <c r="E222" s="289">
        <f>data!AU92</f>
        <v>0</v>
      </c>
      <c r="F222" s="289">
        <f>data!AV92</f>
        <v>4070.9361433201789</v>
      </c>
      <c r="G222" s="289">
        <f>data!AW92</f>
        <v>1499.0908892890675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00000000000001" customHeight="1" x14ac:dyDescent="0.2">
      <c r="A223" s="288">
        <v>25</v>
      </c>
      <c r="B223" s="289" t="s">
        <v>1019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8995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00000000000001" customHeight="1" x14ac:dyDescent="0.2">
      <c r="A224" s="288">
        <v>26</v>
      </c>
      <c r="B224" s="289" t="s">
        <v>294</v>
      </c>
      <c r="C224" s="296">
        <f>data!AS94</f>
        <v>0</v>
      </c>
      <c r="D224" s="296">
        <f>data!AT94</f>
        <v>7.4499556010928956</v>
      </c>
      <c r="E224" s="296">
        <f>data!AU94</f>
        <v>0</v>
      </c>
      <c r="F224" s="296">
        <f>data!AV94</f>
        <v>57.904707650273217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00000000000001" customHeight="1" x14ac:dyDescent="0.2">
      <c r="A225" s="282" t="s">
        <v>1001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00000000000001" customHeight="1" x14ac:dyDescent="0.2">
      <c r="D226" s="284"/>
      <c r="I226" s="285" t="s">
        <v>1042</v>
      </c>
    </row>
    <row r="227" spans="1:9" customFormat="1" ht="20.100000000000001" customHeight="1" x14ac:dyDescent="0.2">
      <c r="A227" s="284"/>
    </row>
    <row r="228" spans="1:9" customFormat="1" ht="20.100000000000001" customHeight="1" x14ac:dyDescent="0.2">
      <c r="A228" s="286" t="str">
        <f>"Hospital: "&amp;data!C98</f>
        <v>Hospital: Virginia Mason Medical Center</v>
      </c>
      <c r="G228" s="287"/>
      <c r="H228" s="286" t="str">
        <f>"FYE: "&amp;data!C96</f>
        <v>FYE: 06/30/2024</v>
      </c>
    </row>
    <row r="229" spans="1:9" customFormat="1" ht="20.100000000000001" customHeight="1" x14ac:dyDescent="0.2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00000000000001" customHeight="1" x14ac:dyDescent="0.2">
      <c r="A230" s="292">
        <v>2</v>
      </c>
      <c r="B230" s="293" t="s">
        <v>1003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00000000000001" customHeight="1" x14ac:dyDescent="0.2">
      <c r="A231" s="292"/>
      <c r="B231" s="293"/>
      <c r="C231" s="295" t="s">
        <v>163</v>
      </c>
      <c r="D231" s="295" t="s">
        <v>216</v>
      </c>
      <c r="E231" s="295" t="s">
        <v>1043</v>
      </c>
      <c r="F231" s="295" t="s">
        <v>1044</v>
      </c>
      <c r="G231" s="295" t="s">
        <v>166</v>
      </c>
      <c r="H231" s="295" t="s">
        <v>167</v>
      </c>
      <c r="I231" s="295" t="s">
        <v>168</v>
      </c>
    </row>
    <row r="232" spans="1:9" customFormat="1" ht="20.100000000000001" customHeight="1" x14ac:dyDescent="0.2">
      <c r="A232" s="288">
        <v>3</v>
      </c>
      <c r="B232" s="289" t="s">
        <v>1007</v>
      </c>
      <c r="C232" s="291" t="s">
        <v>1045</v>
      </c>
      <c r="D232" s="291" t="s">
        <v>1046</v>
      </c>
      <c r="E232" s="301"/>
      <c r="F232" s="301"/>
      <c r="G232" s="301"/>
      <c r="H232" s="291" t="s">
        <v>260</v>
      </c>
      <c r="I232" s="301"/>
    </row>
    <row r="233" spans="1:9" customFormat="1" ht="20.100000000000001" customHeight="1" x14ac:dyDescent="0.2">
      <c r="A233" s="288">
        <v>4</v>
      </c>
      <c r="B233" s="289" t="s">
        <v>261</v>
      </c>
      <c r="C233" s="289">
        <f>data!AZ59</f>
        <v>351252</v>
      </c>
      <c r="D233" s="289">
        <f>data!BA59</f>
        <v>0</v>
      </c>
      <c r="E233" s="301"/>
      <c r="F233" s="301"/>
      <c r="G233" s="301"/>
      <c r="H233" s="289">
        <f>data!BE59</f>
        <v>1475211</v>
      </c>
      <c r="I233" s="301"/>
    </row>
    <row r="234" spans="1:9" customFormat="1" ht="20.100000000000001" customHeight="1" x14ac:dyDescent="0.2">
      <c r="A234" s="288">
        <v>5</v>
      </c>
      <c r="B234" s="289" t="s">
        <v>262</v>
      </c>
      <c r="C234" s="296">
        <f>data!AZ60</f>
        <v>17.617954794520546</v>
      </c>
      <c r="D234" s="296">
        <f>data!BA60</f>
        <v>0</v>
      </c>
      <c r="E234" s="296">
        <f>data!BB60</f>
        <v>0</v>
      </c>
      <c r="F234" s="296">
        <f>data!BC60</f>
        <v>0</v>
      </c>
      <c r="G234" s="296">
        <f>data!BD60</f>
        <v>0</v>
      </c>
      <c r="H234" s="296">
        <f>data!BE60</f>
        <v>37.411677397260277</v>
      </c>
      <c r="I234" s="296">
        <f>data!BF60</f>
        <v>93.237981506849323</v>
      </c>
    </row>
    <row r="235" spans="1:9" customFormat="1" ht="20.100000000000001" customHeight="1" x14ac:dyDescent="0.2">
      <c r="A235" s="288">
        <v>6</v>
      </c>
      <c r="B235" s="289" t="s">
        <v>263</v>
      </c>
      <c r="C235" s="289">
        <f>data!AZ61</f>
        <v>1220805.3800000001</v>
      </c>
      <c r="D235" s="289">
        <f>data!BA61</f>
        <v>0</v>
      </c>
      <c r="E235" s="289">
        <f>data!BB61</f>
        <v>0</v>
      </c>
      <c r="F235" s="289">
        <f>data!BC61</f>
        <v>0</v>
      </c>
      <c r="G235" s="289">
        <f>data!BD61</f>
        <v>0</v>
      </c>
      <c r="H235" s="289">
        <f>data!BE61</f>
        <v>2999966.08</v>
      </c>
      <c r="I235" s="289">
        <f>data!BF61</f>
        <v>6006557.0300000003</v>
      </c>
    </row>
    <row r="236" spans="1:9" customFormat="1" ht="20.100000000000001" customHeight="1" x14ac:dyDescent="0.2">
      <c r="A236" s="288">
        <v>7</v>
      </c>
      <c r="B236" s="289" t="s">
        <v>11</v>
      </c>
      <c r="C236" s="289">
        <f>data!AZ62</f>
        <v>280009</v>
      </c>
      <c r="D236" s="289">
        <f>data!BA62</f>
        <v>0</v>
      </c>
      <c r="E236" s="289">
        <f>data!BB62</f>
        <v>0</v>
      </c>
      <c r="F236" s="289">
        <f>data!BC62</f>
        <v>0</v>
      </c>
      <c r="G236" s="289">
        <f>data!BD62</f>
        <v>0</v>
      </c>
      <c r="H236" s="289">
        <f>data!BE62</f>
        <v>370203</v>
      </c>
      <c r="I236" s="289">
        <f>data!BF62</f>
        <v>1501639</v>
      </c>
    </row>
    <row r="237" spans="1:9" customFormat="1" ht="20.100000000000001" customHeight="1" x14ac:dyDescent="0.2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0</v>
      </c>
      <c r="H237" s="289">
        <f>data!BE63</f>
        <v>0</v>
      </c>
      <c r="I237" s="289">
        <f>data!BF63</f>
        <v>0</v>
      </c>
    </row>
    <row r="238" spans="1:9" customFormat="1" ht="20.100000000000001" customHeight="1" x14ac:dyDescent="0.2">
      <c r="A238" s="288">
        <v>9</v>
      </c>
      <c r="B238" s="289" t="s">
        <v>265</v>
      </c>
      <c r="C238" s="289">
        <f>data!AZ64</f>
        <v>56606.209999999992</v>
      </c>
      <c r="D238" s="289">
        <f>data!BA64</f>
        <v>0</v>
      </c>
      <c r="E238" s="289">
        <f>data!BB64</f>
        <v>0</v>
      </c>
      <c r="F238" s="289">
        <f>data!BC64</f>
        <v>129455.59999999999</v>
      </c>
      <c r="G238" s="289">
        <f>data!BD64</f>
        <v>1195329.33</v>
      </c>
      <c r="H238" s="289">
        <f>data!BE64</f>
        <v>1360010.1199999999</v>
      </c>
      <c r="I238" s="289">
        <f>data!BF64</f>
        <v>603560.01000000013</v>
      </c>
    </row>
    <row r="239" spans="1:9" customFormat="1" ht="20.100000000000001" customHeight="1" x14ac:dyDescent="0.2">
      <c r="A239" s="288">
        <v>10</v>
      </c>
      <c r="B239" s="289" t="s">
        <v>525</v>
      </c>
      <c r="C239" s="289">
        <f>data!AZ65</f>
        <v>38357.61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1.26</v>
      </c>
      <c r="H239" s="289">
        <f>data!BE65</f>
        <v>8276144.3000000007</v>
      </c>
      <c r="I239" s="289">
        <f>data!BF65</f>
        <v>1887265.67</v>
      </c>
    </row>
    <row r="240" spans="1:9" customFormat="1" ht="20.100000000000001" customHeight="1" x14ac:dyDescent="0.2">
      <c r="A240" s="288">
        <v>11</v>
      </c>
      <c r="B240" s="289" t="s">
        <v>526</v>
      </c>
      <c r="C240" s="289">
        <f>data!AZ66</f>
        <v>3182762.18</v>
      </c>
      <c r="D240" s="289">
        <f>data!BA66</f>
        <v>1131.27</v>
      </c>
      <c r="E240" s="289">
        <f>data!BB66</f>
        <v>0</v>
      </c>
      <c r="F240" s="289">
        <f>data!BC66</f>
        <v>677548.78</v>
      </c>
      <c r="G240" s="289">
        <f>data!BD66</f>
        <v>69403.199999999997</v>
      </c>
      <c r="H240" s="289">
        <f>data!BE66</f>
        <v>1322452.4099999999</v>
      </c>
      <c r="I240" s="289">
        <f>data!BF66</f>
        <v>962055.51</v>
      </c>
    </row>
    <row r="241" spans="1:9" customFormat="1" ht="20.100000000000001" customHeight="1" x14ac:dyDescent="0.2">
      <c r="A241" s="288">
        <v>12</v>
      </c>
      <c r="B241" s="289" t="s">
        <v>16</v>
      </c>
      <c r="C241" s="289">
        <f>data!AZ67</f>
        <v>122456</v>
      </c>
      <c r="D241" s="289">
        <f>data!BA67</f>
        <v>0</v>
      </c>
      <c r="E241" s="289">
        <f>data!BB67</f>
        <v>0</v>
      </c>
      <c r="F241" s="289">
        <f>data!BC67</f>
        <v>22809</v>
      </c>
      <c r="G241" s="289">
        <f>data!BD67</f>
        <v>0</v>
      </c>
      <c r="H241" s="289">
        <f>data!BE67</f>
        <v>12631671</v>
      </c>
      <c r="I241" s="289">
        <f>data!BF67</f>
        <v>17810</v>
      </c>
    </row>
    <row r="242" spans="1:9" customFormat="1" ht="20.100000000000001" customHeight="1" x14ac:dyDescent="0.2">
      <c r="A242" s="288">
        <v>13</v>
      </c>
      <c r="B242" s="289" t="s">
        <v>1008</v>
      </c>
      <c r="C242" s="289">
        <f>data!AZ68</f>
        <v>683390</v>
      </c>
      <c r="D242" s="289">
        <f>data!BA68</f>
        <v>128010</v>
      </c>
      <c r="E242" s="289">
        <f>data!BB68</f>
        <v>0</v>
      </c>
      <c r="F242" s="289">
        <f>data!BC68</f>
        <v>21230</v>
      </c>
      <c r="G242" s="289">
        <f>data!BD68</f>
        <v>0</v>
      </c>
      <c r="H242" s="289">
        <f>data!BE68</f>
        <v>510358.70999999996</v>
      </c>
      <c r="I242" s="289">
        <f>data!BF68</f>
        <v>328122.69</v>
      </c>
    </row>
    <row r="243" spans="1:9" customFormat="1" ht="20.100000000000001" customHeight="1" x14ac:dyDescent="0.2">
      <c r="A243" s="288">
        <v>14</v>
      </c>
      <c r="B243" s="289" t="s">
        <v>1009</v>
      </c>
      <c r="C243" s="289">
        <f>data!AZ69</f>
        <v>649251.42999999993</v>
      </c>
      <c r="D243" s="289">
        <f>data!BA69</f>
        <v>2309608.44</v>
      </c>
      <c r="E243" s="289">
        <f>data!BB69</f>
        <v>0</v>
      </c>
      <c r="F243" s="289">
        <f>data!BC69</f>
        <v>2249229.2100000004</v>
      </c>
      <c r="G243" s="289">
        <f>data!BD69</f>
        <v>270369.31</v>
      </c>
      <c r="H243" s="289">
        <f>data!BE69</f>
        <v>9395453.4400000013</v>
      </c>
      <c r="I243" s="289">
        <f>data!BF69</f>
        <v>4252204.41</v>
      </c>
    </row>
    <row r="244" spans="1:9" customFormat="1" ht="20.100000000000001" customHeight="1" x14ac:dyDescent="0.2">
      <c r="A244" s="288">
        <v>15</v>
      </c>
      <c r="B244" s="289" t="s">
        <v>284</v>
      </c>
      <c r="C244" s="289">
        <f>-data!AZ84</f>
        <v>-2922756.3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-971.04</v>
      </c>
      <c r="H244" s="289">
        <f>-data!BE84</f>
        <v>-295176.96000000002</v>
      </c>
      <c r="I244" s="289">
        <f>-data!BF84</f>
        <v>0</v>
      </c>
    </row>
    <row r="245" spans="1:9" customFormat="1" ht="20.100000000000001" customHeight="1" x14ac:dyDescent="0.2">
      <c r="A245" s="288">
        <v>16</v>
      </c>
      <c r="B245" s="297" t="s">
        <v>1010</v>
      </c>
      <c r="C245" s="289">
        <f>data!AZ85</f>
        <v>3310881.5100000007</v>
      </c>
      <c r="D245" s="289">
        <f>data!BA85</f>
        <v>2438749.71</v>
      </c>
      <c r="E245" s="289">
        <f>data!BB85</f>
        <v>0</v>
      </c>
      <c r="F245" s="289">
        <f>data!BC85</f>
        <v>3100272.5900000003</v>
      </c>
      <c r="G245" s="289">
        <f>data!BD85</f>
        <v>1534132.06</v>
      </c>
      <c r="H245" s="289">
        <f>data!BE85</f>
        <v>36571082.100000001</v>
      </c>
      <c r="I245" s="289">
        <f>data!BF85</f>
        <v>15559214.32</v>
      </c>
    </row>
    <row r="246" spans="1:9" customFormat="1" ht="20.100000000000001" customHeight="1" x14ac:dyDescent="0.2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00000000000001" customHeight="1" x14ac:dyDescent="0.2">
      <c r="A247" s="288">
        <v>18</v>
      </c>
      <c r="B247" s="289" t="s">
        <v>1011</v>
      </c>
      <c r="C247" s="289"/>
      <c r="D247" s="289"/>
      <c r="E247" s="289"/>
      <c r="F247" s="289"/>
      <c r="G247" s="289"/>
      <c r="H247" s="289"/>
      <c r="I247" s="289"/>
    </row>
    <row r="248" spans="1:9" customFormat="1" ht="20.100000000000001" customHeight="1" x14ac:dyDescent="0.2">
      <c r="A248" s="288">
        <v>19</v>
      </c>
      <c r="B248" s="297" t="s">
        <v>1012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00000000000001" customHeight="1" x14ac:dyDescent="0.2">
      <c r="A249" s="288">
        <v>20</v>
      </c>
      <c r="B249" s="297" t="s">
        <v>1013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00000000000001" customHeight="1" x14ac:dyDescent="0.2">
      <c r="A250" s="288">
        <v>21</v>
      </c>
      <c r="B250" s="297" t="s">
        <v>1014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00000000000001" customHeight="1" x14ac:dyDescent="0.2">
      <c r="A251" s="288" t="s">
        <v>1015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00000000000001" customHeight="1" x14ac:dyDescent="0.2">
      <c r="A252" s="288">
        <v>22</v>
      </c>
      <c r="B252" s="289" t="s">
        <v>1016</v>
      </c>
      <c r="C252" s="305">
        <f>data!AZ90</f>
        <v>17044</v>
      </c>
      <c r="D252" s="305">
        <f>data!BA90</f>
        <v>3193</v>
      </c>
      <c r="E252" s="305">
        <f>data!BB90</f>
        <v>301</v>
      </c>
      <c r="F252" s="305">
        <f>data!BC90</f>
        <v>530</v>
      </c>
      <c r="G252" s="305">
        <f>data!BD90</f>
        <v>8677</v>
      </c>
      <c r="H252" s="305">
        <f>data!BE90</f>
        <v>363675</v>
      </c>
      <c r="I252" s="305">
        <f>data!BF90</f>
        <v>8107</v>
      </c>
    </row>
    <row r="253" spans="1:9" customFormat="1" ht="20.100000000000001" customHeight="1" x14ac:dyDescent="0.2">
      <c r="A253" s="288">
        <v>23</v>
      </c>
      <c r="B253" s="289" t="s">
        <v>1017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00000000000001" customHeight="1" x14ac:dyDescent="0.2">
      <c r="A254" s="288">
        <v>24</v>
      </c>
      <c r="B254" s="289" t="s">
        <v>1018</v>
      </c>
      <c r="C254" s="304" t="str">
        <f>IF(data!AZ92&gt;0,data!AZ92,"")</f>
        <v>x</v>
      </c>
      <c r="D254" s="305">
        <f>data!BA92</f>
        <v>604.75012122552016</v>
      </c>
      <c r="E254" s="305">
        <f>data!BB92</f>
        <v>57.009015499179952</v>
      </c>
      <c r="F254" s="305">
        <f>data!BC92</f>
        <v>100.38132297197799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00000000000001" customHeight="1" x14ac:dyDescent="0.2">
      <c r="A255" s="288">
        <v>25</v>
      </c>
      <c r="B255" s="289" t="s">
        <v>1019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00000000000001" customHeight="1" x14ac:dyDescent="0.2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00000000000001" customHeight="1" x14ac:dyDescent="0.2">
      <c r="A257" s="282" t="s">
        <v>1001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00000000000001" customHeight="1" x14ac:dyDescent="0.2">
      <c r="D258" s="284"/>
      <c r="I258" s="285" t="s">
        <v>1047</v>
      </c>
    </row>
    <row r="259" spans="1:9" customFormat="1" ht="20.100000000000001" customHeight="1" x14ac:dyDescent="0.2">
      <c r="A259" s="284"/>
    </row>
    <row r="260" spans="1:9" customFormat="1" ht="20.100000000000001" customHeight="1" x14ac:dyDescent="0.2">
      <c r="A260" s="286" t="str">
        <f>"Hospital: "&amp;data!C98</f>
        <v>Hospital: Virginia Mason Medical Center</v>
      </c>
      <c r="G260" s="287"/>
      <c r="H260" s="286" t="str">
        <f>"FYE: "&amp;data!C96</f>
        <v>FYE: 06/30/2024</v>
      </c>
    </row>
    <row r="261" spans="1:9" customFormat="1" ht="20.100000000000001" customHeight="1" x14ac:dyDescent="0.2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00000000000001" customHeight="1" x14ac:dyDescent="0.2">
      <c r="A262" s="292">
        <v>2</v>
      </c>
      <c r="B262" s="293" t="s">
        <v>1003</v>
      </c>
      <c r="C262" s="295" t="s">
        <v>1048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00000000000001" customHeight="1" x14ac:dyDescent="0.2">
      <c r="A263" s="292"/>
      <c r="B263" s="293"/>
      <c r="C263" s="295" t="s">
        <v>1049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1050</v>
      </c>
    </row>
    <row r="264" spans="1:9" customFormat="1" ht="20.100000000000001" customHeight="1" x14ac:dyDescent="0.2">
      <c r="A264" s="288">
        <v>3</v>
      </c>
      <c r="B264" s="289" t="s">
        <v>1007</v>
      </c>
      <c r="C264" s="301"/>
      <c r="D264" s="301"/>
      <c r="E264" s="301"/>
      <c r="F264" s="301"/>
      <c r="G264" s="301"/>
      <c r="H264" s="301"/>
      <c r="I264" s="301"/>
    </row>
    <row r="265" spans="1:9" customFormat="1" ht="20.100000000000001" customHeight="1" x14ac:dyDescent="0.2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00000000000001" customHeight="1" x14ac:dyDescent="0.2">
      <c r="A266" s="288">
        <v>5</v>
      </c>
      <c r="B266" s="289" t="s">
        <v>262</v>
      </c>
      <c r="C266" s="296">
        <f>data!BG60</f>
        <v>164.11966506849313</v>
      </c>
      <c r="D266" s="296">
        <f>data!BH60</f>
        <v>20.759032191780818</v>
      </c>
      <c r="E266" s="296">
        <f>data!BI60</f>
        <v>1.0027308219178082</v>
      </c>
      <c r="F266" s="296">
        <f>data!BJ60</f>
        <v>2.9847472602739731</v>
      </c>
      <c r="G266" s="296">
        <f>data!BK60</f>
        <v>178.29773835616442</v>
      </c>
      <c r="H266" s="296">
        <f>data!BL60</f>
        <v>67.731247260273975</v>
      </c>
      <c r="I266" s="296">
        <f>data!BM60</f>
        <v>5.1005500000000001</v>
      </c>
    </row>
    <row r="267" spans="1:9" customFormat="1" ht="20.100000000000001" customHeight="1" x14ac:dyDescent="0.2">
      <c r="A267" s="288">
        <v>6</v>
      </c>
      <c r="B267" s="289" t="s">
        <v>263</v>
      </c>
      <c r="C267" s="289">
        <f>data!BG61</f>
        <v>10108565.739999998</v>
      </c>
      <c r="D267" s="289">
        <f>data!BH61</f>
        <v>2287425.7799999998</v>
      </c>
      <c r="E267" s="289">
        <f>data!BI61</f>
        <v>175033.66999999998</v>
      </c>
      <c r="F267" s="289">
        <f>data!BJ61</f>
        <v>300411.96999999997</v>
      </c>
      <c r="G267" s="289">
        <f>data!BK61</f>
        <v>14347318.239999995</v>
      </c>
      <c r="H267" s="289">
        <f>data!BL61</f>
        <v>5881893.6700000009</v>
      </c>
      <c r="I267" s="289">
        <f>data!BM61</f>
        <v>676409.39999999991</v>
      </c>
    </row>
    <row r="268" spans="1:9" customFormat="1" ht="20.100000000000001" customHeight="1" x14ac:dyDescent="0.2">
      <c r="A268" s="288">
        <v>7</v>
      </c>
      <c r="B268" s="289" t="s">
        <v>11</v>
      </c>
      <c r="C268" s="289">
        <f>data!BG62</f>
        <v>2329115</v>
      </c>
      <c r="D268" s="289">
        <f>data!BH62</f>
        <v>497676</v>
      </c>
      <c r="E268" s="289">
        <f>data!BI62</f>
        <v>40151</v>
      </c>
      <c r="F268" s="289">
        <f>data!BJ62</f>
        <v>41473</v>
      </c>
      <c r="G268" s="289">
        <f>data!BK62</f>
        <v>3217293</v>
      </c>
      <c r="H268" s="289">
        <f>data!BL62</f>
        <v>1348726</v>
      </c>
      <c r="I268" s="289">
        <f>data!BM62</f>
        <v>153616</v>
      </c>
    </row>
    <row r="269" spans="1:9" customFormat="1" ht="20.100000000000001" customHeight="1" x14ac:dyDescent="0.2">
      <c r="A269" s="288">
        <v>8</v>
      </c>
      <c r="B269" s="289" t="s">
        <v>264</v>
      </c>
      <c r="C269" s="289">
        <f>data!BG63</f>
        <v>0</v>
      </c>
      <c r="D269" s="289">
        <f>data!BH63</f>
        <v>0</v>
      </c>
      <c r="E269" s="289">
        <f>data!BI63</f>
        <v>0</v>
      </c>
      <c r="F269" s="289">
        <f>data!BJ63</f>
        <v>0</v>
      </c>
      <c r="G269" s="289">
        <f>data!BK63</f>
        <v>0</v>
      </c>
      <c r="H269" s="289">
        <f>data!BL63</f>
        <v>0</v>
      </c>
      <c r="I269" s="289">
        <f>data!BM63</f>
        <v>0</v>
      </c>
    </row>
    <row r="270" spans="1:9" customFormat="1" ht="20.100000000000001" customHeight="1" x14ac:dyDescent="0.2">
      <c r="A270" s="288">
        <v>9</v>
      </c>
      <c r="B270" s="289" t="s">
        <v>265</v>
      </c>
      <c r="C270" s="289">
        <f>data!BG64</f>
        <v>3370.14</v>
      </c>
      <c r="D270" s="289">
        <f>data!BH64</f>
        <v>970843.62</v>
      </c>
      <c r="E270" s="289">
        <f>data!BI64</f>
        <v>527406.17000000016</v>
      </c>
      <c r="F270" s="289">
        <f>data!BJ64</f>
        <v>12966.39</v>
      </c>
      <c r="G270" s="289">
        <f>data!BK64</f>
        <v>442808.6100000001</v>
      </c>
      <c r="H270" s="289">
        <f>data!BL64</f>
        <v>23486.179999999997</v>
      </c>
      <c r="I270" s="289">
        <f>data!BM64</f>
        <v>781.25</v>
      </c>
    </row>
    <row r="271" spans="1:9" customFormat="1" ht="20.100000000000001" customHeight="1" x14ac:dyDescent="0.2">
      <c r="A271" s="288">
        <v>10</v>
      </c>
      <c r="B271" s="289" t="s">
        <v>525</v>
      </c>
      <c r="C271" s="289">
        <f>data!BG65</f>
        <v>-519.64</v>
      </c>
      <c r="D271" s="289">
        <f>data!BH65</f>
        <v>2534817.3199999998</v>
      </c>
      <c r="E271" s="289">
        <f>data!BI65</f>
        <v>10.08</v>
      </c>
      <c r="F271" s="289">
        <f>data!BJ65</f>
        <v>1.26</v>
      </c>
      <c r="G271" s="289">
        <f>data!BK65</f>
        <v>200</v>
      </c>
      <c r="H271" s="289">
        <f>data!BL65</f>
        <v>16.36</v>
      </c>
      <c r="I271" s="289">
        <f>data!BM65</f>
        <v>1.26</v>
      </c>
    </row>
    <row r="272" spans="1:9" customFormat="1" ht="20.100000000000001" customHeight="1" x14ac:dyDescent="0.2">
      <c r="A272" s="288">
        <v>11</v>
      </c>
      <c r="B272" s="289" t="s">
        <v>526</v>
      </c>
      <c r="C272" s="289">
        <f>data!BG66</f>
        <v>17509.14</v>
      </c>
      <c r="D272" s="289">
        <f>data!BH66</f>
        <v>9467976.5100000016</v>
      </c>
      <c r="E272" s="289">
        <f>data!BI66</f>
        <v>9586972.4600000009</v>
      </c>
      <c r="F272" s="289">
        <f>data!BJ66</f>
        <v>516077.28</v>
      </c>
      <c r="G272" s="289">
        <f>data!BK66</f>
        <v>2092138.0399999998</v>
      </c>
      <c r="H272" s="289">
        <f>data!BL66</f>
        <v>8348.130000000001</v>
      </c>
      <c r="I272" s="289">
        <f>data!BM66</f>
        <v>1707005.07</v>
      </c>
    </row>
    <row r="273" spans="1:9" customFormat="1" ht="20.100000000000001" customHeight="1" x14ac:dyDescent="0.2">
      <c r="A273" s="288">
        <v>12</v>
      </c>
      <c r="B273" s="289" t="s">
        <v>16</v>
      </c>
      <c r="C273" s="289">
        <f>data!BG67</f>
        <v>10777</v>
      </c>
      <c r="D273" s="289">
        <f>data!BH67</f>
        <v>2098160</v>
      </c>
      <c r="E273" s="289">
        <f>data!BI67</f>
        <v>23350</v>
      </c>
      <c r="F273" s="289">
        <f>data!BJ67</f>
        <v>0</v>
      </c>
      <c r="G273" s="289">
        <f>data!BK67</f>
        <v>18502</v>
      </c>
      <c r="H273" s="289">
        <f>data!BL67</f>
        <v>877</v>
      </c>
      <c r="I273" s="289">
        <f>data!BM67</f>
        <v>3755</v>
      </c>
    </row>
    <row r="274" spans="1:9" customFormat="1" ht="20.100000000000001" customHeight="1" x14ac:dyDescent="0.2">
      <c r="A274" s="288">
        <v>13</v>
      </c>
      <c r="B274" s="289" t="s">
        <v>1008</v>
      </c>
      <c r="C274" s="289">
        <f>data!BG68</f>
        <v>401061.78</v>
      </c>
      <c r="D274" s="289">
        <f>data!BH68</f>
        <v>2088104.2</v>
      </c>
      <c r="E274" s="289">
        <f>data!BI68</f>
        <v>288676.25</v>
      </c>
      <c r="F274" s="289">
        <f>data!BJ68</f>
        <v>141905.74</v>
      </c>
      <c r="G274" s="289">
        <f>data!BK68</f>
        <v>91201.08</v>
      </c>
      <c r="H274" s="289">
        <f>data!BL68</f>
        <v>350522.42</v>
      </c>
      <c r="I274" s="289">
        <f>data!BM68</f>
        <v>31095.01</v>
      </c>
    </row>
    <row r="275" spans="1:9" customFormat="1" ht="20.100000000000001" customHeight="1" x14ac:dyDescent="0.2">
      <c r="A275" s="288">
        <v>14</v>
      </c>
      <c r="B275" s="289" t="s">
        <v>1009</v>
      </c>
      <c r="C275" s="289">
        <f>data!BG69</f>
        <v>226614.51</v>
      </c>
      <c r="D275" s="289">
        <f>data!BH69</f>
        <v>12358285.960000001</v>
      </c>
      <c r="E275" s="289">
        <f>data!BI69</f>
        <v>550862.99</v>
      </c>
      <c r="F275" s="289">
        <f>data!BJ69</f>
        <v>255215.19000000003</v>
      </c>
      <c r="G275" s="289">
        <f>data!BK69</f>
        <v>1283900.55</v>
      </c>
      <c r="H275" s="289">
        <f>data!BL69</f>
        <v>377038.84000000008</v>
      </c>
      <c r="I275" s="289">
        <f>data!BM69</f>
        <v>185612.55</v>
      </c>
    </row>
    <row r="276" spans="1:9" customFormat="1" ht="20.100000000000001" customHeight="1" x14ac:dyDescent="0.2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0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00000000000001" customHeight="1" x14ac:dyDescent="0.2">
      <c r="A277" s="288">
        <v>16</v>
      </c>
      <c r="B277" s="297" t="s">
        <v>1010</v>
      </c>
      <c r="C277" s="289">
        <f>data!BG85</f>
        <v>13096493.669999998</v>
      </c>
      <c r="D277" s="289">
        <f>data!BH85</f>
        <v>32303289.390000001</v>
      </c>
      <c r="E277" s="289">
        <f>data!BI85</f>
        <v>11192462.620000001</v>
      </c>
      <c r="F277" s="289">
        <f>data!BJ85</f>
        <v>1268050.83</v>
      </c>
      <c r="G277" s="289">
        <f>data!BK85</f>
        <v>21493361.519999992</v>
      </c>
      <c r="H277" s="289">
        <f>data!BL85</f>
        <v>7990908.6000000006</v>
      </c>
      <c r="I277" s="289">
        <f>data!BM85</f>
        <v>2758275.5399999996</v>
      </c>
    </row>
    <row r="278" spans="1:9" customFormat="1" ht="20.100000000000001" customHeight="1" x14ac:dyDescent="0.2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00000000000001" customHeight="1" x14ac:dyDescent="0.2">
      <c r="A279" s="288">
        <v>18</v>
      </c>
      <c r="B279" s="289" t="s">
        <v>1011</v>
      </c>
      <c r="C279" s="289"/>
      <c r="D279" s="289"/>
      <c r="E279" s="289"/>
      <c r="F279" s="289"/>
      <c r="G279" s="289"/>
      <c r="H279" s="289"/>
      <c r="I279" s="289"/>
    </row>
    <row r="280" spans="1:9" customFormat="1" ht="20.100000000000001" customHeight="1" x14ac:dyDescent="0.2">
      <c r="A280" s="288">
        <v>19</v>
      </c>
      <c r="B280" s="297" t="s">
        <v>1012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00000000000001" customHeight="1" x14ac:dyDescent="0.2">
      <c r="A281" s="288">
        <v>20</v>
      </c>
      <c r="B281" s="297" t="s">
        <v>1013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00000000000001" customHeight="1" x14ac:dyDescent="0.2">
      <c r="A282" s="288">
        <v>21</v>
      </c>
      <c r="B282" s="297" t="s">
        <v>1014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00000000000001" customHeight="1" x14ac:dyDescent="0.2">
      <c r="A283" s="288" t="s">
        <v>1015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00000000000001" customHeight="1" x14ac:dyDescent="0.2">
      <c r="A284" s="288">
        <v>22</v>
      </c>
      <c r="B284" s="289" t="s">
        <v>1016</v>
      </c>
      <c r="C284" s="305">
        <f>data!BG90</f>
        <v>11091</v>
      </c>
      <c r="D284" s="305">
        <f>data!BH90</f>
        <v>18972</v>
      </c>
      <c r="E284" s="305">
        <f>data!BI90</f>
        <v>7131</v>
      </c>
      <c r="F284" s="305">
        <f>data!BJ90</f>
        <v>2226</v>
      </c>
      <c r="G284" s="305">
        <f>data!BK90</f>
        <v>2187</v>
      </c>
      <c r="H284" s="305">
        <f>data!BL90</f>
        <v>8109</v>
      </c>
      <c r="I284" s="305">
        <f>data!BM90</f>
        <v>2405</v>
      </c>
    </row>
    <row r="285" spans="1:9" customFormat="1" ht="20.100000000000001" customHeight="1" x14ac:dyDescent="0.2">
      <c r="A285" s="288">
        <v>23</v>
      </c>
      <c r="B285" s="289" t="s">
        <v>1017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00000000000001" customHeight="1" x14ac:dyDescent="0.2">
      <c r="A286" s="288">
        <v>24</v>
      </c>
      <c r="B286" s="289" t="s">
        <v>1018</v>
      </c>
      <c r="C286" s="304" t="str">
        <f>IF(data!BG92&gt;0,data!BG92,"")</f>
        <v>x</v>
      </c>
      <c r="D286" s="305">
        <f>data!BH92</f>
        <v>3593.2725649516351</v>
      </c>
      <c r="E286" s="305">
        <f>data!BI92</f>
        <v>1350.6022907795755</v>
      </c>
      <c r="F286" s="304" t="str">
        <f>IF(data!BJ92&gt;0,data!BJ92,"")</f>
        <v>x</v>
      </c>
      <c r="G286" s="305">
        <f>data!BK92</f>
        <v>414.21500630135063</v>
      </c>
      <c r="H286" s="305">
        <f>data!BL92</f>
        <v>1535.8342414712631</v>
      </c>
      <c r="I286" s="305">
        <f>data!BM92</f>
        <v>455.50392782567371</v>
      </c>
    </row>
    <row r="287" spans="1:9" customFormat="1" ht="20.100000000000001" customHeight="1" x14ac:dyDescent="0.2">
      <c r="A287" s="288">
        <v>25</v>
      </c>
      <c r="B287" s="289" t="s">
        <v>1019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00000000000001" customHeight="1" x14ac:dyDescent="0.2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00000000000001" customHeight="1" x14ac:dyDescent="0.2">
      <c r="A289" s="282" t="s">
        <v>1001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00000000000001" customHeight="1" x14ac:dyDescent="0.2">
      <c r="D290" s="284"/>
      <c r="I290" s="285" t="s">
        <v>1051</v>
      </c>
    </row>
    <row r="291" spans="1:9" customFormat="1" ht="20.100000000000001" customHeight="1" x14ac:dyDescent="0.2">
      <c r="A291" s="284"/>
    </row>
    <row r="292" spans="1:9" customFormat="1" ht="20.100000000000001" customHeight="1" x14ac:dyDescent="0.2">
      <c r="A292" s="286" t="str">
        <f>"Hospital: "&amp;data!C98</f>
        <v>Hospital: Virginia Mason Medical Center</v>
      </c>
      <c r="G292" s="287"/>
      <c r="H292" s="286" t="str">
        <f>"FYE: "&amp;data!C96</f>
        <v>FYE: 06/30/2024</v>
      </c>
    </row>
    <row r="293" spans="1:9" customFormat="1" ht="20.100000000000001" customHeight="1" x14ac:dyDescent="0.2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00000000000001" customHeight="1" x14ac:dyDescent="0.2">
      <c r="A294" s="292">
        <v>2</v>
      </c>
      <c r="B294" s="293" t="s">
        <v>1003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00000000000001" customHeight="1" x14ac:dyDescent="0.2">
      <c r="A295" s="292"/>
      <c r="B295" s="293"/>
      <c r="C295" s="295" t="s">
        <v>1052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00000000000001" customHeight="1" x14ac:dyDescent="0.2">
      <c r="A296" s="288">
        <v>3</v>
      </c>
      <c r="B296" s="289" t="s">
        <v>1007</v>
      </c>
      <c r="C296" s="301"/>
      <c r="D296" s="301"/>
      <c r="E296" s="301"/>
      <c r="F296" s="301"/>
      <c r="G296" s="301"/>
      <c r="H296" s="301"/>
      <c r="I296" s="301"/>
    </row>
    <row r="297" spans="1:9" customFormat="1" ht="20.100000000000001" customHeight="1" x14ac:dyDescent="0.2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00000000000001" customHeight="1" x14ac:dyDescent="0.2">
      <c r="A298" s="288">
        <v>5</v>
      </c>
      <c r="B298" s="289" t="s">
        <v>262</v>
      </c>
      <c r="C298" s="296">
        <f>data!BN60</f>
        <v>6.9837273972602745</v>
      </c>
      <c r="D298" s="296">
        <f>data!BO60</f>
        <v>1.0412643835616437</v>
      </c>
      <c r="E298" s="296">
        <f>data!BP60</f>
        <v>5.9021650684931499</v>
      </c>
      <c r="F298" s="296">
        <f>data!BQ60</f>
        <v>0</v>
      </c>
      <c r="G298" s="296">
        <f>data!BR60</f>
        <v>0.44766917808219175</v>
      </c>
      <c r="H298" s="296">
        <f>data!BS60</f>
        <v>0</v>
      </c>
      <c r="I298" s="296">
        <f>data!BT60</f>
        <v>0</v>
      </c>
    </row>
    <row r="299" spans="1:9" customFormat="1" ht="20.100000000000001" customHeight="1" x14ac:dyDescent="0.2">
      <c r="A299" s="288">
        <v>6</v>
      </c>
      <c r="B299" s="289" t="s">
        <v>263</v>
      </c>
      <c r="C299" s="289">
        <f>data!BN61</f>
        <v>1850994.79</v>
      </c>
      <c r="D299" s="289">
        <f>data!BO61</f>
        <v>117554.31999999999</v>
      </c>
      <c r="E299" s="289">
        <f>data!BP61</f>
        <v>676881.39</v>
      </c>
      <c r="F299" s="289">
        <f>data!BQ61</f>
        <v>0</v>
      </c>
      <c r="G299" s="289">
        <f>data!BR61</f>
        <v>32041.07</v>
      </c>
      <c r="H299" s="289">
        <f>data!BS61</f>
        <v>0</v>
      </c>
      <c r="I299" s="289">
        <f>data!BT61</f>
        <v>0</v>
      </c>
    </row>
    <row r="300" spans="1:9" customFormat="1" ht="20.100000000000001" customHeight="1" x14ac:dyDescent="0.2">
      <c r="A300" s="288">
        <v>7</v>
      </c>
      <c r="B300" s="289" t="s">
        <v>11</v>
      </c>
      <c r="C300" s="289">
        <f>data!BN62</f>
        <v>489677</v>
      </c>
      <c r="D300" s="289">
        <f>data!BO62</f>
        <v>27870</v>
      </c>
      <c r="E300" s="289">
        <f>data!BP62</f>
        <v>153164</v>
      </c>
      <c r="F300" s="289">
        <f>data!BQ62</f>
        <v>0</v>
      </c>
      <c r="G300" s="289">
        <f>data!BR62</f>
        <v>293509</v>
      </c>
      <c r="H300" s="289">
        <f>data!BS62</f>
        <v>0</v>
      </c>
      <c r="I300" s="289">
        <f>data!BT62</f>
        <v>0</v>
      </c>
    </row>
    <row r="301" spans="1:9" customFormat="1" ht="20.100000000000001" customHeight="1" x14ac:dyDescent="0.2">
      <c r="A301" s="288">
        <v>8</v>
      </c>
      <c r="B301" s="289" t="s">
        <v>264</v>
      </c>
      <c r="C301" s="289">
        <f>data!BN63</f>
        <v>0</v>
      </c>
      <c r="D301" s="289">
        <f>data!BO63</f>
        <v>0</v>
      </c>
      <c r="E301" s="289">
        <f>data!BP63</f>
        <v>0</v>
      </c>
      <c r="F301" s="289">
        <f>data!BQ63</f>
        <v>0</v>
      </c>
      <c r="G301" s="289">
        <f>data!BR63</f>
        <v>0</v>
      </c>
      <c r="H301" s="289">
        <f>data!BS63</f>
        <v>0</v>
      </c>
      <c r="I301" s="289">
        <f>data!BT63</f>
        <v>0</v>
      </c>
    </row>
    <row r="302" spans="1:9" customFormat="1" ht="20.100000000000001" customHeight="1" x14ac:dyDescent="0.2">
      <c r="A302" s="288">
        <v>9</v>
      </c>
      <c r="B302" s="289" t="s">
        <v>265</v>
      </c>
      <c r="C302" s="289">
        <f>data!BN64</f>
        <v>86491.119999999981</v>
      </c>
      <c r="D302" s="289">
        <f>data!BO64</f>
        <v>356076.74000000011</v>
      </c>
      <c r="E302" s="289">
        <f>data!BP64</f>
        <v>3998.0999999999995</v>
      </c>
      <c r="F302" s="289">
        <f>data!BQ64</f>
        <v>0</v>
      </c>
      <c r="G302" s="289">
        <f>data!BR64</f>
        <v>817.16</v>
      </c>
      <c r="H302" s="289">
        <f>data!BS64</f>
        <v>0</v>
      </c>
      <c r="I302" s="289">
        <f>data!BT64</f>
        <v>0</v>
      </c>
    </row>
    <row r="303" spans="1:9" customFormat="1" ht="20.100000000000001" customHeight="1" x14ac:dyDescent="0.2">
      <c r="A303" s="288">
        <v>10</v>
      </c>
      <c r="B303" s="289" t="s">
        <v>525</v>
      </c>
      <c r="C303" s="289">
        <f>data!BN65</f>
        <v>-60.7</v>
      </c>
      <c r="D303" s="289">
        <f>data!BO65</f>
        <v>10.08</v>
      </c>
      <c r="E303" s="289">
        <f>data!BP65</f>
        <v>3.76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00000000000001" customHeight="1" x14ac:dyDescent="0.2">
      <c r="A304" s="288">
        <v>11</v>
      </c>
      <c r="B304" s="289" t="s">
        <v>526</v>
      </c>
      <c r="C304" s="289">
        <f>data!BN66</f>
        <v>336085.5</v>
      </c>
      <c r="D304" s="289">
        <f>data!BO66</f>
        <v>6458.02</v>
      </c>
      <c r="E304" s="289">
        <f>data!BP66</f>
        <v>51631.409999999996</v>
      </c>
      <c r="F304" s="289">
        <f>data!BQ66</f>
        <v>0</v>
      </c>
      <c r="G304" s="289">
        <f>data!BR66</f>
        <v>112611.76000000001</v>
      </c>
      <c r="H304" s="289">
        <f>data!BS66</f>
        <v>0</v>
      </c>
      <c r="I304" s="289">
        <f>data!BT66</f>
        <v>0</v>
      </c>
    </row>
    <row r="305" spans="1:9" customFormat="1" ht="20.100000000000001" customHeight="1" x14ac:dyDescent="0.2">
      <c r="A305" s="288">
        <v>12</v>
      </c>
      <c r="B305" s="289" t="s">
        <v>16</v>
      </c>
      <c r="C305" s="289">
        <f>data!BN67</f>
        <v>22633</v>
      </c>
      <c r="D305" s="289">
        <f>data!BO67</f>
        <v>2093</v>
      </c>
      <c r="E305" s="289">
        <f>data!BP67</f>
        <v>1433828</v>
      </c>
      <c r="F305" s="289">
        <f>data!BQ67</f>
        <v>0</v>
      </c>
      <c r="G305" s="289">
        <f>data!BR67</f>
        <v>0</v>
      </c>
      <c r="H305" s="289">
        <f>data!BS67</f>
        <v>0</v>
      </c>
      <c r="I305" s="289">
        <f>data!BT67</f>
        <v>87</v>
      </c>
    </row>
    <row r="306" spans="1:9" customFormat="1" ht="20.100000000000001" customHeight="1" x14ac:dyDescent="0.2">
      <c r="A306" s="288">
        <v>13</v>
      </c>
      <c r="B306" s="289" t="s">
        <v>1008</v>
      </c>
      <c r="C306" s="289">
        <f>data!BN68</f>
        <v>629350.17999999993</v>
      </c>
      <c r="D306" s="289">
        <f>data!BO68</f>
        <v>41940</v>
      </c>
      <c r="E306" s="289">
        <f>data!BP68</f>
        <v>138339.79</v>
      </c>
      <c r="F306" s="289">
        <f>data!BQ68</f>
        <v>0</v>
      </c>
      <c r="G306" s="289">
        <f>data!BR68</f>
        <v>0</v>
      </c>
      <c r="H306" s="289">
        <f>data!BS68</f>
        <v>0</v>
      </c>
      <c r="I306" s="289">
        <f>data!BT68</f>
        <v>33890</v>
      </c>
    </row>
    <row r="307" spans="1:9" customFormat="1" ht="20.100000000000001" customHeight="1" x14ac:dyDescent="0.2">
      <c r="A307" s="288">
        <v>14</v>
      </c>
      <c r="B307" s="289" t="s">
        <v>1009</v>
      </c>
      <c r="C307" s="289">
        <f>data!BN69</f>
        <v>2119070.86</v>
      </c>
      <c r="D307" s="289">
        <f>data!BO69</f>
        <v>2273.56</v>
      </c>
      <c r="E307" s="289">
        <f>data!BP69</f>
        <v>68760.76999999999</v>
      </c>
      <c r="F307" s="289">
        <f>data!BQ69</f>
        <v>0</v>
      </c>
      <c r="G307" s="289">
        <f>data!BR69</f>
        <v>28194.11</v>
      </c>
      <c r="H307" s="289">
        <f>data!BS69</f>
        <v>0</v>
      </c>
      <c r="I307" s="289">
        <f>data!BT69</f>
        <v>0</v>
      </c>
    </row>
    <row r="308" spans="1:9" customFormat="1" ht="20.100000000000001" customHeight="1" x14ac:dyDescent="0.2">
      <c r="A308" s="288">
        <v>15</v>
      </c>
      <c r="B308" s="289" t="s">
        <v>284</v>
      </c>
      <c r="C308" s="289">
        <f>-data!BN84</f>
        <v>-15273873.079999998</v>
      </c>
      <c r="D308" s="289">
        <f>-data!BO84</f>
        <v>-16384.5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00000000000001" customHeight="1" x14ac:dyDescent="0.2">
      <c r="A309" s="288">
        <v>16</v>
      </c>
      <c r="B309" s="297" t="s">
        <v>1010</v>
      </c>
      <c r="C309" s="289">
        <f>data!BN85</f>
        <v>-9739631.3299999982</v>
      </c>
      <c r="D309" s="289">
        <f>data!BO85</f>
        <v>537891.2200000002</v>
      </c>
      <c r="E309" s="289">
        <f>data!BP85</f>
        <v>2526607.2200000002</v>
      </c>
      <c r="F309" s="289">
        <f>data!BQ85</f>
        <v>0</v>
      </c>
      <c r="G309" s="289">
        <f>data!BR85</f>
        <v>467173.1</v>
      </c>
      <c r="H309" s="289">
        <f>data!BS85</f>
        <v>0</v>
      </c>
      <c r="I309" s="289">
        <f>data!BT85</f>
        <v>33977</v>
      </c>
    </row>
    <row r="310" spans="1:9" customFormat="1" ht="20.100000000000001" customHeight="1" x14ac:dyDescent="0.2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00000000000001" customHeight="1" x14ac:dyDescent="0.2">
      <c r="A311" s="288">
        <v>18</v>
      </c>
      <c r="B311" s="289" t="s">
        <v>1011</v>
      </c>
      <c r="C311" s="289"/>
      <c r="D311" s="289"/>
      <c r="E311" s="289"/>
      <c r="F311" s="289"/>
      <c r="G311" s="289"/>
      <c r="H311" s="289"/>
      <c r="I311" s="289"/>
    </row>
    <row r="312" spans="1:9" customFormat="1" ht="20.100000000000001" customHeight="1" x14ac:dyDescent="0.2">
      <c r="A312" s="288">
        <v>19</v>
      </c>
      <c r="B312" s="297" t="s">
        <v>1012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00000000000001" customHeight="1" x14ac:dyDescent="0.2">
      <c r="A313" s="288">
        <v>20</v>
      </c>
      <c r="B313" s="297" t="s">
        <v>1013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00000000000001" customHeight="1" x14ac:dyDescent="0.2">
      <c r="A314" s="288">
        <v>21</v>
      </c>
      <c r="B314" s="297" t="s">
        <v>1014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00000000000001" customHeight="1" x14ac:dyDescent="0.2">
      <c r="A315" s="288" t="s">
        <v>1015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00000000000001" customHeight="1" x14ac:dyDescent="0.2">
      <c r="A316" s="288">
        <v>22</v>
      </c>
      <c r="B316" s="289" t="s">
        <v>1016</v>
      </c>
      <c r="C316" s="305">
        <f>data!BN90</f>
        <v>15630</v>
      </c>
      <c r="D316" s="305">
        <f>data!BO90</f>
        <v>1046</v>
      </c>
      <c r="E316" s="305">
        <f>data!BP90</f>
        <v>4606</v>
      </c>
      <c r="F316" s="305">
        <f>data!BQ90</f>
        <v>0</v>
      </c>
      <c r="G316" s="305">
        <f>data!BR90</f>
        <v>0</v>
      </c>
      <c r="H316" s="305">
        <f>data!BS90</f>
        <v>0</v>
      </c>
      <c r="I316" s="305">
        <f>data!BT90</f>
        <v>845</v>
      </c>
    </row>
    <row r="317" spans="1:9" customFormat="1" ht="20.100000000000001" customHeight="1" x14ac:dyDescent="0.2">
      <c r="A317" s="288">
        <v>23</v>
      </c>
      <c r="B317" s="289" t="s">
        <v>1017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00000000000001" customHeight="1" x14ac:dyDescent="0.2">
      <c r="A318" s="288">
        <v>24</v>
      </c>
      <c r="B318" s="289" t="s">
        <v>1018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0</v>
      </c>
      <c r="I318" s="305">
        <f>data!BT92</f>
        <v>160.04192058739886</v>
      </c>
    </row>
    <row r="319" spans="1:9" customFormat="1" ht="20.100000000000001" customHeight="1" x14ac:dyDescent="0.2">
      <c r="A319" s="288">
        <v>25</v>
      </c>
      <c r="B319" s="289" t="s">
        <v>1019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00000000000001" customHeight="1" x14ac:dyDescent="0.2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00000000000001" customHeight="1" x14ac:dyDescent="0.2">
      <c r="A321" s="282" t="s">
        <v>1001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00000000000001" customHeight="1" x14ac:dyDescent="0.2">
      <c r="D322" s="284"/>
      <c r="I322" s="285" t="s">
        <v>1053</v>
      </c>
    </row>
    <row r="323" spans="1:9" customFormat="1" ht="20.100000000000001" customHeight="1" x14ac:dyDescent="0.2">
      <c r="A323" s="284"/>
    </row>
    <row r="324" spans="1:9" customFormat="1" ht="20.100000000000001" customHeight="1" x14ac:dyDescent="0.2">
      <c r="A324" s="286" t="str">
        <f>"Hospital: "&amp;data!C98</f>
        <v>Hospital: Virginia Mason Medical Center</v>
      </c>
      <c r="G324" s="287"/>
      <c r="H324" s="286" t="str">
        <f>"FYE: "&amp;data!C96</f>
        <v>FYE: 06/30/2024</v>
      </c>
    </row>
    <row r="325" spans="1:9" customFormat="1" ht="20.100000000000001" customHeight="1" x14ac:dyDescent="0.2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00000000000001" customHeight="1" x14ac:dyDescent="0.2">
      <c r="A326" s="292">
        <v>2</v>
      </c>
      <c r="B326" s="293" t="s">
        <v>1003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00000000000001" customHeight="1" x14ac:dyDescent="0.2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1052</v>
      </c>
      <c r="H327" s="295" t="s">
        <v>179</v>
      </c>
      <c r="I327" s="295" t="s">
        <v>228</v>
      </c>
    </row>
    <row r="328" spans="1:9" customFormat="1" ht="20.100000000000001" customHeight="1" x14ac:dyDescent="0.2">
      <c r="A328" s="288">
        <v>3</v>
      </c>
      <c r="B328" s="289" t="s">
        <v>1007</v>
      </c>
      <c r="C328" s="301"/>
      <c r="D328" s="301"/>
      <c r="E328" s="301"/>
      <c r="F328" s="301"/>
      <c r="G328" s="301"/>
      <c r="H328" s="301"/>
      <c r="I328" s="301"/>
    </row>
    <row r="329" spans="1:9" customFormat="1" ht="20.100000000000001" customHeight="1" x14ac:dyDescent="0.2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00000000000001" customHeight="1" x14ac:dyDescent="0.2">
      <c r="A330" s="288">
        <v>5</v>
      </c>
      <c r="B330" s="289" t="s">
        <v>262</v>
      </c>
      <c r="C330" s="296">
        <f>data!BU60</f>
        <v>0</v>
      </c>
      <c r="D330" s="296">
        <f>data!BV60</f>
        <v>47.714334931506855</v>
      </c>
      <c r="E330" s="296">
        <f>data!BW60</f>
        <v>3.8977294520547945</v>
      </c>
      <c r="F330" s="296">
        <f>data!BX60</f>
        <v>11.421545205479449</v>
      </c>
      <c r="G330" s="296">
        <f>data!BY60</f>
        <v>32.433076027397256</v>
      </c>
      <c r="H330" s="296">
        <f>data!BZ60</f>
        <v>0</v>
      </c>
      <c r="I330" s="296">
        <f>data!CA60</f>
        <v>11.944521917808219</v>
      </c>
    </row>
    <row r="331" spans="1:9" customFormat="1" ht="20.100000000000001" customHeight="1" x14ac:dyDescent="0.2">
      <c r="A331" s="288">
        <v>6</v>
      </c>
      <c r="B331" s="289" t="s">
        <v>263</v>
      </c>
      <c r="C331" s="308">
        <f>data!BU61</f>
        <v>0</v>
      </c>
      <c r="D331" s="308">
        <f>data!BV61</f>
        <v>3620864.4999999991</v>
      </c>
      <c r="E331" s="308">
        <f>data!BW61</f>
        <v>2872575.9100000006</v>
      </c>
      <c r="F331" s="308">
        <f>data!BX61</f>
        <v>1435587.5000000005</v>
      </c>
      <c r="G331" s="308">
        <f>data!BY61</f>
        <v>3951541.1899999995</v>
      </c>
      <c r="H331" s="308">
        <f>data!BZ61</f>
        <v>0</v>
      </c>
      <c r="I331" s="308">
        <f>data!CA61</f>
        <v>1683021.7699999998</v>
      </c>
    </row>
    <row r="332" spans="1:9" customFormat="1" ht="20.100000000000001" customHeight="1" x14ac:dyDescent="0.2">
      <c r="A332" s="288">
        <v>7</v>
      </c>
      <c r="B332" s="289" t="s">
        <v>11</v>
      </c>
      <c r="C332" s="308">
        <f>data!BU62</f>
        <v>0</v>
      </c>
      <c r="D332" s="308">
        <f>data!BV62</f>
        <v>854003</v>
      </c>
      <c r="E332" s="308">
        <f>data!BW62</f>
        <v>-15742499</v>
      </c>
      <c r="F332" s="308">
        <f>data!BX62</f>
        <v>328039</v>
      </c>
      <c r="G332" s="308">
        <f>data!BY62</f>
        <v>754074</v>
      </c>
      <c r="H332" s="308">
        <f>data!BZ62</f>
        <v>0</v>
      </c>
      <c r="I332" s="308">
        <f>data!CA62</f>
        <v>392128</v>
      </c>
    </row>
    <row r="333" spans="1:9" customFormat="1" ht="20.100000000000001" customHeight="1" x14ac:dyDescent="0.2">
      <c r="A333" s="288">
        <v>8</v>
      </c>
      <c r="B333" s="289" t="s">
        <v>264</v>
      </c>
      <c r="C333" s="308">
        <f>data!BU63</f>
        <v>0</v>
      </c>
      <c r="D333" s="308">
        <f>data!BV63</f>
        <v>0</v>
      </c>
      <c r="E333" s="308">
        <f>data!BW63</f>
        <v>0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00000000000001" customHeight="1" x14ac:dyDescent="0.2">
      <c r="A334" s="288">
        <v>9</v>
      </c>
      <c r="B334" s="289" t="s">
        <v>265</v>
      </c>
      <c r="C334" s="308">
        <f>data!BU64</f>
        <v>5026.88</v>
      </c>
      <c r="D334" s="308">
        <f>data!BV64</f>
        <v>17308.710000000006</v>
      </c>
      <c r="E334" s="308">
        <f>data!BW64</f>
        <v>930.97</v>
      </c>
      <c r="F334" s="308">
        <f>data!BX64</f>
        <v>25712.999999999996</v>
      </c>
      <c r="G334" s="308">
        <f>data!BY64</f>
        <v>275440.52</v>
      </c>
      <c r="H334" s="308">
        <f>data!BZ64</f>
        <v>0</v>
      </c>
      <c r="I334" s="308">
        <f>data!CA64</f>
        <v>7661.4</v>
      </c>
    </row>
    <row r="335" spans="1:9" customFormat="1" ht="20.100000000000001" customHeight="1" x14ac:dyDescent="0.2">
      <c r="A335" s="288">
        <v>10</v>
      </c>
      <c r="B335" s="289" t="s">
        <v>525</v>
      </c>
      <c r="C335" s="308">
        <f>data!BU65</f>
        <v>0</v>
      </c>
      <c r="D335" s="308">
        <f>data!BV65</f>
        <v>25886.32</v>
      </c>
      <c r="E335" s="308">
        <f>data!BW65</f>
        <v>0</v>
      </c>
      <c r="F335" s="308">
        <f>data!BX65</f>
        <v>40.309999999999995</v>
      </c>
      <c r="G335" s="308">
        <f>data!BY65</f>
        <v>45.189999999999991</v>
      </c>
      <c r="H335" s="308">
        <f>data!BZ65</f>
        <v>0</v>
      </c>
      <c r="I335" s="308">
        <f>data!CA65</f>
        <v>0</v>
      </c>
    </row>
    <row r="336" spans="1:9" customFormat="1" ht="20.100000000000001" customHeight="1" x14ac:dyDescent="0.2">
      <c r="A336" s="288">
        <v>11</v>
      </c>
      <c r="B336" s="289" t="s">
        <v>526</v>
      </c>
      <c r="C336" s="308">
        <f>data!BU66</f>
        <v>42.05</v>
      </c>
      <c r="D336" s="308">
        <f>data!BV66</f>
        <v>1448729.7999999998</v>
      </c>
      <c r="E336" s="308">
        <f>data!BW66</f>
        <v>330686.86000000004</v>
      </c>
      <c r="F336" s="308">
        <f>data!BX66</f>
        <v>1904558.01</v>
      </c>
      <c r="G336" s="308">
        <f>data!BY66</f>
        <v>238268.2</v>
      </c>
      <c r="H336" s="308">
        <f>data!BZ66</f>
        <v>0</v>
      </c>
      <c r="I336" s="308">
        <f>data!CA66</f>
        <v>57204.4</v>
      </c>
    </row>
    <row r="337" spans="1:9" customFormat="1" ht="20.100000000000001" customHeight="1" x14ac:dyDescent="0.2">
      <c r="A337" s="288">
        <v>12</v>
      </c>
      <c r="B337" s="289" t="s">
        <v>16</v>
      </c>
      <c r="C337" s="308">
        <f>data!BU67</f>
        <v>66570</v>
      </c>
      <c r="D337" s="308">
        <f>data!BV67</f>
        <v>68592</v>
      </c>
      <c r="E337" s="308">
        <f>data!BW67</f>
        <v>0</v>
      </c>
      <c r="F337" s="308">
        <f>data!BX67</f>
        <v>17657</v>
      </c>
      <c r="G337" s="308">
        <f>data!BY67</f>
        <v>160624</v>
      </c>
      <c r="H337" s="308">
        <f>data!BZ67</f>
        <v>0</v>
      </c>
      <c r="I337" s="308">
        <f>data!CA67</f>
        <v>6437</v>
      </c>
    </row>
    <row r="338" spans="1:9" customFormat="1" ht="20.100000000000001" customHeight="1" x14ac:dyDescent="0.2">
      <c r="A338" s="288">
        <v>13</v>
      </c>
      <c r="B338" s="289" t="s">
        <v>1008</v>
      </c>
      <c r="C338" s="308">
        <f>data!BU68</f>
        <v>135200</v>
      </c>
      <c r="D338" s="308">
        <f>data!BV68</f>
        <v>292768.28000000003</v>
      </c>
      <c r="E338" s="308">
        <f>data!BW68</f>
        <v>0</v>
      </c>
      <c r="F338" s="308">
        <f>data!BX68</f>
        <v>478252</v>
      </c>
      <c r="G338" s="308">
        <f>data!BY68</f>
        <v>265805.39</v>
      </c>
      <c r="H338" s="308">
        <f>data!BZ68</f>
        <v>0</v>
      </c>
      <c r="I338" s="308">
        <f>data!CA68</f>
        <v>145530</v>
      </c>
    </row>
    <row r="339" spans="1:9" customFormat="1" ht="20.100000000000001" customHeight="1" x14ac:dyDescent="0.2">
      <c r="A339" s="288">
        <v>14</v>
      </c>
      <c r="B339" s="289" t="s">
        <v>1009</v>
      </c>
      <c r="C339" s="308">
        <f>data!BU69</f>
        <v>384439.96</v>
      </c>
      <c r="D339" s="308">
        <f>data!BV69</f>
        <v>607797.16</v>
      </c>
      <c r="E339" s="308">
        <f>data!BW69</f>
        <v>1726247.12</v>
      </c>
      <c r="F339" s="308">
        <f>data!BX69</f>
        <v>102586.73</v>
      </c>
      <c r="G339" s="308">
        <f>data!BY69</f>
        <v>1106105.03</v>
      </c>
      <c r="H339" s="308">
        <f>data!BZ69</f>
        <v>0</v>
      </c>
      <c r="I339" s="308">
        <f>data!CA69</f>
        <v>111534.74000000002</v>
      </c>
    </row>
    <row r="340" spans="1:9" customFormat="1" ht="20.100000000000001" customHeight="1" x14ac:dyDescent="0.2">
      <c r="A340" s="288">
        <v>15</v>
      </c>
      <c r="B340" s="289" t="s">
        <v>284</v>
      </c>
      <c r="C340" s="289">
        <f>-data!BU84</f>
        <v>0</v>
      </c>
      <c r="D340" s="289">
        <f>-data!BV84</f>
        <v>-137466.85</v>
      </c>
      <c r="E340" s="289">
        <f>-data!BW84</f>
        <v>-3460.91</v>
      </c>
      <c r="F340" s="289">
        <f>-data!BX84</f>
        <v>-196766.25</v>
      </c>
      <c r="G340" s="289">
        <f>-data!BY84</f>
        <v>-8774</v>
      </c>
      <c r="H340" s="289">
        <f>-data!BZ84</f>
        <v>0</v>
      </c>
      <c r="I340" s="289">
        <f>-data!CA84</f>
        <v>-70964.510000000009</v>
      </c>
    </row>
    <row r="341" spans="1:9" customFormat="1" ht="20.100000000000001" customHeight="1" x14ac:dyDescent="0.2">
      <c r="A341" s="288">
        <v>16</v>
      </c>
      <c r="B341" s="297" t="s">
        <v>1010</v>
      </c>
      <c r="C341" s="289">
        <f>data!BU85</f>
        <v>591278.89</v>
      </c>
      <c r="D341" s="289">
        <f>data!BV85</f>
        <v>6798482.9199999999</v>
      </c>
      <c r="E341" s="289">
        <f>data!BW85</f>
        <v>-10815519.050000001</v>
      </c>
      <c r="F341" s="289">
        <f>data!BX85</f>
        <v>4095667.3000000007</v>
      </c>
      <c r="G341" s="289">
        <f>data!BY85</f>
        <v>6743129.5199999996</v>
      </c>
      <c r="H341" s="289">
        <f>data!BZ85</f>
        <v>0</v>
      </c>
      <c r="I341" s="289">
        <f>data!CA85</f>
        <v>2332552.7999999998</v>
      </c>
    </row>
    <row r="342" spans="1:9" customFormat="1" ht="20.100000000000001" customHeight="1" x14ac:dyDescent="0.2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00000000000001" customHeight="1" x14ac:dyDescent="0.2">
      <c r="A343" s="288">
        <v>18</v>
      </c>
      <c r="B343" s="289" t="s">
        <v>1011</v>
      </c>
      <c r="C343" s="289"/>
      <c r="D343" s="289"/>
      <c r="E343" s="289"/>
      <c r="F343" s="289"/>
      <c r="G343" s="289"/>
      <c r="H343" s="289"/>
      <c r="I343" s="289"/>
    </row>
    <row r="344" spans="1:9" customFormat="1" ht="20.100000000000001" customHeight="1" x14ac:dyDescent="0.2">
      <c r="A344" s="288">
        <v>19</v>
      </c>
      <c r="B344" s="297" t="s">
        <v>1012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00000000000001" customHeight="1" x14ac:dyDescent="0.2">
      <c r="A345" s="288">
        <v>20</v>
      </c>
      <c r="B345" s="297" t="s">
        <v>1013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00000000000001" customHeight="1" x14ac:dyDescent="0.2">
      <c r="A346" s="288">
        <v>21</v>
      </c>
      <c r="B346" s="297" t="s">
        <v>1014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00000000000001" customHeight="1" x14ac:dyDescent="0.2">
      <c r="A347" s="288" t="s">
        <v>1015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00000000000001" customHeight="1" x14ac:dyDescent="0.2">
      <c r="A348" s="288">
        <v>22</v>
      </c>
      <c r="B348" s="289" t="s">
        <v>1016</v>
      </c>
      <c r="C348" s="305">
        <f>data!BU90</f>
        <v>3372</v>
      </c>
      <c r="D348" s="305">
        <f>data!BV90</f>
        <v>13818</v>
      </c>
      <c r="E348" s="305">
        <f>data!BW90</f>
        <v>0</v>
      </c>
      <c r="F348" s="305">
        <f>data!BX90</f>
        <v>12095</v>
      </c>
      <c r="G348" s="305">
        <f>data!BY90</f>
        <v>6485</v>
      </c>
      <c r="H348" s="305">
        <f>data!BZ90</f>
        <v>0</v>
      </c>
      <c r="I348" s="305">
        <f>data!CA90</f>
        <v>3630</v>
      </c>
    </row>
    <row r="349" spans="1:9" customFormat="1" ht="20.100000000000001" customHeight="1" x14ac:dyDescent="0.2">
      <c r="A349" s="288">
        <v>23</v>
      </c>
      <c r="B349" s="289" t="s">
        <v>1017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00000000000001" customHeight="1" x14ac:dyDescent="0.2">
      <c r="A350" s="288">
        <v>24</v>
      </c>
      <c r="B350" s="289" t="s">
        <v>1018</v>
      </c>
      <c r="C350" s="305">
        <f>data!BU92</f>
        <v>638.65249256888637</v>
      </c>
      <c r="D350" s="305">
        <f>data!BV92</f>
        <v>2617.1115487297957</v>
      </c>
      <c r="E350" s="305">
        <f>data!BW92</f>
        <v>0</v>
      </c>
      <c r="F350" s="305">
        <f>data!BX92</f>
        <v>2290.7775497095731</v>
      </c>
      <c r="G350" s="305">
        <f>data!BY92</f>
        <v>1228.2507159873155</v>
      </c>
      <c r="H350" s="305">
        <f>data!BZ92</f>
        <v>0</v>
      </c>
      <c r="I350" s="305">
        <f>data!CA92</f>
        <v>687.51736299675497</v>
      </c>
    </row>
    <row r="351" spans="1:9" customFormat="1" ht="20.100000000000001" customHeight="1" x14ac:dyDescent="0.2">
      <c r="A351" s="288">
        <v>25</v>
      </c>
      <c r="B351" s="289" t="s">
        <v>1019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00000000000001" customHeight="1" x14ac:dyDescent="0.2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10" customFormat="1" ht="20.100000000000001" customHeight="1" x14ac:dyDescent="0.2">
      <c r="A353" s="282" t="s">
        <v>1001</v>
      </c>
      <c r="B353" s="283"/>
      <c r="C353" s="283"/>
      <c r="D353" s="283"/>
      <c r="E353" s="283"/>
      <c r="F353" s="283"/>
      <c r="G353" s="283"/>
      <c r="H353" s="283"/>
      <c r="I353" s="282"/>
    </row>
    <row r="354" spans="1:10" customFormat="1" ht="20.100000000000001" customHeight="1" x14ac:dyDescent="0.2">
      <c r="D354" s="284"/>
      <c r="I354" s="285" t="s">
        <v>1054</v>
      </c>
    </row>
    <row r="355" spans="1:10" customFormat="1" ht="20.100000000000001" customHeight="1" x14ac:dyDescent="0.2">
      <c r="A355" s="284"/>
    </row>
    <row r="356" spans="1:10" customFormat="1" ht="20.100000000000001" customHeight="1" x14ac:dyDescent="0.2">
      <c r="A356" s="286" t="str">
        <f>"Hospital: "&amp;data!C98</f>
        <v>Hospital: Virginia Mason Medical Center</v>
      </c>
      <c r="G356" s="287"/>
      <c r="H356" s="286" t="str">
        <f>"FYE: "&amp;data!C96</f>
        <v>FYE: 06/30/2024</v>
      </c>
    </row>
    <row r="357" spans="1:10" customFormat="1" ht="20.100000000000001" customHeight="1" x14ac:dyDescent="0.2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10" customFormat="1" ht="20.100000000000001" customHeight="1" x14ac:dyDescent="0.2">
      <c r="A358" s="292">
        <v>2</v>
      </c>
      <c r="B358" s="293" t="s">
        <v>1003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10" customFormat="1" ht="20.100000000000001" customHeight="1" x14ac:dyDescent="0.2">
      <c r="A359" s="292"/>
      <c r="B359" s="293"/>
      <c r="C359" s="295" t="s">
        <v>228</v>
      </c>
      <c r="D359" s="295" t="s">
        <v>1055</v>
      </c>
      <c r="E359" s="295" t="s">
        <v>240</v>
      </c>
      <c r="F359" s="310"/>
      <c r="G359" s="310"/>
      <c r="H359" s="310"/>
      <c r="I359" s="295" t="s">
        <v>230</v>
      </c>
    </row>
    <row r="360" spans="1:10" customFormat="1" ht="20.100000000000001" customHeight="1" x14ac:dyDescent="0.2">
      <c r="A360" s="288">
        <v>3</v>
      </c>
      <c r="B360" s="289" t="s">
        <v>1007</v>
      </c>
      <c r="C360" s="301"/>
      <c r="D360" s="301"/>
      <c r="E360" s="301"/>
      <c r="F360" s="301"/>
      <c r="G360" s="301"/>
      <c r="H360" s="301"/>
      <c r="I360" s="301"/>
    </row>
    <row r="361" spans="1:10" customFormat="1" ht="20.100000000000001" customHeight="1" x14ac:dyDescent="0.2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10" customFormat="1" ht="20.100000000000001" customHeight="1" x14ac:dyDescent="0.2">
      <c r="A362" s="288">
        <v>5</v>
      </c>
      <c r="B362" s="289" t="s">
        <v>262</v>
      </c>
      <c r="C362" s="296">
        <f>data!CB60</f>
        <v>0</v>
      </c>
      <c r="D362" s="296">
        <f>data!CC60</f>
        <v>8.4306753424657508</v>
      </c>
      <c r="E362" s="311"/>
      <c r="F362" s="299"/>
      <c r="G362" s="299"/>
      <c r="H362" s="299"/>
      <c r="I362" s="312">
        <f>data!CE60</f>
        <v>4214.3424917808215</v>
      </c>
    </row>
    <row r="363" spans="1:10" customFormat="1" ht="20.100000000000001" customHeight="1" x14ac:dyDescent="0.2">
      <c r="A363" s="288">
        <v>6</v>
      </c>
      <c r="B363" s="289" t="s">
        <v>263</v>
      </c>
      <c r="C363" s="308">
        <f>data!CB61</f>
        <v>0</v>
      </c>
      <c r="D363" s="308">
        <f>data!CC61</f>
        <v>1793882.9999999995</v>
      </c>
      <c r="E363" s="313"/>
      <c r="F363" s="313"/>
      <c r="G363" s="313"/>
      <c r="H363" s="313"/>
      <c r="I363" s="308">
        <f>data!CE61</f>
        <v>593625568.70999968</v>
      </c>
      <c r="J363">
        <f>+I363-FS!C141</f>
        <v>0</v>
      </c>
    </row>
    <row r="364" spans="1:10" customFormat="1" ht="20.100000000000001" customHeight="1" x14ac:dyDescent="0.2">
      <c r="A364" s="288">
        <v>7</v>
      </c>
      <c r="B364" s="289" t="s">
        <v>11</v>
      </c>
      <c r="C364" s="308">
        <f>data!CB62</f>
        <v>0</v>
      </c>
      <c r="D364" s="308">
        <f>data!CC62</f>
        <v>-21428099</v>
      </c>
      <c r="E364" s="313"/>
      <c r="F364" s="313"/>
      <c r="G364" s="313"/>
      <c r="H364" s="313"/>
      <c r="I364" s="308">
        <f>data!CE62</f>
        <v>83177105</v>
      </c>
      <c r="J364">
        <f>+I364-FS!C142</f>
        <v>0.40000000596046448</v>
      </c>
    </row>
    <row r="365" spans="1:10" customFormat="1" ht="20.100000000000001" customHeight="1" x14ac:dyDescent="0.2">
      <c r="A365" s="288">
        <v>8</v>
      </c>
      <c r="B365" s="289" t="s">
        <v>264</v>
      </c>
      <c r="C365" s="308">
        <f>data!CB63</f>
        <v>0</v>
      </c>
      <c r="D365" s="308">
        <f>data!CC63</f>
        <v>0</v>
      </c>
      <c r="E365" s="313"/>
      <c r="F365" s="313"/>
      <c r="G365" s="313"/>
      <c r="H365" s="313"/>
      <c r="I365" s="308">
        <f>data!CE63</f>
        <v>8054165.79</v>
      </c>
      <c r="J365">
        <f>+I365-FS!C143</f>
        <v>0</v>
      </c>
    </row>
    <row r="366" spans="1:10" customFormat="1" ht="20.100000000000001" customHeight="1" x14ac:dyDescent="0.2">
      <c r="A366" s="288">
        <v>9</v>
      </c>
      <c r="B366" s="289" t="s">
        <v>265</v>
      </c>
      <c r="C366" s="308">
        <f>data!CB64</f>
        <v>0</v>
      </c>
      <c r="D366" s="308">
        <f>data!CC64</f>
        <v>60812.84</v>
      </c>
      <c r="E366" s="313"/>
      <c r="F366" s="313"/>
      <c r="G366" s="313"/>
      <c r="H366" s="313"/>
      <c r="I366" s="308">
        <f>data!CE64</f>
        <v>268611612.6699999</v>
      </c>
      <c r="J366">
        <f>+I366-FS!C144</f>
        <v>0</v>
      </c>
    </row>
    <row r="367" spans="1:10" customFormat="1" ht="20.100000000000001" customHeight="1" x14ac:dyDescent="0.2">
      <c r="A367" s="288">
        <v>10</v>
      </c>
      <c r="B367" s="289" t="s">
        <v>525</v>
      </c>
      <c r="C367" s="308">
        <f>data!CB65</f>
        <v>0</v>
      </c>
      <c r="D367" s="308">
        <f>data!CC65</f>
        <v>210621.51</v>
      </c>
      <c r="E367" s="313"/>
      <c r="F367" s="313"/>
      <c r="G367" s="313"/>
      <c r="H367" s="313"/>
      <c r="I367" s="308">
        <f>data!CE65</f>
        <v>14862304.040000001</v>
      </c>
      <c r="J367">
        <f>+I367-FS!C145</f>
        <v>0</v>
      </c>
    </row>
    <row r="368" spans="1:10" customFormat="1" ht="20.100000000000001" customHeight="1" x14ac:dyDescent="0.2">
      <c r="A368" s="288">
        <v>11</v>
      </c>
      <c r="B368" s="289" t="s">
        <v>526</v>
      </c>
      <c r="C368" s="308">
        <f>data!CB66</f>
        <v>0</v>
      </c>
      <c r="D368" s="308">
        <f>data!CC66</f>
        <v>14211755.91</v>
      </c>
      <c r="E368" s="313"/>
      <c r="F368" s="313"/>
      <c r="G368" s="313"/>
      <c r="H368" s="313"/>
      <c r="I368" s="308">
        <f>data!CE66</f>
        <v>63143309.480000004</v>
      </c>
      <c r="J368">
        <f>+I368-FS!C146</f>
        <v>0</v>
      </c>
    </row>
    <row r="369" spans="1:10" customFormat="1" ht="20.100000000000001" customHeight="1" x14ac:dyDescent="0.2">
      <c r="A369" s="288">
        <v>12</v>
      </c>
      <c r="B369" s="289" t="s">
        <v>16</v>
      </c>
      <c r="C369" s="308">
        <f>data!CB67</f>
        <v>0</v>
      </c>
      <c r="D369" s="308">
        <f>data!CC67</f>
        <v>513564</v>
      </c>
      <c r="E369" s="313"/>
      <c r="F369" s="313"/>
      <c r="G369" s="313"/>
      <c r="H369" s="313"/>
      <c r="I369" s="308">
        <f>data!CE67</f>
        <v>32152303</v>
      </c>
      <c r="J369">
        <f>+I369-FS!C147</f>
        <v>0.71000000089406967</v>
      </c>
    </row>
    <row r="370" spans="1:10" customFormat="1" ht="20.100000000000001" customHeight="1" x14ac:dyDescent="0.2">
      <c r="A370" s="288">
        <v>13</v>
      </c>
      <c r="B370" s="289" t="s">
        <v>1008</v>
      </c>
      <c r="C370" s="308">
        <f>data!CB68</f>
        <v>0</v>
      </c>
      <c r="D370" s="308">
        <f>data!CC68</f>
        <v>-30881934.140000004</v>
      </c>
      <c r="E370" s="313"/>
      <c r="F370" s="313"/>
      <c r="G370" s="313"/>
      <c r="H370" s="313"/>
      <c r="I370" s="308">
        <f>data!CE68</f>
        <v>18537753.919999998</v>
      </c>
      <c r="J370">
        <f>+I370-FS!C148</f>
        <v>0</v>
      </c>
    </row>
    <row r="371" spans="1:10" customFormat="1" ht="20.100000000000001" customHeight="1" x14ac:dyDescent="0.2">
      <c r="A371" s="288">
        <v>14</v>
      </c>
      <c r="B371" s="289" t="s">
        <v>1009</v>
      </c>
      <c r="C371" s="308">
        <f>data!CB69</f>
        <v>0</v>
      </c>
      <c r="D371" s="308">
        <f>data!CC69</f>
        <v>2563437.0700000003</v>
      </c>
      <c r="E371" s="308">
        <f>data!CD69</f>
        <v>25396395.229999997</v>
      </c>
      <c r="F371" s="313"/>
      <c r="G371" s="313"/>
      <c r="H371" s="313"/>
      <c r="I371" s="308">
        <f>data!CE69</f>
        <v>201379245.99999997</v>
      </c>
      <c r="J371">
        <f>+I371-FS!E166</f>
        <v>0</v>
      </c>
    </row>
    <row r="372" spans="1:10" customFormat="1" ht="20.100000000000001" customHeight="1" x14ac:dyDescent="0.2">
      <c r="A372" s="288">
        <v>15</v>
      </c>
      <c r="B372" s="289" t="s">
        <v>284</v>
      </c>
      <c r="C372" s="289">
        <f>-data!CB84</f>
        <v>0</v>
      </c>
      <c r="D372" s="289">
        <f>-data!CC84</f>
        <v>-6500409.4800000004</v>
      </c>
      <c r="E372" s="289">
        <f>-data!CD84</f>
        <v>-11575581.439999999</v>
      </c>
      <c r="F372" s="299"/>
      <c r="G372" s="299"/>
      <c r="H372" s="299"/>
      <c r="I372" s="289">
        <f>-data!CE84</f>
        <v>-80184602.909999996</v>
      </c>
      <c r="J372">
        <f>+I372+FS!C137</f>
        <v>0</v>
      </c>
    </row>
    <row r="373" spans="1:10" customFormat="1" ht="20.100000000000001" customHeight="1" x14ac:dyDescent="0.2">
      <c r="A373" s="288">
        <v>16</v>
      </c>
      <c r="B373" s="297" t="s">
        <v>1010</v>
      </c>
      <c r="C373" s="308">
        <f>data!CB85</f>
        <v>0</v>
      </c>
      <c r="D373" s="308">
        <f>data!CC85</f>
        <v>-39456368.290000007</v>
      </c>
      <c r="E373" s="308">
        <f>data!CD85</f>
        <v>13820813.789999997</v>
      </c>
      <c r="F373" s="313"/>
      <c r="G373" s="313"/>
      <c r="H373" s="313"/>
      <c r="I373" s="289">
        <f>data!CE85</f>
        <v>1203358765.6999996</v>
      </c>
    </row>
    <row r="374" spans="1:10" customFormat="1" ht="20.100000000000001" customHeight="1" x14ac:dyDescent="0.2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0</v>
      </c>
    </row>
    <row r="375" spans="1:10" customFormat="1" ht="20.100000000000001" customHeight="1" x14ac:dyDescent="0.2">
      <c r="A375" s="288">
        <v>18</v>
      </c>
      <c r="B375" s="289" t="s">
        <v>1011</v>
      </c>
      <c r="C375" s="289"/>
      <c r="D375" s="289"/>
      <c r="E375" s="289"/>
      <c r="F375" s="289"/>
      <c r="G375" s="289"/>
      <c r="H375" s="289"/>
      <c r="I375" s="289"/>
    </row>
    <row r="376" spans="1:10" customFormat="1" ht="20.100000000000001" customHeight="1" x14ac:dyDescent="0.2">
      <c r="A376" s="288">
        <v>19</v>
      </c>
      <c r="B376" s="297" t="s">
        <v>1012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1144065048.2899997</v>
      </c>
      <c r="J376">
        <f>+I376-FS!C111</f>
        <v>0</v>
      </c>
    </row>
    <row r="377" spans="1:10" customFormat="1" ht="20.100000000000001" customHeight="1" x14ac:dyDescent="0.2">
      <c r="A377" s="288">
        <v>20</v>
      </c>
      <c r="B377" s="297" t="s">
        <v>1013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2423840824.6600003</v>
      </c>
      <c r="J377">
        <f>+I377-FS!C112</f>
        <v>0</v>
      </c>
    </row>
    <row r="378" spans="1:10" customFormat="1" ht="20.100000000000001" customHeight="1" x14ac:dyDescent="0.2">
      <c r="A378" s="288">
        <v>21</v>
      </c>
      <c r="B378" s="297" t="s">
        <v>1014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3567905872.9500008</v>
      </c>
    </row>
    <row r="379" spans="1:10" customFormat="1" ht="20.100000000000001" customHeight="1" x14ac:dyDescent="0.2">
      <c r="A379" s="288" t="s">
        <v>1015</v>
      </c>
      <c r="B379" s="289"/>
      <c r="C379" s="299"/>
      <c r="D379" s="299"/>
      <c r="E379" s="299"/>
      <c r="F379" s="299"/>
      <c r="G379" s="299"/>
      <c r="H379" s="299"/>
      <c r="I379" s="299"/>
    </row>
    <row r="380" spans="1:10" customFormat="1" ht="20.100000000000001" customHeight="1" x14ac:dyDescent="0.2">
      <c r="A380" s="288">
        <v>22</v>
      </c>
      <c r="B380" s="289" t="s">
        <v>1016</v>
      </c>
      <c r="C380" s="305">
        <f>data!CB90</f>
        <v>0</v>
      </c>
      <c r="D380" s="305">
        <f>data!CC90</f>
        <v>7419</v>
      </c>
      <c r="E380" s="299"/>
      <c r="F380" s="299"/>
      <c r="G380" s="299"/>
      <c r="H380" s="299"/>
      <c r="I380" s="289">
        <f>data!CE90</f>
        <v>1475211</v>
      </c>
    </row>
    <row r="381" spans="1:10" customFormat="1" ht="20.100000000000001" customHeight="1" x14ac:dyDescent="0.2">
      <c r="A381" s="288">
        <v>23</v>
      </c>
      <c r="B381" s="289" t="s">
        <v>1017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186917.6</v>
      </c>
    </row>
    <row r="382" spans="1:10" customFormat="1" ht="20.100000000000001" customHeight="1" x14ac:dyDescent="0.2">
      <c r="A382" s="288">
        <v>24</v>
      </c>
      <c r="B382" s="289" t="s">
        <v>1018</v>
      </c>
      <c r="C382" s="305">
        <f>data!CB92</f>
        <v>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194467.79</v>
      </c>
    </row>
    <row r="383" spans="1:10" customFormat="1" ht="20.100000000000001" customHeight="1" x14ac:dyDescent="0.2">
      <c r="A383" s="288">
        <v>25</v>
      </c>
      <c r="B383" s="289" t="s">
        <v>1019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2297848</v>
      </c>
    </row>
    <row r="384" spans="1:10" customFormat="1" ht="20.100000000000001" customHeight="1" x14ac:dyDescent="0.2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765.71567008196746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>
      <selection activeCell="C163" sqref="C16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customHeight="1" x14ac:dyDescent="0.25">
      <c r="A22" s="14" t="s">
        <v>17</v>
      </c>
      <c r="E22" s="57"/>
      <c r="F22" s="57"/>
      <c r="G22" s="57"/>
      <c r="I22" s="57"/>
      <c r="J22" s="57"/>
    </row>
    <row r="23" spans="1:10" ht="16.5" customHeight="1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customHeight="1" x14ac:dyDescent="0.25">
      <c r="A34" s="14" t="s">
        <v>27</v>
      </c>
      <c r="B34" s="57"/>
      <c r="C34" s="57"/>
      <c r="D34" s="57"/>
    </row>
    <row r="35" spans="1:83" ht="16.5" customHeight="1" x14ac:dyDescent="0.25">
      <c r="B35" s="57"/>
      <c r="C35" s="57"/>
      <c r="D35" s="57"/>
    </row>
    <row r="36" spans="1:83" x14ac:dyDescent="0.25">
      <c r="A36" s="260" t="s">
        <v>28</v>
      </c>
      <c r="B36" s="261"/>
      <c r="C36" s="262"/>
      <c r="D36" s="261"/>
      <c r="E36" s="261"/>
      <c r="F36" s="261"/>
      <c r="G36" s="263"/>
    </row>
    <row r="37" spans="1:83" x14ac:dyDescent="0.25">
      <c r="A37" s="264" t="s">
        <v>29</v>
      </c>
      <c r="B37" s="265"/>
      <c r="C37" s="266"/>
      <c r="D37" s="267"/>
      <c r="E37" s="267"/>
      <c r="F37" s="267"/>
      <c r="G37" s="268"/>
    </row>
    <row r="38" spans="1:83" x14ac:dyDescent="0.25">
      <c r="A38" s="269" t="s">
        <v>30</v>
      </c>
      <c r="B38" s="265"/>
      <c r="C38" s="266"/>
      <c r="D38" s="267"/>
      <c r="E38" s="267"/>
      <c r="F38" s="267"/>
      <c r="G38" s="268"/>
    </row>
    <row r="39" spans="1:83" x14ac:dyDescent="0.25">
      <c r="A39" s="270" t="s">
        <v>31</v>
      </c>
      <c r="B39" s="267"/>
      <c r="C39" s="266"/>
      <c r="D39" s="267"/>
      <c r="E39" s="267"/>
      <c r="F39" s="267"/>
      <c r="G39" s="268"/>
    </row>
    <row r="40" spans="1:83" x14ac:dyDescent="0.25">
      <c r="A40" s="271" t="s">
        <v>32</v>
      </c>
      <c r="B40" s="272"/>
      <c r="C40" s="273"/>
      <c r="D40" s="272"/>
      <c r="E40" s="272"/>
      <c r="F40" s="272"/>
      <c r="G40" s="27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3">
        <v>76695937.849999994</v>
      </c>
      <c r="C47" s="234">
        <v>1793529.11</v>
      </c>
      <c r="D47" s="234">
        <v>0</v>
      </c>
      <c r="E47" s="234">
        <v>10178943.060000001</v>
      </c>
      <c r="F47" s="234">
        <v>66691.02</v>
      </c>
      <c r="G47" s="234">
        <v>0</v>
      </c>
      <c r="H47" s="234">
        <v>0</v>
      </c>
      <c r="I47" s="234">
        <v>0</v>
      </c>
      <c r="J47" s="234">
        <v>0</v>
      </c>
      <c r="K47" s="234">
        <v>3063767.2900000005</v>
      </c>
      <c r="L47" s="234">
        <v>0</v>
      </c>
      <c r="M47" s="234">
        <v>0</v>
      </c>
      <c r="N47" s="234">
        <v>0</v>
      </c>
      <c r="O47" s="234">
        <v>0</v>
      </c>
      <c r="P47" s="234">
        <v>3083845</v>
      </c>
      <c r="Q47" s="234">
        <v>2029581</v>
      </c>
      <c r="R47" s="234">
        <v>4825036.62</v>
      </c>
      <c r="S47" s="234">
        <v>2028264</v>
      </c>
      <c r="T47" s="234">
        <v>635574.49</v>
      </c>
      <c r="U47" s="234">
        <v>3964797</v>
      </c>
      <c r="V47" s="234">
        <v>0</v>
      </c>
      <c r="W47" s="234">
        <v>477505</v>
      </c>
      <c r="X47" s="234">
        <v>626237</v>
      </c>
      <c r="Y47" s="234">
        <v>2951552.13</v>
      </c>
      <c r="Z47" s="234">
        <v>2191346.56</v>
      </c>
      <c r="AA47" s="234">
        <v>206417</v>
      </c>
      <c r="AB47" s="234">
        <v>2497038.69</v>
      </c>
      <c r="AC47" s="234">
        <v>523422</v>
      </c>
      <c r="AD47" s="234">
        <v>1659</v>
      </c>
      <c r="AE47" s="234">
        <v>1719493.43</v>
      </c>
      <c r="AF47" s="234">
        <v>130247</v>
      </c>
      <c r="AG47" s="234">
        <v>2075804</v>
      </c>
      <c r="AH47" s="234">
        <v>0</v>
      </c>
      <c r="AI47" s="234">
        <v>0</v>
      </c>
      <c r="AJ47" s="234">
        <v>33393001.559999995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25305125.970000003</v>
      </c>
      <c r="AQ47" s="234">
        <v>0</v>
      </c>
      <c r="AR47" s="234">
        <v>0</v>
      </c>
      <c r="AS47" s="234">
        <v>0</v>
      </c>
      <c r="AT47" s="234">
        <v>546227.82999999996</v>
      </c>
      <c r="AU47" s="234">
        <v>0</v>
      </c>
      <c r="AV47" s="234">
        <v>1994631.41</v>
      </c>
      <c r="AW47" s="234">
        <v>3010754.76</v>
      </c>
      <c r="AX47" s="234">
        <v>0</v>
      </c>
      <c r="AY47" s="234">
        <v>704599</v>
      </c>
      <c r="AZ47" s="234">
        <v>271583</v>
      </c>
      <c r="BA47" s="234">
        <v>0</v>
      </c>
      <c r="BB47" s="234">
        <v>0</v>
      </c>
      <c r="BC47" s="234">
        <v>0</v>
      </c>
      <c r="BD47" s="234">
        <v>0</v>
      </c>
      <c r="BE47" s="234">
        <v>385874.36</v>
      </c>
      <c r="BF47" s="234">
        <v>0</v>
      </c>
      <c r="BG47" s="234">
        <v>2244883</v>
      </c>
      <c r="BH47" s="234">
        <v>581162</v>
      </c>
      <c r="BI47" s="234">
        <v>42073</v>
      </c>
      <c r="BJ47" s="234">
        <v>358193.58</v>
      </c>
      <c r="BK47" s="234">
        <v>3779177.53</v>
      </c>
      <c r="BL47" s="234">
        <v>1487444</v>
      </c>
      <c r="BM47" s="234">
        <v>232804</v>
      </c>
      <c r="BN47" s="234">
        <v>934840.37</v>
      </c>
      <c r="BO47" s="234">
        <v>28423</v>
      </c>
      <c r="BP47" s="234">
        <v>247995.57</v>
      </c>
      <c r="BQ47" s="234">
        <v>0</v>
      </c>
      <c r="BR47" s="234">
        <v>116331</v>
      </c>
      <c r="BS47" s="234">
        <v>0</v>
      </c>
      <c r="BT47" s="234">
        <v>0</v>
      </c>
      <c r="BU47" s="234">
        <v>0</v>
      </c>
      <c r="BV47" s="234">
        <v>579741</v>
      </c>
      <c r="BW47" s="234">
        <v>-20273750.490000002</v>
      </c>
      <c r="BX47" s="234">
        <v>-191842</v>
      </c>
      <c r="BY47" s="234">
        <v>635807.04</v>
      </c>
      <c r="BZ47" s="234">
        <v>0</v>
      </c>
      <c r="CA47" s="234">
        <v>430888.08</v>
      </c>
      <c r="CB47" s="234">
        <v>0</v>
      </c>
      <c r="CC47" s="234">
        <v>-25220781.119999997</v>
      </c>
      <c r="CD47" s="16"/>
      <c r="CE47" s="25">
        <v>76695937.849999994</v>
      </c>
    </row>
    <row r="48" spans="1:83" x14ac:dyDescent="0.25">
      <c r="A48" s="25" t="s">
        <v>232</v>
      </c>
      <c r="B48" s="233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233</v>
      </c>
      <c r="B49" s="25">
        <v>76695937.849999994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234">
        <v>34750652.479999974</v>
      </c>
      <c r="C51" s="234">
        <v>221818.18</v>
      </c>
      <c r="D51" s="234">
        <v>0</v>
      </c>
      <c r="E51" s="234">
        <v>525927.81999999995</v>
      </c>
      <c r="F51" s="234">
        <v>1126217.2999999998</v>
      </c>
      <c r="G51" s="234">
        <v>0</v>
      </c>
      <c r="H51" s="234">
        <v>0</v>
      </c>
      <c r="I51" s="234">
        <v>0</v>
      </c>
      <c r="J51" s="234">
        <v>0</v>
      </c>
      <c r="K51" s="234">
        <v>243398.86</v>
      </c>
      <c r="L51" s="234">
        <v>0</v>
      </c>
      <c r="M51" s="234">
        <v>0</v>
      </c>
      <c r="N51" s="234">
        <v>0</v>
      </c>
      <c r="O51" s="234">
        <v>0</v>
      </c>
      <c r="P51" s="234">
        <v>2389970.87</v>
      </c>
      <c r="Q51" s="234">
        <v>91405.19</v>
      </c>
      <c r="R51" s="234">
        <v>213862.64999999997</v>
      </c>
      <c r="S51" s="234">
        <v>279758.71000000002</v>
      </c>
      <c r="T51" s="234">
        <v>11069.35</v>
      </c>
      <c r="U51" s="234">
        <v>350076.10000000003</v>
      </c>
      <c r="V51" s="234">
        <v>0</v>
      </c>
      <c r="W51" s="234">
        <v>676654.07000000007</v>
      </c>
      <c r="X51" s="234">
        <v>288815.34000000003</v>
      </c>
      <c r="Y51" s="234">
        <v>2016956.7699999998</v>
      </c>
      <c r="Z51" s="234">
        <v>373211.87</v>
      </c>
      <c r="AA51" s="234">
        <v>86656.89</v>
      </c>
      <c r="AB51" s="234">
        <v>285113</v>
      </c>
      <c r="AC51" s="234">
        <v>77613.77</v>
      </c>
      <c r="AD51" s="234">
        <v>151.65</v>
      </c>
      <c r="AE51" s="234">
        <v>46933.66</v>
      </c>
      <c r="AF51" s="234">
        <v>875.76</v>
      </c>
      <c r="AG51" s="234">
        <v>119283.66</v>
      </c>
      <c r="AH51" s="234">
        <v>0</v>
      </c>
      <c r="AI51" s="234">
        <v>0</v>
      </c>
      <c r="AJ51" s="234">
        <v>2728021.1599999997</v>
      </c>
      <c r="AK51" s="234">
        <v>0</v>
      </c>
      <c r="AL51" s="234">
        <v>0</v>
      </c>
      <c r="AM51" s="234">
        <v>0</v>
      </c>
      <c r="AN51" s="234">
        <v>0</v>
      </c>
      <c r="AO51" s="234">
        <v>0</v>
      </c>
      <c r="AP51" s="234">
        <v>4183276.4499999993</v>
      </c>
      <c r="AQ51" s="234">
        <v>0</v>
      </c>
      <c r="AR51" s="234">
        <v>0</v>
      </c>
      <c r="AS51" s="234">
        <v>0</v>
      </c>
      <c r="AT51" s="234">
        <v>163.52000000000001</v>
      </c>
      <c r="AU51" s="234">
        <v>0</v>
      </c>
      <c r="AV51" s="234">
        <v>338804.56</v>
      </c>
      <c r="AW51" s="234">
        <v>35230.81</v>
      </c>
      <c r="AX51" s="234">
        <v>782.16</v>
      </c>
      <c r="AY51" s="234">
        <v>6358.02</v>
      </c>
      <c r="AZ51" s="234">
        <v>120657.93</v>
      </c>
      <c r="BA51" s="234">
        <v>0</v>
      </c>
      <c r="BB51" s="234">
        <v>0</v>
      </c>
      <c r="BC51" s="234">
        <v>48590.11</v>
      </c>
      <c r="BD51" s="234">
        <v>980.24</v>
      </c>
      <c r="BE51" s="234">
        <v>12033567.249999998</v>
      </c>
      <c r="BF51" s="234">
        <v>26733.040000000001</v>
      </c>
      <c r="BG51" s="234">
        <v>24086.58</v>
      </c>
      <c r="BH51" s="234">
        <v>3382256.78</v>
      </c>
      <c r="BI51" s="234">
        <v>32161.600000000002</v>
      </c>
      <c r="BJ51" s="234">
        <v>540.57000000000005</v>
      </c>
      <c r="BK51" s="234">
        <v>53735.99</v>
      </c>
      <c r="BL51" s="234">
        <v>2601.7399999999998</v>
      </c>
      <c r="BM51" s="234">
        <v>17586.669999999998</v>
      </c>
      <c r="BN51" s="234">
        <v>14150.23</v>
      </c>
      <c r="BO51" s="234">
        <v>2092.5700000000002</v>
      </c>
      <c r="BP51" s="234">
        <v>1449075.49</v>
      </c>
      <c r="BQ51" s="234">
        <v>0</v>
      </c>
      <c r="BR51" s="234">
        <v>0</v>
      </c>
      <c r="BS51" s="234">
        <v>0</v>
      </c>
      <c r="BT51" s="234">
        <v>220.47</v>
      </c>
      <c r="BU51" s="234">
        <v>66690.05</v>
      </c>
      <c r="BV51" s="234">
        <v>101868.69</v>
      </c>
      <c r="BW51" s="234">
        <v>37.479999999999997</v>
      </c>
      <c r="BX51" s="234">
        <v>5201.5399999999991</v>
      </c>
      <c r="BY51" s="234">
        <v>156006.79999999999</v>
      </c>
      <c r="BZ51" s="234">
        <v>0</v>
      </c>
      <c r="CA51" s="234">
        <v>6670.37</v>
      </c>
      <c r="CB51" s="234">
        <v>0</v>
      </c>
      <c r="CC51" s="234">
        <v>486732.14</v>
      </c>
      <c r="CD51" s="16"/>
      <c r="CE51" s="25">
        <v>34750652.479999974</v>
      </c>
    </row>
    <row r="52" spans="1:83" x14ac:dyDescent="0.25">
      <c r="A52" s="31" t="s">
        <v>235</v>
      </c>
      <c r="B52" s="235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233</v>
      </c>
      <c r="B53" s="25">
        <v>34750652.479999974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4">
        <v>5776</v>
      </c>
      <c r="D59" s="234">
        <v>0</v>
      </c>
      <c r="E59" s="234">
        <v>54957</v>
      </c>
      <c r="F59" s="234">
        <v>2036</v>
      </c>
      <c r="G59" s="234">
        <v>0</v>
      </c>
      <c r="H59" s="234">
        <v>0</v>
      </c>
      <c r="I59" s="234">
        <v>0</v>
      </c>
      <c r="J59" s="234">
        <v>0</v>
      </c>
      <c r="K59" s="234">
        <v>11117</v>
      </c>
      <c r="L59" s="234">
        <v>0</v>
      </c>
      <c r="M59" s="234">
        <v>0</v>
      </c>
      <c r="N59" s="234">
        <v>0</v>
      </c>
      <c r="O59" s="234">
        <v>0</v>
      </c>
      <c r="P59" s="236">
        <v>2103990</v>
      </c>
      <c r="Q59" s="236">
        <v>2136048</v>
      </c>
      <c r="R59" s="236">
        <v>2472058</v>
      </c>
      <c r="S59" s="229">
        <v>0</v>
      </c>
      <c r="T59" s="229">
        <v>0</v>
      </c>
      <c r="U59" s="237">
        <v>2386892</v>
      </c>
      <c r="V59" s="236">
        <v>0</v>
      </c>
      <c r="W59" s="236">
        <v>76243.66</v>
      </c>
      <c r="X59" s="236">
        <v>133955.01</v>
      </c>
      <c r="Y59" s="236">
        <v>132372.88</v>
      </c>
      <c r="Z59" s="236">
        <v>362805.36</v>
      </c>
      <c r="AA59" s="236">
        <v>20593.990000000002</v>
      </c>
      <c r="AB59" s="229">
        <v>0</v>
      </c>
      <c r="AC59" s="236">
        <v>76730</v>
      </c>
      <c r="AD59" s="236">
        <v>22566</v>
      </c>
      <c r="AE59" s="236">
        <v>215704.53999999998</v>
      </c>
      <c r="AF59" s="236">
        <v>1474</v>
      </c>
      <c r="AG59" s="236">
        <v>23249</v>
      </c>
      <c r="AH59" s="236">
        <v>0</v>
      </c>
      <c r="AI59" s="236">
        <v>0</v>
      </c>
      <c r="AJ59" s="236">
        <v>337042</v>
      </c>
      <c r="AK59" s="236">
        <v>0</v>
      </c>
      <c r="AL59" s="236">
        <v>0</v>
      </c>
      <c r="AM59" s="236">
        <v>0</v>
      </c>
      <c r="AN59" s="236">
        <v>0</v>
      </c>
      <c r="AO59" s="236">
        <v>0</v>
      </c>
      <c r="AP59" s="236">
        <v>552539</v>
      </c>
      <c r="AQ59" s="236">
        <v>0</v>
      </c>
      <c r="AR59" s="236">
        <v>0</v>
      </c>
      <c r="AS59" s="236">
        <v>0</v>
      </c>
      <c r="AT59" s="236">
        <v>89</v>
      </c>
      <c r="AU59" s="236">
        <v>0</v>
      </c>
      <c r="AV59" s="229">
        <v>0</v>
      </c>
      <c r="AW59" s="229">
        <v>0</v>
      </c>
      <c r="AX59" s="229">
        <v>0</v>
      </c>
      <c r="AY59" s="236">
        <v>253513</v>
      </c>
      <c r="AZ59" s="236">
        <v>239787</v>
      </c>
      <c r="BA59" s="229">
        <v>0</v>
      </c>
      <c r="BB59" s="229">
        <v>0</v>
      </c>
      <c r="BC59" s="229">
        <v>0</v>
      </c>
      <c r="BD59" s="229">
        <v>0</v>
      </c>
      <c r="BE59" s="236">
        <v>1475211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</row>
    <row r="60" spans="1:83" s="201" customFormat="1" ht="15.75" customHeight="1" x14ac:dyDescent="0.25">
      <c r="A60" s="206" t="s">
        <v>262</v>
      </c>
      <c r="B60" s="207"/>
      <c r="C60" s="238">
        <v>61.840819178082192</v>
      </c>
      <c r="D60" s="238">
        <v>0</v>
      </c>
      <c r="E60" s="238">
        <v>364.92224520547944</v>
      </c>
      <c r="F60" s="238">
        <v>29.862925342465751</v>
      </c>
      <c r="G60" s="238">
        <v>0</v>
      </c>
      <c r="H60" s="238">
        <v>0</v>
      </c>
      <c r="I60" s="238">
        <v>0</v>
      </c>
      <c r="J60" s="238">
        <v>0</v>
      </c>
      <c r="K60" s="238">
        <v>131.25374452054791</v>
      </c>
      <c r="L60" s="238">
        <v>0</v>
      </c>
      <c r="M60" s="238">
        <v>0</v>
      </c>
      <c r="N60" s="238">
        <v>0</v>
      </c>
      <c r="O60" s="238">
        <v>0</v>
      </c>
      <c r="P60" s="239">
        <v>112.92744246575343</v>
      </c>
      <c r="Q60" s="239">
        <v>67.161025342465763</v>
      </c>
      <c r="R60" s="239">
        <v>82.782412328767123</v>
      </c>
      <c r="S60" s="240">
        <v>120.38898219178083</v>
      </c>
      <c r="T60" s="240">
        <v>16.034952739726027</v>
      </c>
      <c r="U60" s="241">
        <v>148.48089794520544</v>
      </c>
      <c r="V60" s="239">
        <v>0</v>
      </c>
      <c r="W60" s="239">
        <v>10.255963698630136</v>
      </c>
      <c r="X60" s="239">
        <v>15.324035616438357</v>
      </c>
      <c r="Y60" s="239">
        <v>92.13533767123289</v>
      </c>
      <c r="Z60" s="239">
        <v>44.522114383561643</v>
      </c>
      <c r="AA60" s="239">
        <v>4.6190027397260272</v>
      </c>
      <c r="AB60" s="240">
        <v>76.632159589041095</v>
      </c>
      <c r="AC60" s="239">
        <v>20.580565753424658</v>
      </c>
      <c r="AD60" s="239">
        <v>2.3934246575342467E-2</v>
      </c>
      <c r="AE60" s="239">
        <v>62.26198904109588</v>
      </c>
      <c r="AF60" s="239">
        <v>5.0781020547945204</v>
      </c>
      <c r="AG60" s="239">
        <v>53.531776027397257</v>
      </c>
      <c r="AH60" s="239">
        <v>0</v>
      </c>
      <c r="AI60" s="239">
        <v>0</v>
      </c>
      <c r="AJ60" s="239">
        <v>846.79710068493102</v>
      </c>
      <c r="AK60" s="239">
        <v>0</v>
      </c>
      <c r="AL60" s="239">
        <v>0</v>
      </c>
      <c r="AM60" s="239">
        <v>0</v>
      </c>
      <c r="AN60" s="239">
        <v>0</v>
      </c>
      <c r="AO60" s="239">
        <v>0</v>
      </c>
      <c r="AP60" s="239">
        <v>801.02870342465735</v>
      </c>
      <c r="AQ60" s="239">
        <v>0</v>
      </c>
      <c r="AR60" s="239">
        <v>0</v>
      </c>
      <c r="AS60" s="239">
        <v>0</v>
      </c>
      <c r="AT60" s="239">
        <v>19.408166438356165</v>
      </c>
      <c r="AU60" s="239">
        <v>0</v>
      </c>
      <c r="AV60" s="240">
        <v>48.472890410958904</v>
      </c>
      <c r="AW60" s="240">
        <v>145.3095815068493</v>
      </c>
      <c r="AX60" s="240">
        <v>0</v>
      </c>
      <c r="AY60" s="239">
        <v>40.293716438356157</v>
      </c>
      <c r="AZ60" s="239">
        <v>17.605397945205478</v>
      </c>
      <c r="BA60" s="240">
        <v>0</v>
      </c>
      <c r="BB60" s="240">
        <v>0</v>
      </c>
      <c r="BC60" s="240">
        <v>0</v>
      </c>
      <c r="BD60" s="240">
        <v>0</v>
      </c>
      <c r="BE60" s="239">
        <v>21.429963013698629</v>
      </c>
      <c r="BF60" s="240">
        <v>0</v>
      </c>
      <c r="BG60" s="240">
        <v>148.10085068493149</v>
      </c>
      <c r="BH60" s="240">
        <v>23.134021917808219</v>
      </c>
      <c r="BI60" s="240">
        <v>0.99999794520547947</v>
      </c>
      <c r="BJ60" s="240">
        <v>16.408604109589042</v>
      </c>
      <c r="BK60" s="240">
        <v>196.51826369863014</v>
      </c>
      <c r="BL60" s="240">
        <v>74.466709589041088</v>
      </c>
      <c r="BM60" s="240">
        <v>7.5090198630136982</v>
      </c>
      <c r="BN60" s="240">
        <v>12.327728767123288</v>
      </c>
      <c r="BO60" s="240">
        <v>1.3306472602739727</v>
      </c>
      <c r="BP60" s="240">
        <v>8.2534746575342464</v>
      </c>
      <c r="BQ60" s="240">
        <v>0</v>
      </c>
      <c r="BR60" s="240">
        <v>1.0025486301369864</v>
      </c>
      <c r="BS60" s="240">
        <v>0</v>
      </c>
      <c r="BT60" s="240">
        <v>0</v>
      </c>
      <c r="BU60" s="240">
        <v>0</v>
      </c>
      <c r="BV60" s="240">
        <v>35.818501369863014</v>
      </c>
      <c r="BW60" s="240">
        <v>4.6523869863013694</v>
      </c>
      <c r="BX60" s="240">
        <v>11.161720547945205</v>
      </c>
      <c r="BY60" s="240">
        <v>30.28480479452055</v>
      </c>
      <c r="BZ60" s="240">
        <v>0</v>
      </c>
      <c r="CA60" s="240">
        <v>13.139589726027397</v>
      </c>
      <c r="CB60" s="240">
        <v>0</v>
      </c>
      <c r="CC60" s="240">
        <v>7.5082383561643837</v>
      </c>
      <c r="CD60" s="208" t="s">
        <v>248</v>
      </c>
      <c r="CE60" s="226">
        <v>4053.5830568493129</v>
      </c>
    </row>
    <row r="61" spans="1:83" x14ac:dyDescent="0.25">
      <c r="A61" s="31" t="s">
        <v>263</v>
      </c>
      <c r="B61" s="16"/>
      <c r="C61" s="234">
        <v>7135124.4900000002</v>
      </c>
      <c r="D61" s="234">
        <v>0</v>
      </c>
      <c r="E61" s="234">
        <v>40510246.600000001</v>
      </c>
      <c r="F61" s="234">
        <v>3748776.81</v>
      </c>
      <c r="G61" s="234">
        <v>0</v>
      </c>
      <c r="H61" s="234">
        <v>0</v>
      </c>
      <c r="I61" s="234">
        <v>0</v>
      </c>
      <c r="J61" s="234">
        <v>0</v>
      </c>
      <c r="K61" s="234">
        <v>11953463.060000002</v>
      </c>
      <c r="L61" s="234">
        <v>0</v>
      </c>
      <c r="M61" s="234">
        <v>0</v>
      </c>
      <c r="N61" s="234">
        <v>0</v>
      </c>
      <c r="O61" s="234">
        <v>0</v>
      </c>
      <c r="P61" s="236">
        <v>12264686.02</v>
      </c>
      <c r="Q61" s="236">
        <v>8077606.1100000003</v>
      </c>
      <c r="R61" s="236">
        <v>22598013.979999997</v>
      </c>
      <c r="S61" s="242">
        <v>8044286.2300000004</v>
      </c>
      <c r="T61" s="242">
        <v>2536418.8400000003</v>
      </c>
      <c r="U61" s="237">
        <v>17035289.27</v>
      </c>
      <c r="V61" s="236">
        <v>0</v>
      </c>
      <c r="W61" s="236">
        <v>2153761.2400000002</v>
      </c>
      <c r="X61" s="236">
        <v>2751932.15</v>
      </c>
      <c r="Y61" s="236">
        <v>12390756.300000001</v>
      </c>
      <c r="Z61" s="236">
        <v>10290191.749999998</v>
      </c>
      <c r="AA61" s="236">
        <v>911774.24</v>
      </c>
      <c r="AB61" s="243">
        <v>9898094.6600000001</v>
      </c>
      <c r="AC61" s="236">
        <v>2078398.7300000002</v>
      </c>
      <c r="AD61" s="236">
        <v>8737.81</v>
      </c>
      <c r="AE61" s="236">
        <v>7245354.0999999996</v>
      </c>
      <c r="AF61" s="236">
        <v>567514.66999999993</v>
      </c>
      <c r="AG61" s="236">
        <v>9254915.0700000003</v>
      </c>
      <c r="AH61" s="236">
        <v>0</v>
      </c>
      <c r="AI61" s="236">
        <v>0</v>
      </c>
      <c r="AJ61" s="236">
        <v>163382753.42999998</v>
      </c>
      <c r="AK61" s="236">
        <v>0</v>
      </c>
      <c r="AL61" s="236">
        <v>0</v>
      </c>
      <c r="AM61" s="236">
        <v>0</v>
      </c>
      <c r="AN61" s="236">
        <v>0</v>
      </c>
      <c r="AO61" s="236">
        <v>0</v>
      </c>
      <c r="AP61" s="236">
        <v>112954425.57999995</v>
      </c>
      <c r="AQ61" s="236">
        <v>0</v>
      </c>
      <c r="AR61" s="236">
        <v>0</v>
      </c>
      <c r="AS61" s="236">
        <v>0</v>
      </c>
      <c r="AT61" s="236">
        <v>2255262.4499999997</v>
      </c>
      <c r="AU61" s="236">
        <v>0</v>
      </c>
      <c r="AV61" s="242">
        <v>7574550.2699999996</v>
      </c>
      <c r="AW61" s="242">
        <v>12403808.620000001</v>
      </c>
      <c r="AX61" s="242">
        <v>0</v>
      </c>
      <c r="AY61" s="236">
        <v>2792695.16</v>
      </c>
      <c r="AZ61" s="236">
        <v>1077109.98</v>
      </c>
      <c r="BA61" s="242">
        <v>0</v>
      </c>
      <c r="BB61" s="242">
        <v>0</v>
      </c>
      <c r="BC61" s="242">
        <v>0</v>
      </c>
      <c r="BD61" s="242">
        <v>0</v>
      </c>
      <c r="BE61" s="236">
        <v>1535305.84</v>
      </c>
      <c r="BF61" s="242">
        <v>0</v>
      </c>
      <c r="BG61" s="242">
        <v>8919711.1000000015</v>
      </c>
      <c r="BH61" s="242">
        <v>2388055</v>
      </c>
      <c r="BI61" s="242">
        <v>167421.38</v>
      </c>
      <c r="BJ61" s="242">
        <v>1416140.3800000001</v>
      </c>
      <c r="BK61" s="242">
        <v>15094032.890000004</v>
      </c>
      <c r="BL61" s="242">
        <v>5828837.7400000012</v>
      </c>
      <c r="BM61" s="242">
        <v>901449.28</v>
      </c>
      <c r="BN61" s="242">
        <v>1966177.8300000003</v>
      </c>
      <c r="BO61" s="242">
        <v>113430.43</v>
      </c>
      <c r="BP61" s="242">
        <v>905034.25</v>
      </c>
      <c r="BQ61" s="242">
        <v>0</v>
      </c>
      <c r="BR61" s="242">
        <v>69530.179999999993</v>
      </c>
      <c r="BS61" s="242">
        <v>0</v>
      </c>
      <c r="BT61" s="242">
        <v>0</v>
      </c>
      <c r="BU61" s="242">
        <v>0</v>
      </c>
      <c r="BV61" s="242">
        <v>2298335.25</v>
      </c>
      <c r="BW61" s="242">
        <v>3077410.81</v>
      </c>
      <c r="BX61" s="242">
        <v>1228481.92</v>
      </c>
      <c r="BY61" s="242">
        <v>3406359.49</v>
      </c>
      <c r="BZ61" s="242">
        <v>0</v>
      </c>
      <c r="CA61" s="242">
        <v>1699721.6800000004</v>
      </c>
      <c r="CB61" s="242">
        <v>0</v>
      </c>
      <c r="CC61" s="242">
        <v>1889521.7000000002</v>
      </c>
      <c r="CD61" s="24" t="s">
        <v>248</v>
      </c>
      <c r="CE61" s="25">
        <v>546800904.76999974</v>
      </c>
    </row>
    <row r="62" spans="1:83" x14ac:dyDescent="0.25">
      <c r="A62" s="31" t="s">
        <v>11</v>
      </c>
      <c r="B62" s="16"/>
      <c r="C62" s="25">
        <v>1793529</v>
      </c>
      <c r="D62" s="25">
        <v>0</v>
      </c>
      <c r="E62" s="25">
        <v>10178943</v>
      </c>
      <c r="F62" s="25">
        <v>66691</v>
      </c>
      <c r="G62" s="25">
        <v>0</v>
      </c>
      <c r="H62" s="25">
        <v>0</v>
      </c>
      <c r="I62" s="25">
        <v>0</v>
      </c>
      <c r="J62" s="25">
        <v>0</v>
      </c>
      <c r="K62" s="25">
        <v>3063767</v>
      </c>
      <c r="L62" s="25">
        <v>0</v>
      </c>
      <c r="M62" s="25">
        <v>0</v>
      </c>
      <c r="N62" s="25">
        <v>0</v>
      </c>
      <c r="O62" s="25">
        <v>0</v>
      </c>
      <c r="P62" s="25">
        <v>3083845</v>
      </c>
      <c r="Q62" s="25">
        <v>2029581</v>
      </c>
      <c r="R62" s="25">
        <v>4825037</v>
      </c>
      <c r="S62" s="25">
        <v>2028264</v>
      </c>
      <c r="T62" s="25">
        <v>635574</v>
      </c>
      <c r="U62" s="25">
        <v>3964797</v>
      </c>
      <c r="V62" s="25">
        <v>0</v>
      </c>
      <c r="W62" s="25">
        <v>477505</v>
      </c>
      <c r="X62" s="25">
        <v>626237</v>
      </c>
      <c r="Y62" s="25">
        <v>2951552</v>
      </c>
      <c r="Z62" s="25">
        <v>2191347</v>
      </c>
      <c r="AA62" s="25">
        <v>206417</v>
      </c>
      <c r="AB62" s="25">
        <v>2497039</v>
      </c>
      <c r="AC62" s="25">
        <v>523422</v>
      </c>
      <c r="AD62" s="25">
        <v>1659</v>
      </c>
      <c r="AE62" s="25">
        <v>1719493</v>
      </c>
      <c r="AF62" s="25">
        <v>130247</v>
      </c>
      <c r="AG62" s="25">
        <v>2075804</v>
      </c>
      <c r="AH62" s="25">
        <v>0</v>
      </c>
      <c r="AI62" s="25">
        <v>0</v>
      </c>
      <c r="AJ62" s="25">
        <v>33393002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25305126</v>
      </c>
      <c r="AQ62" s="25">
        <v>0</v>
      </c>
      <c r="AR62" s="25">
        <v>0</v>
      </c>
      <c r="AS62" s="25">
        <v>0</v>
      </c>
      <c r="AT62" s="25">
        <v>546228</v>
      </c>
      <c r="AU62" s="25">
        <v>0</v>
      </c>
      <c r="AV62" s="25">
        <v>1994631</v>
      </c>
      <c r="AW62" s="25">
        <v>3010755</v>
      </c>
      <c r="AX62" s="25">
        <v>0</v>
      </c>
      <c r="AY62" s="25">
        <v>704599</v>
      </c>
      <c r="AZ62" s="25">
        <v>271583</v>
      </c>
      <c r="BA62" s="25">
        <v>0</v>
      </c>
      <c r="BB62" s="25">
        <v>0</v>
      </c>
      <c r="BC62" s="25">
        <v>0</v>
      </c>
      <c r="BD62" s="25">
        <v>0</v>
      </c>
      <c r="BE62" s="25">
        <v>385874</v>
      </c>
      <c r="BF62" s="25">
        <v>0</v>
      </c>
      <c r="BG62" s="25">
        <v>2244883</v>
      </c>
      <c r="BH62" s="25">
        <v>581162</v>
      </c>
      <c r="BI62" s="25">
        <v>42073</v>
      </c>
      <c r="BJ62" s="25">
        <v>358194</v>
      </c>
      <c r="BK62" s="25">
        <v>3779178</v>
      </c>
      <c r="BL62" s="25">
        <v>1487444</v>
      </c>
      <c r="BM62" s="25">
        <v>232804</v>
      </c>
      <c r="BN62" s="25">
        <v>934840</v>
      </c>
      <c r="BO62" s="25">
        <v>28423</v>
      </c>
      <c r="BP62" s="25">
        <v>247996</v>
      </c>
      <c r="BQ62" s="25">
        <v>0</v>
      </c>
      <c r="BR62" s="25">
        <v>116331</v>
      </c>
      <c r="BS62" s="25">
        <v>0</v>
      </c>
      <c r="BT62" s="25">
        <v>0</v>
      </c>
      <c r="BU62" s="25">
        <v>0</v>
      </c>
      <c r="BV62" s="25">
        <v>579741</v>
      </c>
      <c r="BW62" s="25">
        <v>-20273750</v>
      </c>
      <c r="BX62" s="25">
        <v>-191842</v>
      </c>
      <c r="BY62" s="25">
        <v>635807</v>
      </c>
      <c r="BZ62" s="25">
        <v>0</v>
      </c>
      <c r="CA62" s="25">
        <v>430888</v>
      </c>
      <c r="CB62" s="25">
        <v>0</v>
      </c>
      <c r="CC62" s="25">
        <v>-25220781</v>
      </c>
      <c r="CD62" s="24" t="s">
        <v>248</v>
      </c>
      <c r="CE62" s="25">
        <v>76695939</v>
      </c>
    </row>
    <row r="63" spans="1:83" x14ac:dyDescent="0.25">
      <c r="A63" s="31" t="s">
        <v>264</v>
      </c>
      <c r="B63" s="16"/>
      <c r="C63" s="234">
        <v>0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0</v>
      </c>
      <c r="P63" s="236">
        <v>0</v>
      </c>
      <c r="Q63" s="236">
        <v>0</v>
      </c>
      <c r="R63" s="236">
        <v>0</v>
      </c>
      <c r="S63" s="242">
        <v>0</v>
      </c>
      <c r="T63" s="242">
        <v>0</v>
      </c>
      <c r="U63" s="237">
        <v>0</v>
      </c>
      <c r="V63" s="236">
        <v>0</v>
      </c>
      <c r="W63" s="236">
        <v>0</v>
      </c>
      <c r="X63" s="236">
        <v>0</v>
      </c>
      <c r="Y63" s="236">
        <v>0</v>
      </c>
      <c r="Z63" s="236">
        <v>0</v>
      </c>
      <c r="AA63" s="236">
        <v>0</v>
      </c>
      <c r="AB63" s="243">
        <v>0</v>
      </c>
      <c r="AC63" s="236">
        <v>0</v>
      </c>
      <c r="AD63" s="236">
        <v>0</v>
      </c>
      <c r="AE63" s="236">
        <v>0</v>
      </c>
      <c r="AF63" s="236">
        <v>0</v>
      </c>
      <c r="AG63" s="236">
        <v>0</v>
      </c>
      <c r="AH63" s="236">
        <v>0</v>
      </c>
      <c r="AI63" s="236">
        <v>0</v>
      </c>
      <c r="AJ63" s="236">
        <v>341.65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0</v>
      </c>
      <c r="AS63" s="236">
        <v>0</v>
      </c>
      <c r="AT63" s="236">
        <v>247473.53</v>
      </c>
      <c r="AU63" s="236">
        <v>0</v>
      </c>
      <c r="AV63" s="242">
        <v>0</v>
      </c>
      <c r="AW63" s="242">
        <v>0</v>
      </c>
      <c r="AX63" s="242">
        <v>0</v>
      </c>
      <c r="AY63" s="236">
        <v>0</v>
      </c>
      <c r="AZ63" s="236">
        <v>0</v>
      </c>
      <c r="BA63" s="242">
        <v>0</v>
      </c>
      <c r="BB63" s="242">
        <v>0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0</v>
      </c>
      <c r="BI63" s="242">
        <v>926</v>
      </c>
      <c r="BJ63" s="242">
        <v>0</v>
      </c>
      <c r="BK63" s="242">
        <v>0</v>
      </c>
      <c r="BL63" s="242">
        <v>0</v>
      </c>
      <c r="BM63" s="242">
        <v>0</v>
      </c>
      <c r="BN63" s="242">
        <v>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v>248741.18</v>
      </c>
    </row>
    <row r="64" spans="1:83" x14ac:dyDescent="0.25">
      <c r="A64" s="31" t="s">
        <v>265</v>
      </c>
      <c r="B64" s="16"/>
      <c r="C64" s="234">
        <v>1961520.91</v>
      </c>
      <c r="D64" s="234">
        <v>0</v>
      </c>
      <c r="E64" s="234">
        <v>3671767.05</v>
      </c>
      <c r="F64" s="234">
        <v>331450.9499999999</v>
      </c>
      <c r="G64" s="234">
        <v>0</v>
      </c>
      <c r="H64" s="234">
        <v>0</v>
      </c>
      <c r="I64" s="234">
        <v>0</v>
      </c>
      <c r="J64" s="234">
        <v>31514.87</v>
      </c>
      <c r="K64" s="234">
        <v>1356856.03</v>
      </c>
      <c r="L64" s="234">
        <v>0</v>
      </c>
      <c r="M64" s="234">
        <v>0</v>
      </c>
      <c r="N64" s="234">
        <v>12115.220000000001</v>
      </c>
      <c r="O64" s="234">
        <v>0</v>
      </c>
      <c r="P64" s="236">
        <v>52112052.720000014</v>
      </c>
      <c r="Q64" s="236">
        <v>1118889.5100000002</v>
      </c>
      <c r="R64" s="236">
        <v>3863005.68</v>
      </c>
      <c r="S64" s="242">
        <v>2349060.1500000004</v>
      </c>
      <c r="T64" s="242">
        <v>614439.16</v>
      </c>
      <c r="U64" s="237">
        <v>12318055.089999998</v>
      </c>
      <c r="V64" s="236">
        <v>0</v>
      </c>
      <c r="W64" s="236">
        <v>445612.55999999994</v>
      </c>
      <c r="X64" s="236">
        <v>861552.16999999993</v>
      </c>
      <c r="Y64" s="236">
        <v>6191934.0200000005</v>
      </c>
      <c r="Z64" s="236">
        <v>225455.16</v>
      </c>
      <c r="AA64" s="236">
        <v>3449065.0500000003</v>
      </c>
      <c r="AB64" s="243">
        <v>12981409.820000004</v>
      </c>
      <c r="AC64" s="236">
        <v>316677.63000000006</v>
      </c>
      <c r="AD64" s="236">
        <v>46060.470000000008</v>
      </c>
      <c r="AE64" s="236">
        <v>1221457.1700000002</v>
      </c>
      <c r="AF64" s="236">
        <v>293.88</v>
      </c>
      <c r="AG64" s="236">
        <v>1342484.9100000001</v>
      </c>
      <c r="AH64" s="236">
        <v>0</v>
      </c>
      <c r="AI64" s="236">
        <v>0</v>
      </c>
      <c r="AJ64" s="236">
        <v>77546446.039999962</v>
      </c>
      <c r="AK64" s="236">
        <v>0</v>
      </c>
      <c r="AL64" s="236">
        <v>0</v>
      </c>
      <c r="AM64" s="236">
        <v>0</v>
      </c>
      <c r="AN64" s="236">
        <v>0</v>
      </c>
      <c r="AO64" s="236">
        <v>0</v>
      </c>
      <c r="AP64" s="236">
        <v>40221542.519999921</v>
      </c>
      <c r="AQ64" s="236">
        <v>0</v>
      </c>
      <c r="AR64" s="236">
        <v>0</v>
      </c>
      <c r="AS64" s="236">
        <v>0</v>
      </c>
      <c r="AT64" s="236">
        <v>3523080.0799999996</v>
      </c>
      <c r="AU64" s="236">
        <v>0</v>
      </c>
      <c r="AV64" s="242">
        <v>21470390.5</v>
      </c>
      <c r="AW64" s="242">
        <v>257506.92999999996</v>
      </c>
      <c r="AX64" s="242">
        <v>3245</v>
      </c>
      <c r="AY64" s="236">
        <v>73831.330000000016</v>
      </c>
      <c r="AZ64" s="236">
        <v>113281.56999999999</v>
      </c>
      <c r="BA64" s="242">
        <v>0</v>
      </c>
      <c r="BB64" s="242">
        <v>0</v>
      </c>
      <c r="BC64" s="242">
        <v>116787.26</v>
      </c>
      <c r="BD64" s="242">
        <v>885495.30000000016</v>
      </c>
      <c r="BE64" s="236">
        <v>2031950.5300000003</v>
      </c>
      <c r="BF64" s="242">
        <v>155574.33000000002</v>
      </c>
      <c r="BG64" s="242">
        <v>1801.19</v>
      </c>
      <c r="BH64" s="242">
        <v>124460.53999999998</v>
      </c>
      <c r="BI64" s="242">
        <v>437328.72999999992</v>
      </c>
      <c r="BJ64" s="242">
        <v>11995.710000000001</v>
      </c>
      <c r="BK64" s="242">
        <v>378561.76</v>
      </c>
      <c r="BL64" s="242">
        <v>31298.54</v>
      </c>
      <c r="BM64" s="242">
        <v>782.36</v>
      </c>
      <c r="BN64" s="242">
        <v>48444.26999999999</v>
      </c>
      <c r="BO64" s="242">
        <v>122657.53</v>
      </c>
      <c r="BP64" s="242">
        <v>5227.0200000000004</v>
      </c>
      <c r="BQ64" s="242">
        <v>0</v>
      </c>
      <c r="BR64" s="242">
        <v>1002.54</v>
      </c>
      <c r="BS64" s="242">
        <v>0</v>
      </c>
      <c r="BT64" s="242">
        <v>201.17</v>
      </c>
      <c r="BU64" s="242">
        <v>3523.3999999999996</v>
      </c>
      <c r="BV64" s="242">
        <v>13916.039999999999</v>
      </c>
      <c r="BW64" s="242">
        <v>0</v>
      </c>
      <c r="BX64" s="242">
        <v>19237.879999999994</v>
      </c>
      <c r="BY64" s="242">
        <v>100418.3</v>
      </c>
      <c r="BZ64" s="242">
        <v>0</v>
      </c>
      <c r="CA64" s="242">
        <v>7003.9300000000012</v>
      </c>
      <c r="CB64" s="242">
        <v>0</v>
      </c>
      <c r="CC64" s="242">
        <v>511186.03</v>
      </c>
      <c r="CD64" s="24" t="s">
        <v>248</v>
      </c>
      <c r="CE64" s="25">
        <v>255040908.50999993</v>
      </c>
    </row>
    <row r="65" spans="1:83" x14ac:dyDescent="0.25">
      <c r="A65" s="31" t="s">
        <v>266</v>
      </c>
      <c r="B65" s="16"/>
      <c r="C65" s="234">
        <v>3143.9</v>
      </c>
      <c r="D65" s="234">
        <v>0</v>
      </c>
      <c r="E65" s="234">
        <v>7952.66</v>
      </c>
      <c r="F65" s="234">
        <v>883.13</v>
      </c>
      <c r="G65" s="234">
        <v>0</v>
      </c>
      <c r="H65" s="234">
        <v>0</v>
      </c>
      <c r="I65" s="234">
        <v>0</v>
      </c>
      <c r="J65" s="234">
        <v>0</v>
      </c>
      <c r="K65" s="234">
        <v>317637.33999999997</v>
      </c>
      <c r="L65" s="234">
        <v>0</v>
      </c>
      <c r="M65" s="234">
        <v>0</v>
      </c>
      <c r="N65" s="234">
        <v>0</v>
      </c>
      <c r="O65" s="234">
        <v>0</v>
      </c>
      <c r="P65" s="236">
        <v>24437.97</v>
      </c>
      <c r="Q65" s="236">
        <v>2241.7799999999997</v>
      </c>
      <c r="R65" s="236">
        <v>6822.6399999999994</v>
      </c>
      <c r="S65" s="242">
        <v>2511.3500000000004</v>
      </c>
      <c r="T65" s="242">
        <v>3466.61</v>
      </c>
      <c r="U65" s="237">
        <v>13112.96</v>
      </c>
      <c r="V65" s="236">
        <v>0</v>
      </c>
      <c r="W65" s="236">
        <v>11923.609999999999</v>
      </c>
      <c r="X65" s="236">
        <v>3272.73</v>
      </c>
      <c r="Y65" s="236">
        <v>6275.7699999999995</v>
      </c>
      <c r="Z65" s="236">
        <v>2298.33</v>
      </c>
      <c r="AA65" s="236">
        <v>65.2</v>
      </c>
      <c r="AB65" s="243">
        <v>6855.82</v>
      </c>
      <c r="AC65" s="236">
        <v>2010.09</v>
      </c>
      <c r="AD65" s="236">
        <v>468.39</v>
      </c>
      <c r="AE65" s="236">
        <v>1617.34</v>
      </c>
      <c r="AF65" s="236">
        <v>1076.67</v>
      </c>
      <c r="AG65" s="236">
        <v>225.42</v>
      </c>
      <c r="AH65" s="236">
        <v>0</v>
      </c>
      <c r="AI65" s="236">
        <v>0</v>
      </c>
      <c r="AJ65" s="236">
        <v>69350.460000000006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1226108.8600000001</v>
      </c>
      <c r="AQ65" s="236">
        <v>0</v>
      </c>
      <c r="AR65" s="236">
        <v>0</v>
      </c>
      <c r="AS65" s="236">
        <v>0</v>
      </c>
      <c r="AT65" s="236">
        <v>995.31</v>
      </c>
      <c r="AU65" s="236">
        <v>0</v>
      </c>
      <c r="AV65" s="242">
        <v>12606.73</v>
      </c>
      <c r="AW65" s="242">
        <v>10774.05</v>
      </c>
      <c r="AX65" s="242">
        <v>873.94</v>
      </c>
      <c r="AY65" s="236">
        <v>-28.17</v>
      </c>
      <c r="AZ65" s="236">
        <v>45526.59</v>
      </c>
      <c r="BA65" s="242">
        <v>0</v>
      </c>
      <c r="BB65" s="242">
        <v>0</v>
      </c>
      <c r="BC65" s="242">
        <v>0</v>
      </c>
      <c r="BD65" s="242">
        <v>942.89</v>
      </c>
      <c r="BE65" s="236">
        <v>6815250.8499999996</v>
      </c>
      <c r="BF65" s="242">
        <v>1922759.8199999998</v>
      </c>
      <c r="BG65" s="242">
        <v>5755.76</v>
      </c>
      <c r="BH65" s="242">
        <v>2503006.2100000004</v>
      </c>
      <c r="BI65" s="242">
        <v>1197.01</v>
      </c>
      <c r="BJ65" s="242">
        <v>3921.67</v>
      </c>
      <c r="BK65" s="242">
        <v>150.99</v>
      </c>
      <c r="BL65" s="242">
        <v>1809.7699999999998</v>
      </c>
      <c r="BM65" s="242">
        <v>892.13</v>
      </c>
      <c r="BN65" s="242">
        <v>21964.720000000001</v>
      </c>
      <c r="BO65" s="242">
        <v>2790.7</v>
      </c>
      <c r="BP65" s="242">
        <v>4542.5999999999995</v>
      </c>
      <c r="BQ65" s="242">
        <v>0</v>
      </c>
      <c r="BR65" s="242">
        <v>2196.2399999999998</v>
      </c>
      <c r="BS65" s="242">
        <v>0</v>
      </c>
      <c r="BT65" s="242">
        <v>8.48</v>
      </c>
      <c r="BU65" s="242">
        <v>0</v>
      </c>
      <c r="BV65" s="242">
        <v>30150.97</v>
      </c>
      <c r="BW65" s="242">
        <v>685.05</v>
      </c>
      <c r="BX65" s="242">
        <v>3076.1</v>
      </c>
      <c r="BY65" s="242">
        <v>29820.37</v>
      </c>
      <c r="BZ65" s="242">
        <v>0</v>
      </c>
      <c r="CA65" s="242">
        <v>0</v>
      </c>
      <c r="CB65" s="242">
        <v>0</v>
      </c>
      <c r="CC65" s="242">
        <v>176700.48</v>
      </c>
      <c r="CD65" s="24" t="s">
        <v>248</v>
      </c>
      <c r="CE65" s="25">
        <v>13312130.290000003</v>
      </c>
    </row>
    <row r="66" spans="1:83" x14ac:dyDescent="0.25">
      <c r="A66" s="31" t="s">
        <v>267</v>
      </c>
      <c r="B66" s="16"/>
      <c r="C66" s="234">
        <v>18586.900000000001</v>
      </c>
      <c r="D66" s="234">
        <v>0</v>
      </c>
      <c r="E66" s="234">
        <v>55212.899999999987</v>
      </c>
      <c r="F66" s="234">
        <v>33100.340000000004</v>
      </c>
      <c r="G66" s="234">
        <v>0</v>
      </c>
      <c r="H66" s="234">
        <v>0</v>
      </c>
      <c r="I66" s="234">
        <v>0</v>
      </c>
      <c r="J66" s="234">
        <v>1138156.54</v>
      </c>
      <c r="K66" s="234">
        <v>381676.04999999993</v>
      </c>
      <c r="L66" s="234">
        <v>0</v>
      </c>
      <c r="M66" s="234">
        <v>0</v>
      </c>
      <c r="N66" s="234">
        <v>164.7</v>
      </c>
      <c r="O66" s="234">
        <v>0</v>
      </c>
      <c r="P66" s="236">
        <v>2337179.8199999998</v>
      </c>
      <c r="Q66" s="236">
        <v>42364.42</v>
      </c>
      <c r="R66" s="236">
        <v>323056.48</v>
      </c>
      <c r="S66" s="242">
        <v>248089.57000000004</v>
      </c>
      <c r="T66" s="242">
        <v>12036.980000000001</v>
      </c>
      <c r="U66" s="237">
        <v>793626.72999999986</v>
      </c>
      <c r="V66" s="236">
        <v>0</v>
      </c>
      <c r="W66" s="236">
        <v>170348.36</v>
      </c>
      <c r="X66" s="236">
        <v>36019.509999999995</v>
      </c>
      <c r="Y66" s="236">
        <v>1343349.68</v>
      </c>
      <c r="Z66" s="236">
        <v>685521.63</v>
      </c>
      <c r="AA66" s="236">
        <v>279714.08</v>
      </c>
      <c r="AB66" s="243">
        <v>1820741.39</v>
      </c>
      <c r="AC66" s="236">
        <v>2938.17</v>
      </c>
      <c r="AD66" s="236">
        <v>2664321.89</v>
      </c>
      <c r="AE66" s="236">
        <v>57538.94000000001</v>
      </c>
      <c r="AF66" s="236">
        <v>2484.16</v>
      </c>
      <c r="AG66" s="236">
        <v>336600.08</v>
      </c>
      <c r="AH66" s="236">
        <v>0</v>
      </c>
      <c r="AI66" s="236">
        <v>0</v>
      </c>
      <c r="AJ66" s="236">
        <v>3719891.8599999994</v>
      </c>
      <c r="AK66" s="236">
        <v>0</v>
      </c>
      <c r="AL66" s="236">
        <v>0</v>
      </c>
      <c r="AM66" s="236">
        <v>0</v>
      </c>
      <c r="AN66" s="236">
        <v>0</v>
      </c>
      <c r="AO66" s="236">
        <v>0</v>
      </c>
      <c r="AP66" s="236">
        <v>1845915.2100000004</v>
      </c>
      <c r="AQ66" s="236">
        <v>0</v>
      </c>
      <c r="AR66" s="236">
        <v>0</v>
      </c>
      <c r="AS66" s="236">
        <v>0</v>
      </c>
      <c r="AT66" s="236">
        <v>2355948.11</v>
      </c>
      <c r="AU66" s="236">
        <v>0</v>
      </c>
      <c r="AV66" s="242">
        <v>261378.56</v>
      </c>
      <c r="AW66" s="242">
        <v>5446210.96</v>
      </c>
      <c r="AX66" s="242">
        <v>655584.91999999993</v>
      </c>
      <c r="AY66" s="236">
        <v>1300505.8400000001</v>
      </c>
      <c r="AZ66" s="236">
        <v>2549712.0699999998</v>
      </c>
      <c r="BA66" s="242">
        <v>0</v>
      </c>
      <c r="BB66" s="242">
        <v>0</v>
      </c>
      <c r="BC66" s="242">
        <v>645399.74</v>
      </c>
      <c r="BD66" s="242">
        <v>121200.34</v>
      </c>
      <c r="BE66" s="236">
        <v>2070231.82</v>
      </c>
      <c r="BF66" s="242">
        <v>1058476.94</v>
      </c>
      <c r="BG66" s="242">
        <v>52543.09</v>
      </c>
      <c r="BH66" s="242">
        <v>18239743.920000002</v>
      </c>
      <c r="BI66" s="242">
        <v>3366962.6799999997</v>
      </c>
      <c r="BJ66" s="242">
        <v>617124.68999999994</v>
      </c>
      <c r="BK66" s="242">
        <v>2585414.0700000003</v>
      </c>
      <c r="BL66" s="242">
        <v>2668.0699999999997</v>
      </c>
      <c r="BM66" s="242">
        <v>1580920.27</v>
      </c>
      <c r="BN66" s="242">
        <v>271862.96999999997</v>
      </c>
      <c r="BO66" s="242">
        <v>14371.32</v>
      </c>
      <c r="BP66" s="242">
        <v>13512.89</v>
      </c>
      <c r="BQ66" s="242">
        <v>0</v>
      </c>
      <c r="BR66" s="242">
        <v>584432.94999999995</v>
      </c>
      <c r="BS66" s="242">
        <v>0</v>
      </c>
      <c r="BT66" s="242">
        <v>115.72</v>
      </c>
      <c r="BU66" s="242">
        <v>48692.52</v>
      </c>
      <c r="BV66" s="242">
        <v>1058375.2599999998</v>
      </c>
      <c r="BW66" s="242">
        <v>17248.370000000003</v>
      </c>
      <c r="BX66" s="242">
        <v>1372338.9200000002</v>
      </c>
      <c r="BY66" s="242">
        <v>27475.899999999998</v>
      </c>
      <c r="BZ66" s="242">
        <v>0</v>
      </c>
      <c r="CA66" s="242">
        <v>98274.4</v>
      </c>
      <c r="CB66" s="242">
        <v>0</v>
      </c>
      <c r="CC66" s="242">
        <v>12623105.580000002</v>
      </c>
      <c r="CD66" s="24" t="s">
        <v>248</v>
      </c>
      <c r="CE66" s="25">
        <v>77388469.280000001</v>
      </c>
    </row>
    <row r="67" spans="1:83" x14ac:dyDescent="0.25">
      <c r="A67" s="31" t="s">
        <v>16</v>
      </c>
      <c r="B67" s="16"/>
      <c r="C67" s="25">
        <v>221818</v>
      </c>
      <c r="D67" s="25">
        <v>0</v>
      </c>
      <c r="E67" s="25">
        <v>525928</v>
      </c>
      <c r="F67" s="25">
        <v>1126217</v>
      </c>
      <c r="G67" s="25">
        <v>0</v>
      </c>
      <c r="H67" s="25">
        <v>0</v>
      </c>
      <c r="I67" s="25">
        <v>0</v>
      </c>
      <c r="J67" s="25">
        <v>0</v>
      </c>
      <c r="K67" s="25">
        <v>243399</v>
      </c>
      <c r="L67" s="25">
        <v>0</v>
      </c>
      <c r="M67" s="25">
        <v>0</v>
      </c>
      <c r="N67" s="25">
        <v>0</v>
      </c>
      <c r="O67" s="25">
        <v>0</v>
      </c>
      <c r="P67" s="25">
        <v>2389971</v>
      </c>
      <c r="Q67" s="25">
        <v>91405</v>
      </c>
      <c r="R67" s="25">
        <v>213863</v>
      </c>
      <c r="S67" s="25">
        <v>279759</v>
      </c>
      <c r="T67" s="25">
        <v>11069</v>
      </c>
      <c r="U67" s="25">
        <v>350076</v>
      </c>
      <c r="V67" s="25">
        <v>0</v>
      </c>
      <c r="W67" s="25">
        <v>676654</v>
      </c>
      <c r="X67" s="25">
        <v>288815</v>
      </c>
      <c r="Y67" s="25">
        <v>2016957</v>
      </c>
      <c r="Z67" s="25">
        <v>373212</v>
      </c>
      <c r="AA67" s="25">
        <v>86657</v>
      </c>
      <c r="AB67" s="25">
        <v>285113</v>
      </c>
      <c r="AC67" s="25">
        <v>77614</v>
      </c>
      <c r="AD67" s="25">
        <v>152</v>
      </c>
      <c r="AE67" s="25">
        <v>46934</v>
      </c>
      <c r="AF67" s="25">
        <v>876</v>
      </c>
      <c r="AG67" s="25">
        <v>119284</v>
      </c>
      <c r="AH67" s="25">
        <v>0</v>
      </c>
      <c r="AI67" s="25">
        <v>0</v>
      </c>
      <c r="AJ67" s="25">
        <v>2728021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4183276</v>
      </c>
      <c r="AQ67" s="25">
        <v>0</v>
      </c>
      <c r="AR67" s="25">
        <v>0</v>
      </c>
      <c r="AS67" s="25">
        <v>0</v>
      </c>
      <c r="AT67" s="25">
        <v>164</v>
      </c>
      <c r="AU67" s="25">
        <v>0</v>
      </c>
      <c r="AV67" s="25">
        <v>338805</v>
      </c>
      <c r="AW67" s="25">
        <v>35231</v>
      </c>
      <c r="AX67" s="25">
        <v>782</v>
      </c>
      <c r="AY67" s="25">
        <v>6358</v>
      </c>
      <c r="AZ67" s="25">
        <v>120658</v>
      </c>
      <c r="BA67" s="25">
        <v>0</v>
      </c>
      <c r="BB67" s="25">
        <v>0</v>
      </c>
      <c r="BC67" s="25">
        <v>48590</v>
      </c>
      <c r="BD67" s="25">
        <v>980</v>
      </c>
      <c r="BE67" s="25">
        <v>12033567</v>
      </c>
      <c r="BF67" s="25">
        <v>26733</v>
      </c>
      <c r="BG67" s="25">
        <v>24087</v>
      </c>
      <c r="BH67" s="25">
        <v>3382257</v>
      </c>
      <c r="BI67" s="25">
        <v>32162</v>
      </c>
      <c r="BJ67" s="25">
        <v>541</v>
      </c>
      <c r="BK67" s="25">
        <v>53736</v>
      </c>
      <c r="BL67" s="25">
        <v>2602</v>
      </c>
      <c r="BM67" s="25">
        <v>17587</v>
      </c>
      <c r="BN67" s="25">
        <v>14150</v>
      </c>
      <c r="BO67" s="25">
        <v>2093</v>
      </c>
      <c r="BP67" s="25">
        <v>1449075</v>
      </c>
      <c r="BQ67" s="25">
        <v>0</v>
      </c>
      <c r="BR67" s="25">
        <v>0</v>
      </c>
      <c r="BS67" s="25">
        <v>0</v>
      </c>
      <c r="BT67" s="25">
        <v>220</v>
      </c>
      <c r="BU67" s="25">
        <v>66690</v>
      </c>
      <c r="BV67" s="25">
        <v>101869</v>
      </c>
      <c r="BW67" s="25">
        <v>37</v>
      </c>
      <c r="BX67" s="25">
        <v>5202</v>
      </c>
      <c r="BY67" s="25">
        <v>156007</v>
      </c>
      <c r="BZ67" s="25">
        <v>0</v>
      </c>
      <c r="CA67" s="25">
        <v>6670</v>
      </c>
      <c r="CB67" s="25">
        <v>0</v>
      </c>
      <c r="CC67" s="25">
        <v>486732</v>
      </c>
      <c r="CD67" s="24" t="s">
        <v>248</v>
      </c>
      <c r="CE67" s="25">
        <v>34750655</v>
      </c>
    </row>
    <row r="68" spans="1:83" x14ac:dyDescent="0.25">
      <c r="A68" s="31" t="s">
        <v>268</v>
      </c>
      <c r="B68" s="25"/>
      <c r="C68" s="234">
        <v>1182884.3700000001</v>
      </c>
      <c r="D68" s="234">
        <v>0</v>
      </c>
      <c r="E68" s="234">
        <v>7877213.9000000004</v>
      </c>
      <c r="F68" s="234">
        <v>756636.19</v>
      </c>
      <c r="G68" s="234">
        <v>0</v>
      </c>
      <c r="H68" s="234">
        <v>0</v>
      </c>
      <c r="I68" s="234">
        <v>0</v>
      </c>
      <c r="J68" s="234">
        <v>90772</v>
      </c>
      <c r="K68" s="234">
        <v>769017.16</v>
      </c>
      <c r="L68" s="234">
        <v>0</v>
      </c>
      <c r="M68" s="234">
        <v>0</v>
      </c>
      <c r="N68" s="234">
        <v>2291.2199999999998</v>
      </c>
      <c r="O68" s="234">
        <v>0</v>
      </c>
      <c r="P68" s="236">
        <v>2584904</v>
      </c>
      <c r="Q68" s="236">
        <v>1429068.97</v>
      </c>
      <c r="R68" s="236">
        <v>860002.1</v>
      </c>
      <c r="S68" s="242">
        <v>747450</v>
      </c>
      <c r="T68" s="242">
        <v>40801.11</v>
      </c>
      <c r="U68" s="237">
        <v>1753584.22</v>
      </c>
      <c r="V68" s="236">
        <v>0</v>
      </c>
      <c r="W68" s="236">
        <v>174510.99</v>
      </c>
      <c r="X68" s="236">
        <v>178104.86</v>
      </c>
      <c r="Y68" s="236">
        <v>1524555.51</v>
      </c>
      <c r="Z68" s="236">
        <v>498179</v>
      </c>
      <c r="AA68" s="236">
        <v>268586.8</v>
      </c>
      <c r="AB68" s="243">
        <v>485891.36000000004</v>
      </c>
      <c r="AC68" s="236">
        <v>69051.86</v>
      </c>
      <c r="AD68" s="236">
        <v>73565.7</v>
      </c>
      <c r="AE68" s="236">
        <v>795045.73</v>
      </c>
      <c r="AF68" s="236">
        <v>45727</v>
      </c>
      <c r="AG68" s="236">
        <v>696719.66</v>
      </c>
      <c r="AH68" s="236">
        <v>0</v>
      </c>
      <c r="AI68" s="236">
        <v>0</v>
      </c>
      <c r="AJ68" s="236">
        <v>-24317817.869999997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10894367.130000001</v>
      </c>
      <c r="AQ68" s="236">
        <v>0</v>
      </c>
      <c r="AR68" s="236">
        <v>0</v>
      </c>
      <c r="AS68" s="236">
        <v>0</v>
      </c>
      <c r="AT68" s="236">
        <v>97339</v>
      </c>
      <c r="AU68" s="236">
        <v>0</v>
      </c>
      <c r="AV68" s="242">
        <v>1013952.25</v>
      </c>
      <c r="AW68" s="242">
        <v>380815.8</v>
      </c>
      <c r="AX68" s="242">
        <v>114563</v>
      </c>
      <c r="AY68" s="236">
        <v>243045</v>
      </c>
      <c r="AZ68" s="236">
        <v>751729</v>
      </c>
      <c r="BA68" s="242">
        <v>140811</v>
      </c>
      <c r="BB68" s="242">
        <v>0</v>
      </c>
      <c r="BC68" s="242">
        <v>23353</v>
      </c>
      <c r="BD68" s="242">
        <v>0</v>
      </c>
      <c r="BE68" s="236">
        <v>589086.93999999994</v>
      </c>
      <c r="BF68" s="242">
        <v>356107</v>
      </c>
      <c r="BG68" s="242">
        <v>522535.85</v>
      </c>
      <c r="BH68" s="242">
        <v>2138272.4800000004</v>
      </c>
      <c r="BI68" s="242">
        <v>314512</v>
      </c>
      <c r="BJ68" s="242">
        <v>121257.65</v>
      </c>
      <c r="BK68" s="242">
        <v>181197.10000000003</v>
      </c>
      <c r="BL68" s="242">
        <v>361389.4</v>
      </c>
      <c r="BM68" s="242">
        <v>-456991.22000000003</v>
      </c>
      <c r="BN68" s="242">
        <v>701435.23</v>
      </c>
      <c r="BO68" s="242">
        <v>46134</v>
      </c>
      <c r="BP68" s="242">
        <v>151042.07999999999</v>
      </c>
      <c r="BQ68" s="242">
        <v>0</v>
      </c>
      <c r="BR68" s="242">
        <v>0</v>
      </c>
      <c r="BS68" s="242">
        <v>0</v>
      </c>
      <c r="BT68" s="242">
        <v>37279</v>
      </c>
      <c r="BU68" s="242">
        <v>148720</v>
      </c>
      <c r="BV68" s="242">
        <v>505478.92</v>
      </c>
      <c r="BW68" s="242">
        <v>0</v>
      </c>
      <c r="BX68" s="242">
        <v>536592.6</v>
      </c>
      <c r="BY68" s="242">
        <v>302617.55</v>
      </c>
      <c r="BZ68" s="242">
        <v>0</v>
      </c>
      <c r="CA68" s="242">
        <v>160083</v>
      </c>
      <c r="CB68" s="242">
        <v>0</v>
      </c>
      <c r="CC68" s="242">
        <v>1006947.26</v>
      </c>
      <c r="CD68" s="24" t="s">
        <v>248</v>
      </c>
      <c r="CE68" s="25">
        <v>19970417.860000003</v>
      </c>
    </row>
    <row r="69" spans="1:83" x14ac:dyDescent="0.25">
      <c r="A69" s="31" t="s">
        <v>269</v>
      </c>
      <c r="B69" s="16"/>
      <c r="C69" s="25">
        <v>7156529.9299999997</v>
      </c>
      <c r="D69" s="25">
        <v>0</v>
      </c>
      <c r="E69" s="25">
        <v>13912100.09</v>
      </c>
      <c r="F69" s="25">
        <v>1620130.95</v>
      </c>
      <c r="G69" s="25">
        <v>0</v>
      </c>
      <c r="H69" s="25">
        <v>0</v>
      </c>
      <c r="I69" s="25">
        <v>0</v>
      </c>
      <c r="J69" s="25">
        <v>53963.16</v>
      </c>
      <c r="K69" s="25">
        <v>1304794.1199999999</v>
      </c>
      <c r="L69" s="25">
        <v>0</v>
      </c>
      <c r="M69" s="25">
        <v>0</v>
      </c>
      <c r="N69" s="25">
        <v>-14541.039999999999</v>
      </c>
      <c r="O69" s="25">
        <v>0</v>
      </c>
      <c r="P69" s="25">
        <v>8147451.0899999999</v>
      </c>
      <c r="Q69" s="25">
        <v>2823725.33</v>
      </c>
      <c r="R69" s="25">
        <v>4911959.0199999996</v>
      </c>
      <c r="S69" s="25">
        <v>458553.7</v>
      </c>
      <c r="T69" s="25">
        <v>76028.62</v>
      </c>
      <c r="U69" s="25">
        <v>12289167.089999998</v>
      </c>
      <c r="V69" s="25">
        <v>0</v>
      </c>
      <c r="W69" s="25">
        <v>614445.64</v>
      </c>
      <c r="X69" s="25">
        <v>2019457.16</v>
      </c>
      <c r="Y69" s="25">
        <v>4341710.63</v>
      </c>
      <c r="Z69" s="25">
        <v>1007597.41</v>
      </c>
      <c r="AA69" s="25">
        <v>787668.24</v>
      </c>
      <c r="AB69" s="25">
        <v>38656236.000000015</v>
      </c>
      <c r="AC69" s="25">
        <v>188797.84</v>
      </c>
      <c r="AD69" s="25">
        <v>97271.459999999992</v>
      </c>
      <c r="AE69" s="25">
        <v>509184.17000000004</v>
      </c>
      <c r="AF69" s="25">
        <v>12903.84</v>
      </c>
      <c r="AG69" s="25">
        <v>4737627.22</v>
      </c>
      <c r="AH69" s="25">
        <v>0</v>
      </c>
      <c r="AI69" s="25">
        <v>0</v>
      </c>
      <c r="AJ69" s="25">
        <v>44876669.57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18265267.690000001</v>
      </c>
      <c r="AQ69" s="25">
        <v>0</v>
      </c>
      <c r="AR69" s="25">
        <v>0</v>
      </c>
      <c r="AS69" s="25">
        <v>0</v>
      </c>
      <c r="AT69" s="25">
        <v>297630.2</v>
      </c>
      <c r="AU69" s="25">
        <v>0</v>
      </c>
      <c r="AV69" s="25">
        <v>1768706.29</v>
      </c>
      <c r="AW69" s="25">
        <v>1034170.9100000001</v>
      </c>
      <c r="AX69" s="25">
        <v>120655.07</v>
      </c>
      <c r="AY69" s="25">
        <v>380418.08</v>
      </c>
      <c r="AZ69" s="25">
        <v>494092.70999999996</v>
      </c>
      <c r="BA69" s="25">
        <v>2093302.93</v>
      </c>
      <c r="BB69" s="25">
        <v>0</v>
      </c>
      <c r="BC69" s="25">
        <v>4224571.76</v>
      </c>
      <c r="BD69" s="25">
        <v>240998.87000000002</v>
      </c>
      <c r="BE69" s="25">
        <v>9455456.370000001</v>
      </c>
      <c r="BF69" s="25">
        <v>8957105.9499999993</v>
      </c>
      <c r="BG69" s="25">
        <v>158040.29</v>
      </c>
      <c r="BH69" s="25">
        <v>10909724.159999998</v>
      </c>
      <c r="BI69" s="25">
        <v>709408.38</v>
      </c>
      <c r="BJ69" s="25">
        <v>402772.31999999995</v>
      </c>
      <c r="BK69" s="25">
        <v>1177273.8600000001</v>
      </c>
      <c r="BL69" s="25">
        <v>172324.62</v>
      </c>
      <c r="BM69" s="25">
        <v>228436.91000000003</v>
      </c>
      <c r="BN69" s="25">
        <v>1979203.2599999998</v>
      </c>
      <c r="BO69" s="25">
        <v>638.33000000000004</v>
      </c>
      <c r="BP69" s="25">
        <v>30561.31</v>
      </c>
      <c r="BQ69" s="25">
        <v>0</v>
      </c>
      <c r="BR69" s="25">
        <v>94728.09</v>
      </c>
      <c r="BS69" s="25">
        <v>0</v>
      </c>
      <c r="BT69" s="25">
        <v>0</v>
      </c>
      <c r="BU69" s="25">
        <v>786968.71</v>
      </c>
      <c r="BV69" s="25">
        <v>1636803.26</v>
      </c>
      <c r="BW69" s="25">
        <v>2327491.73</v>
      </c>
      <c r="BX69" s="25">
        <v>73344.859999999942</v>
      </c>
      <c r="BY69" s="25">
        <v>1015481.65</v>
      </c>
      <c r="BZ69" s="25">
        <v>0</v>
      </c>
      <c r="CA69" s="25">
        <v>504475.00999999995</v>
      </c>
      <c r="CB69" s="25">
        <v>0</v>
      </c>
      <c r="CC69" s="25">
        <v>6321534.0500000007</v>
      </c>
      <c r="CD69" s="25">
        <v>-7114071.0199999996</v>
      </c>
      <c r="CE69" s="25">
        <v>219336947.85000002</v>
      </c>
    </row>
    <row r="70" spans="1:83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3515986.72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3515986.72</v>
      </c>
    </row>
    <row r="71" spans="1:83" x14ac:dyDescent="0.25">
      <c r="A71" s="26" t="s">
        <v>271</v>
      </c>
      <c r="B71" s="27"/>
      <c r="C71" s="244">
        <v>5762414.7599999998</v>
      </c>
      <c r="D71" s="244">
        <v>0</v>
      </c>
      <c r="E71" s="244">
        <v>12337156.960000001</v>
      </c>
      <c r="F71" s="244">
        <v>1486185.66</v>
      </c>
      <c r="G71" s="244">
        <v>0</v>
      </c>
      <c r="H71" s="244">
        <v>0</v>
      </c>
      <c r="I71" s="244">
        <v>0</v>
      </c>
      <c r="J71" s="244">
        <v>31282.3</v>
      </c>
      <c r="K71" s="244">
        <v>288168.10000000003</v>
      </c>
      <c r="L71" s="244">
        <v>0</v>
      </c>
      <c r="M71" s="244">
        <v>0</v>
      </c>
      <c r="N71" s="244">
        <v>0</v>
      </c>
      <c r="O71" s="244">
        <v>0</v>
      </c>
      <c r="P71" s="244">
        <v>3335264.02</v>
      </c>
      <c r="Q71" s="244">
        <v>2613020.9700000002</v>
      </c>
      <c r="R71" s="244">
        <v>3438554.52</v>
      </c>
      <c r="S71" s="244">
        <v>126270.2</v>
      </c>
      <c r="T71" s="244">
        <v>34286.699999999997</v>
      </c>
      <c r="U71" s="244">
        <v>283390.08999999997</v>
      </c>
      <c r="V71" s="244">
        <v>0</v>
      </c>
      <c r="W71" s="244">
        <v>77476.37</v>
      </c>
      <c r="X71" s="244">
        <v>759956.44</v>
      </c>
      <c r="Y71" s="244">
        <v>2250913.1</v>
      </c>
      <c r="Z71" s="244">
        <v>137595</v>
      </c>
      <c r="AA71" s="244">
        <v>406620.88</v>
      </c>
      <c r="AB71" s="244">
        <v>0</v>
      </c>
      <c r="AC71" s="244">
        <v>1610</v>
      </c>
      <c r="AD71" s="244">
        <v>0</v>
      </c>
      <c r="AE71" s="244">
        <v>289367.75</v>
      </c>
      <c r="AF71" s="244">
        <v>0</v>
      </c>
      <c r="AG71" s="244">
        <v>4029284.2399999998</v>
      </c>
      <c r="AH71" s="244">
        <v>0</v>
      </c>
      <c r="AI71" s="244">
        <v>0</v>
      </c>
      <c r="AJ71" s="244">
        <v>9399597.7600000016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2699012.5599999996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498458.95</v>
      </c>
      <c r="AW71" s="244">
        <v>0</v>
      </c>
      <c r="AX71" s="244">
        <v>0</v>
      </c>
      <c r="AY71" s="244">
        <v>277710.81</v>
      </c>
      <c r="AZ71" s="244">
        <v>305886.37</v>
      </c>
      <c r="BA71" s="244">
        <v>0</v>
      </c>
      <c r="BB71" s="244">
        <v>0</v>
      </c>
      <c r="BC71" s="244">
        <v>4098089.69</v>
      </c>
      <c r="BD71" s="244">
        <v>289984.38</v>
      </c>
      <c r="BE71" s="244">
        <v>5457826.9000000004</v>
      </c>
      <c r="BF71" s="244">
        <v>8516345.9499999993</v>
      </c>
      <c r="BG71" s="244">
        <v>15134.41</v>
      </c>
      <c r="BH71" s="244">
        <v>0</v>
      </c>
      <c r="BI71" s="244">
        <v>0</v>
      </c>
      <c r="BJ71" s="244">
        <v>354732.97</v>
      </c>
      <c r="BK71" s="244">
        <v>0</v>
      </c>
      <c r="BL71" s="244">
        <v>159710.87</v>
      </c>
      <c r="BM71" s="244">
        <v>197983.24000000002</v>
      </c>
      <c r="BN71" s="244">
        <v>157998.98000000001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2690.84</v>
      </c>
      <c r="BW71" s="244">
        <v>0</v>
      </c>
      <c r="BX71" s="244">
        <v>-3120</v>
      </c>
      <c r="BY71" s="244">
        <v>501431.55</v>
      </c>
      <c r="BZ71" s="244">
        <v>0</v>
      </c>
      <c r="CA71" s="244">
        <v>337560.11</v>
      </c>
      <c r="CB71" s="244">
        <v>0</v>
      </c>
      <c r="CC71" s="244">
        <v>27290</v>
      </c>
      <c r="CD71" s="244">
        <v>0</v>
      </c>
      <c r="CE71" s="25">
        <v>70983144.400000006</v>
      </c>
    </row>
    <row r="72" spans="1:83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v>0</v>
      </c>
    </row>
    <row r="73" spans="1:83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41108.04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446903.36000000004</v>
      </c>
      <c r="S73" s="244">
        <v>0</v>
      </c>
      <c r="T73" s="244">
        <v>0</v>
      </c>
      <c r="U73" s="244">
        <v>88609.51</v>
      </c>
      <c r="V73" s="244">
        <v>0</v>
      </c>
      <c r="W73" s="244">
        <v>17408.599999999999</v>
      </c>
      <c r="X73" s="244">
        <v>10890.88</v>
      </c>
      <c r="Y73" s="244">
        <v>36360.61</v>
      </c>
      <c r="Z73" s="244">
        <v>172316.6</v>
      </c>
      <c r="AA73" s="244">
        <v>6329.4</v>
      </c>
      <c r="AB73" s="244">
        <v>913</v>
      </c>
      <c r="AC73" s="244">
        <v>0</v>
      </c>
      <c r="AD73" s="244">
        <v>160.6</v>
      </c>
      <c r="AE73" s="244">
        <v>32724.84</v>
      </c>
      <c r="AF73" s="244">
        <v>5018.92</v>
      </c>
      <c r="AG73" s="244">
        <v>227091.78</v>
      </c>
      <c r="AH73" s="244">
        <v>0</v>
      </c>
      <c r="AI73" s="244">
        <v>0</v>
      </c>
      <c r="AJ73" s="244">
        <v>2916874.3400000008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1370406.9299999995</v>
      </c>
      <c r="AQ73" s="244">
        <v>0</v>
      </c>
      <c r="AR73" s="244">
        <v>0</v>
      </c>
      <c r="AS73" s="244">
        <v>0</v>
      </c>
      <c r="AT73" s="244">
        <v>10595.2</v>
      </c>
      <c r="AU73" s="244">
        <v>0</v>
      </c>
      <c r="AV73" s="244">
        <v>58836.05</v>
      </c>
      <c r="AW73" s="244">
        <v>112894.48000000001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8286.4599999999991</v>
      </c>
      <c r="BI73" s="244">
        <v>0</v>
      </c>
      <c r="BJ73" s="244">
        <v>0</v>
      </c>
      <c r="BK73" s="244">
        <v>20848.099999999999</v>
      </c>
      <c r="BL73" s="244">
        <v>97.08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65100.959999999999</v>
      </c>
      <c r="BX73" s="244">
        <v>829.4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35246.540000000037</v>
      </c>
      <c r="CE73" s="25">
        <v>5685851.6800000006</v>
      </c>
    </row>
    <row r="74" spans="1:83" x14ac:dyDescent="0.2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279912.37</v>
      </c>
      <c r="L74" s="244">
        <v>0</v>
      </c>
      <c r="M74" s="244">
        <v>0</v>
      </c>
      <c r="N74" s="244">
        <v>0</v>
      </c>
      <c r="O74" s="244">
        <v>0</v>
      </c>
      <c r="P74" s="244">
        <v>231448.7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1042.73</v>
      </c>
      <c r="AX74" s="244">
        <v>0</v>
      </c>
      <c r="AY74" s="244">
        <v>0</v>
      </c>
      <c r="AZ74" s="244">
        <v>7616.54</v>
      </c>
      <c r="BA74" s="244">
        <v>2093302.93</v>
      </c>
      <c r="BB74" s="244">
        <v>0</v>
      </c>
      <c r="BC74" s="244">
        <v>0</v>
      </c>
      <c r="BD74" s="244">
        <v>0</v>
      </c>
      <c r="BE74" s="244">
        <v>0</v>
      </c>
      <c r="BF74" s="244">
        <v>157976.15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13445.41</v>
      </c>
      <c r="CD74" s="244">
        <v>0</v>
      </c>
      <c r="CE74" s="25">
        <v>2784744.83</v>
      </c>
    </row>
    <row r="75" spans="1:83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10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5216190.43</v>
      </c>
      <c r="CD75" s="244">
        <v>0</v>
      </c>
      <c r="CE75" s="25">
        <v>5216200.43</v>
      </c>
    </row>
    <row r="76" spans="1:83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5612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6456993.46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483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139161.07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v>6602249.5300000003</v>
      </c>
    </row>
    <row r="77" spans="1:83" x14ac:dyDescent="0.25">
      <c r="A77" s="26" t="s">
        <v>277</v>
      </c>
      <c r="B77" s="27"/>
      <c r="C77" s="244">
        <v>213362.4</v>
      </c>
      <c r="D77" s="244">
        <v>0</v>
      </c>
      <c r="E77" s="244">
        <v>244347.43999999994</v>
      </c>
      <c r="F77" s="244">
        <v>51830.22</v>
      </c>
      <c r="G77" s="244">
        <v>0</v>
      </c>
      <c r="H77" s="244">
        <v>0</v>
      </c>
      <c r="I77" s="244">
        <v>0</v>
      </c>
      <c r="J77" s="244">
        <v>0</v>
      </c>
      <c r="K77" s="244">
        <v>458318.54</v>
      </c>
      <c r="L77" s="244">
        <v>0</v>
      </c>
      <c r="M77" s="244">
        <v>0</v>
      </c>
      <c r="N77" s="244">
        <v>1346.69</v>
      </c>
      <c r="O77" s="244">
        <v>0</v>
      </c>
      <c r="P77" s="244">
        <v>1523145.96</v>
      </c>
      <c r="Q77" s="244">
        <v>52697.389999999992</v>
      </c>
      <c r="R77" s="244">
        <v>271246.71000000002</v>
      </c>
      <c r="S77" s="244">
        <v>216791.05</v>
      </c>
      <c r="T77" s="244">
        <v>7333.92</v>
      </c>
      <c r="U77" s="244">
        <v>459520.19999999995</v>
      </c>
      <c r="V77" s="244">
        <v>0</v>
      </c>
      <c r="W77" s="244">
        <v>285562.25</v>
      </c>
      <c r="X77" s="244">
        <v>320467.07</v>
      </c>
      <c r="Y77" s="244">
        <v>1399300.4000000001</v>
      </c>
      <c r="Z77" s="244">
        <v>407983.47000000003</v>
      </c>
      <c r="AA77" s="244">
        <v>198413.35</v>
      </c>
      <c r="AB77" s="244">
        <v>305732.15000000002</v>
      </c>
      <c r="AC77" s="244">
        <v>64382.53</v>
      </c>
      <c r="AD77" s="244">
        <v>1279.19</v>
      </c>
      <c r="AE77" s="244">
        <v>12925.25</v>
      </c>
      <c r="AF77" s="244">
        <v>0</v>
      </c>
      <c r="AG77" s="244">
        <v>47643.05</v>
      </c>
      <c r="AH77" s="244">
        <v>0</v>
      </c>
      <c r="AI77" s="244">
        <v>0</v>
      </c>
      <c r="AJ77" s="244">
        <v>5775358.2200000007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3347999.23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270762</v>
      </c>
      <c r="AW77" s="244">
        <v>39198.659999999996</v>
      </c>
      <c r="AX77" s="244">
        <v>118062.27</v>
      </c>
      <c r="AY77" s="244">
        <v>68806.94</v>
      </c>
      <c r="AZ77" s="244">
        <v>39667.61</v>
      </c>
      <c r="BA77" s="244">
        <v>0</v>
      </c>
      <c r="BB77" s="244">
        <v>0</v>
      </c>
      <c r="BC77" s="244">
        <v>126482.07</v>
      </c>
      <c r="BD77" s="244">
        <v>45349.71</v>
      </c>
      <c r="BE77" s="244">
        <v>4071827.38</v>
      </c>
      <c r="BF77" s="244">
        <v>297074.67</v>
      </c>
      <c r="BG77" s="244">
        <v>139445.76000000001</v>
      </c>
      <c r="BH77" s="244">
        <v>10896547.689999998</v>
      </c>
      <c r="BI77" s="244">
        <v>171993.90000000002</v>
      </c>
      <c r="BJ77" s="244">
        <v>34041.1</v>
      </c>
      <c r="BK77" s="244">
        <v>826548.05</v>
      </c>
      <c r="BL77" s="244">
        <v>1623.6399999999999</v>
      </c>
      <c r="BM77" s="244">
        <v>0</v>
      </c>
      <c r="BN77" s="244">
        <v>15600.630000000001</v>
      </c>
      <c r="BO77" s="244">
        <v>541.19000000000005</v>
      </c>
      <c r="BP77" s="244">
        <v>5579.67</v>
      </c>
      <c r="BQ77" s="244">
        <v>0</v>
      </c>
      <c r="BR77" s="244">
        <v>200.59</v>
      </c>
      <c r="BS77" s="244">
        <v>0</v>
      </c>
      <c r="BT77" s="244">
        <v>0</v>
      </c>
      <c r="BU77" s="244">
        <v>0</v>
      </c>
      <c r="BV77" s="244">
        <v>1624210.44</v>
      </c>
      <c r="BW77" s="244">
        <v>0</v>
      </c>
      <c r="BX77" s="244">
        <v>429.68</v>
      </c>
      <c r="BY77" s="244">
        <v>75816.81</v>
      </c>
      <c r="BZ77" s="244">
        <v>0</v>
      </c>
      <c r="CA77" s="244">
        <v>932.66</v>
      </c>
      <c r="CB77" s="244">
        <v>0</v>
      </c>
      <c r="CC77" s="244">
        <v>537693.4800000001</v>
      </c>
      <c r="CD77" s="244">
        <v>-295.5</v>
      </c>
      <c r="CE77" s="25">
        <v>35075127.780000001</v>
      </c>
    </row>
    <row r="78" spans="1:83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26696.26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-26696.26</v>
      </c>
      <c r="CE78" s="25">
        <v>0</v>
      </c>
    </row>
    <row r="79" spans="1:83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1905.86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1096.7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69049.210000000006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16676.509999999998</v>
      </c>
      <c r="CD79" s="244">
        <v>-95349.13</v>
      </c>
      <c r="CE79" s="25">
        <v>-6620.8500000000058</v>
      </c>
    </row>
    <row r="80" spans="1:83" x14ac:dyDescent="0.25">
      <c r="A80" s="26" t="s">
        <v>280</v>
      </c>
      <c r="B80" s="16"/>
      <c r="C80" s="244">
        <v>4792</v>
      </c>
      <c r="D80" s="244">
        <v>0</v>
      </c>
      <c r="E80" s="244">
        <v>11428.09</v>
      </c>
      <c r="F80" s="244">
        <v>1102.5</v>
      </c>
      <c r="G80" s="244">
        <v>0</v>
      </c>
      <c r="H80" s="244">
        <v>0</v>
      </c>
      <c r="I80" s="244">
        <v>0</v>
      </c>
      <c r="J80" s="244">
        <v>0</v>
      </c>
      <c r="K80" s="244">
        <v>30514.54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2290.3200000000002</v>
      </c>
      <c r="R80" s="244">
        <v>27259.94</v>
      </c>
      <c r="S80" s="244">
        <v>50</v>
      </c>
      <c r="T80" s="244">
        <v>0</v>
      </c>
      <c r="U80" s="244">
        <v>2633</v>
      </c>
      <c r="V80" s="244">
        <v>0</v>
      </c>
      <c r="W80" s="244">
        <v>0</v>
      </c>
      <c r="X80" s="244">
        <v>199</v>
      </c>
      <c r="Y80" s="244">
        <v>4746</v>
      </c>
      <c r="Z80" s="244">
        <v>10038.24</v>
      </c>
      <c r="AA80" s="244">
        <v>0</v>
      </c>
      <c r="AB80" s="244">
        <v>8749.82</v>
      </c>
      <c r="AC80" s="244">
        <v>1729.89</v>
      </c>
      <c r="AD80" s="244">
        <v>0</v>
      </c>
      <c r="AE80" s="244">
        <v>9795.26</v>
      </c>
      <c r="AF80" s="244">
        <v>2333.5</v>
      </c>
      <c r="AG80" s="244">
        <v>12482.5</v>
      </c>
      <c r="AH80" s="244">
        <v>0</v>
      </c>
      <c r="AI80" s="244">
        <v>0</v>
      </c>
      <c r="AJ80" s="244">
        <v>136302.21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85911.08</v>
      </c>
      <c r="AQ80" s="244">
        <v>0</v>
      </c>
      <c r="AR80" s="244">
        <v>0</v>
      </c>
      <c r="AS80" s="244">
        <v>0</v>
      </c>
      <c r="AT80" s="244">
        <v>120</v>
      </c>
      <c r="AU80" s="244">
        <v>0</v>
      </c>
      <c r="AV80" s="244">
        <v>19049.64</v>
      </c>
      <c r="AW80" s="244">
        <v>182784.48</v>
      </c>
      <c r="AX80" s="244">
        <v>0</v>
      </c>
      <c r="AY80" s="244">
        <v>2678.12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2.6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25676.62</v>
      </c>
      <c r="BL80" s="244">
        <v>0</v>
      </c>
      <c r="BM80" s="244">
        <v>0</v>
      </c>
      <c r="BN80" s="244">
        <v>391.02</v>
      </c>
      <c r="BO80" s="244">
        <v>0</v>
      </c>
      <c r="BP80" s="244">
        <v>186.62</v>
      </c>
      <c r="BQ80" s="244">
        <v>0</v>
      </c>
      <c r="BR80" s="244">
        <v>475</v>
      </c>
      <c r="BS80" s="244">
        <v>0</v>
      </c>
      <c r="BT80" s="244">
        <v>0</v>
      </c>
      <c r="BU80" s="244">
        <v>775</v>
      </c>
      <c r="BV80" s="244">
        <v>1325.9</v>
      </c>
      <c r="BW80" s="244">
        <v>302394.88</v>
      </c>
      <c r="BX80" s="244">
        <v>0</v>
      </c>
      <c r="BY80" s="244">
        <v>87957.17</v>
      </c>
      <c r="BZ80" s="244">
        <v>0</v>
      </c>
      <c r="CA80" s="244">
        <v>3045.35</v>
      </c>
      <c r="CB80" s="244">
        <v>0</v>
      </c>
      <c r="CC80" s="244">
        <v>0</v>
      </c>
      <c r="CD80" s="244">
        <v>0</v>
      </c>
      <c r="CE80" s="25">
        <v>979220.29</v>
      </c>
    </row>
    <row r="81" spans="1:84" x14ac:dyDescent="0.25">
      <c r="A81" s="26" t="s">
        <v>281</v>
      </c>
      <c r="B81" s="16"/>
      <c r="C81" s="244">
        <v>272459</v>
      </c>
      <c r="D81" s="244">
        <v>0</v>
      </c>
      <c r="E81" s="244">
        <v>1261480</v>
      </c>
      <c r="F81" s="244">
        <v>76659</v>
      </c>
      <c r="G81" s="244">
        <v>0</v>
      </c>
      <c r="H81" s="244">
        <v>0</v>
      </c>
      <c r="I81" s="244">
        <v>0</v>
      </c>
      <c r="J81" s="244">
        <v>22189</v>
      </c>
      <c r="K81" s="244">
        <v>4915.1400000000003</v>
      </c>
      <c r="L81" s="244">
        <v>0</v>
      </c>
      <c r="M81" s="244">
        <v>0</v>
      </c>
      <c r="N81" s="244">
        <v>0</v>
      </c>
      <c r="O81" s="244">
        <v>0</v>
      </c>
      <c r="P81" s="244">
        <v>2881960</v>
      </c>
      <c r="Q81" s="244">
        <v>153539</v>
      </c>
      <c r="R81" s="244">
        <v>439309</v>
      </c>
      <c r="S81" s="244">
        <v>0</v>
      </c>
      <c r="T81" s="244">
        <v>32913</v>
      </c>
      <c r="U81" s="244">
        <v>1185122</v>
      </c>
      <c r="V81" s="244">
        <v>0</v>
      </c>
      <c r="W81" s="244">
        <v>230318</v>
      </c>
      <c r="X81" s="244">
        <v>906769</v>
      </c>
      <c r="Y81" s="244">
        <v>546612</v>
      </c>
      <c r="Z81" s="244">
        <v>206806</v>
      </c>
      <c r="AA81" s="244">
        <v>147526</v>
      </c>
      <c r="AB81" s="244">
        <v>624999.12</v>
      </c>
      <c r="AC81" s="244">
        <v>116224</v>
      </c>
      <c r="AD81" s="244">
        <v>95368</v>
      </c>
      <c r="AE81" s="244">
        <v>131932</v>
      </c>
      <c r="AF81" s="244">
        <v>2843</v>
      </c>
      <c r="AG81" s="244">
        <v>405628</v>
      </c>
      <c r="AH81" s="244">
        <v>0</v>
      </c>
      <c r="AI81" s="244">
        <v>0</v>
      </c>
      <c r="AJ81" s="244">
        <v>15706909.200000001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3207723.41</v>
      </c>
      <c r="AQ81" s="244">
        <v>0</v>
      </c>
      <c r="AR81" s="244">
        <v>0</v>
      </c>
      <c r="AS81" s="244">
        <v>0</v>
      </c>
      <c r="AT81" s="244">
        <v>137124</v>
      </c>
      <c r="AU81" s="244">
        <v>0</v>
      </c>
      <c r="AV81" s="244">
        <v>825985</v>
      </c>
      <c r="AW81" s="244">
        <v>0</v>
      </c>
      <c r="AX81" s="244">
        <v>0</v>
      </c>
      <c r="AY81" s="244">
        <v>24442</v>
      </c>
      <c r="AZ81" s="244">
        <v>11331.05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1560.49</v>
      </c>
      <c r="BJ81" s="244">
        <v>0</v>
      </c>
      <c r="BK81" s="244">
        <v>0</v>
      </c>
      <c r="BL81" s="244">
        <v>0</v>
      </c>
      <c r="BM81" s="244">
        <v>800</v>
      </c>
      <c r="BN81" s="244">
        <v>0</v>
      </c>
      <c r="BO81" s="244">
        <v>1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116971.65</v>
      </c>
      <c r="CD81" s="244">
        <v>-6395157.7800000003</v>
      </c>
      <c r="CE81" s="25">
        <v>23383260.279999997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25">
      <c r="A83" s="26" t="s">
        <v>283</v>
      </c>
      <c r="B83" s="16"/>
      <c r="C83" s="234">
        <v>903501.77</v>
      </c>
      <c r="D83" s="234">
        <v>0</v>
      </c>
      <c r="E83" s="236">
        <v>57687.599999999991</v>
      </c>
      <c r="F83" s="236">
        <v>4353.57</v>
      </c>
      <c r="G83" s="234">
        <v>0</v>
      </c>
      <c r="H83" s="234">
        <v>0</v>
      </c>
      <c r="I83" s="236">
        <v>0</v>
      </c>
      <c r="J83" s="236">
        <v>491.86</v>
      </c>
      <c r="K83" s="236">
        <v>196245.38999999996</v>
      </c>
      <c r="L83" s="236">
        <v>0</v>
      </c>
      <c r="M83" s="234">
        <v>0</v>
      </c>
      <c r="N83" s="234">
        <v>-15887.73</v>
      </c>
      <c r="O83" s="234">
        <v>0</v>
      </c>
      <c r="P83" s="236">
        <v>175632.40999999997</v>
      </c>
      <c r="Q83" s="236">
        <v>2177.65</v>
      </c>
      <c r="R83" s="237">
        <v>288685.49</v>
      </c>
      <c r="S83" s="236">
        <v>115442.45000000001</v>
      </c>
      <c r="T83" s="234">
        <v>1495</v>
      </c>
      <c r="U83" s="236">
        <v>296912.11</v>
      </c>
      <c r="V83" s="236">
        <v>0</v>
      </c>
      <c r="W83" s="234">
        <v>3680.42</v>
      </c>
      <c r="X83" s="236">
        <v>21174.77</v>
      </c>
      <c r="Y83" s="236">
        <v>103778.51999999997</v>
      </c>
      <c r="Z83" s="236">
        <v>72858.099999999991</v>
      </c>
      <c r="AA83" s="236">
        <v>28778.61</v>
      </c>
      <c r="AB83" s="236">
        <v>37715831.910000011</v>
      </c>
      <c r="AC83" s="236">
        <v>4851.42</v>
      </c>
      <c r="AD83" s="236">
        <v>463.67</v>
      </c>
      <c r="AE83" s="236">
        <v>32439.07</v>
      </c>
      <c r="AF83" s="236">
        <v>2708.42</v>
      </c>
      <c r="AG83" s="236">
        <v>15497.65</v>
      </c>
      <c r="AH83" s="236">
        <v>0</v>
      </c>
      <c r="AI83" s="236">
        <v>0</v>
      </c>
      <c r="AJ83" s="236">
        <v>10914448.58</v>
      </c>
      <c r="AK83" s="236">
        <v>0</v>
      </c>
      <c r="AL83" s="236">
        <v>0</v>
      </c>
      <c r="AM83" s="236">
        <v>0</v>
      </c>
      <c r="AN83" s="236">
        <v>0</v>
      </c>
      <c r="AO83" s="234">
        <v>0</v>
      </c>
      <c r="AP83" s="236">
        <v>7552308.6200000001</v>
      </c>
      <c r="AQ83" s="234">
        <v>0</v>
      </c>
      <c r="AR83" s="234">
        <v>0</v>
      </c>
      <c r="AS83" s="234">
        <v>0</v>
      </c>
      <c r="AT83" s="234">
        <v>10629.93</v>
      </c>
      <c r="AU83" s="236">
        <v>0</v>
      </c>
      <c r="AV83" s="236">
        <v>95614.64999999998</v>
      </c>
      <c r="AW83" s="236">
        <v>697153.8600000001</v>
      </c>
      <c r="AX83" s="236">
        <v>2592.8000000000002</v>
      </c>
      <c r="AY83" s="236">
        <v>6780.21</v>
      </c>
      <c r="AZ83" s="236">
        <v>129591.14</v>
      </c>
      <c r="BA83" s="236">
        <v>0</v>
      </c>
      <c r="BB83" s="236">
        <v>0</v>
      </c>
      <c r="BC83" s="236">
        <v>0</v>
      </c>
      <c r="BD83" s="236">
        <v>-94335.22</v>
      </c>
      <c r="BE83" s="236">
        <v>-74200.510000000024</v>
      </c>
      <c r="BF83" s="236">
        <v>-14290.82</v>
      </c>
      <c r="BG83" s="236">
        <v>3460.12</v>
      </c>
      <c r="BH83" s="237">
        <v>4890.0099999999957</v>
      </c>
      <c r="BI83" s="236">
        <v>535853.99</v>
      </c>
      <c r="BJ83" s="236">
        <v>13998.25</v>
      </c>
      <c r="BK83" s="236">
        <v>304201.09000000003</v>
      </c>
      <c r="BL83" s="236">
        <v>10893.029999999999</v>
      </c>
      <c r="BM83" s="236">
        <v>29653.67</v>
      </c>
      <c r="BN83" s="236">
        <v>1805212.63</v>
      </c>
      <c r="BO83" s="236">
        <v>96.139999999999986</v>
      </c>
      <c r="BP83" s="236">
        <v>24795.02</v>
      </c>
      <c r="BQ83" s="236">
        <v>0</v>
      </c>
      <c r="BR83" s="236">
        <v>25003.29</v>
      </c>
      <c r="BS83" s="236">
        <v>0</v>
      </c>
      <c r="BT83" s="236">
        <v>0</v>
      </c>
      <c r="BU83" s="236">
        <v>786193.71</v>
      </c>
      <c r="BV83" s="236">
        <v>8576.0800000000017</v>
      </c>
      <c r="BW83" s="236">
        <v>1959995.8900000001</v>
      </c>
      <c r="BX83" s="236">
        <v>75205.779999999941</v>
      </c>
      <c r="BY83" s="236">
        <v>350276.12</v>
      </c>
      <c r="BZ83" s="236">
        <v>0</v>
      </c>
      <c r="CA83" s="236">
        <v>162936.89000000001</v>
      </c>
      <c r="CB83" s="236">
        <v>0</v>
      </c>
      <c r="CC83" s="236">
        <v>393266.57</v>
      </c>
      <c r="CD83" s="244">
        <v>-631818.8899999999</v>
      </c>
      <c r="CE83" s="25">
        <v>65117782.76000002</v>
      </c>
    </row>
    <row r="84" spans="1:84" x14ac:dyDescent="0.25">
      <c r="A84" s="31" t="s">
        <v>284</v>
      </c>
      <c r="B84" s="16"/>
      <c r="C84" s="234">
        <v>250</v>
      </c>
      <c r="D84" s="234">
        <v>0</v>
      </c>
      <c r="E84" s="234">
        <v>26045.01</v>
      </c>
      <c r="F84" s="234">
        <v>1000360</v>
      </c>
      <c r="G84" s="234">
        <v>0</v>
      </c>
      <c r="H84" s="234">
        <v>0</v>
      </c>
      <c r="I84" s="234">
        <v>0</v>
      </c>
      <c r="J84" s="234">
        <v>0</v>
      </c>
      <c r="K84" s="234">
        <v>8068462.3699999992</v>
      </c>
      <c r="L84" s="234">
        <v>0</v>
      </c>
      <c r="M84" s="234">
        <v>0</v>
      </c>
      <c r="N84" s="234">
        <v>0</v>
      </c>
      <c r="O84" s="234">
        <v>0</v>
      </c>
      <c r="P84" s="234">
        <v>0</v>
      </c>
      <c r="Q84" s="234">
        <v>0</v>
      </c>
      <c r="R84" s="234">
        <v>14834.12</v>
      </c>
      <c r="S84" s="234">
        <v>12586.759999999998</v>
      </c>
      <c r="T84" s="234">
        <v>0</v>
      </c>
      <c r="U84" s="234">
        <v>149106.01</v>
      </c>
      <c r="V84" s="234">
        <v>0</v>
      </c>
      <c r="W84" s="234">
        <v>27.33</v>
      </c>
      <c r="X84" s="234">
        <v>0</v>
      </c>
      <c r="Y84" s="234">
        <v>12177.94</v>
      </c>
      <c r="Z84" s="234">
        <v>2283537.7599999998</v>
      </c>
      <c r="AA84" s="234">
        <v>0</v>
      </c>
      <c r="AB84" s="234">
        <v>50967535.739999995</v>
      </c>
      <c r="AC84" s="234">
        <v>0</v>
      </c>
      <c r="AD84" s="234">
        <v>0</v>
      </c>
      <c r="AE84" s="234">
        <v>147.63999999999999</v>
      </c>
      <c r="AF84" s="234">
        <v>187.23</v>
      </c>
      <c r="AG84" s="234">
        <v>0</v>
      </c>
      <c r="AH84" s="234">
        <v>0</v>
      </c>
      <c r="AI84" s="234">
        <v>0</v>
      </c>
      <c r="AJ84" s="234">
        <v>19434587.729999997</v>
      </c>
      <c r="AK84" s="234">
        <v>0</v>
      </c>
      <c r="AL84" s="234">
        <v>0</v>
      </c>
      <c r="AM84" s="234">
        <v>0</v>
      </c>
      <c r="AN84" s="234">
        <v>0</v>
      </c>
      <c r="AO84" s="234">
        <v>0</v>
      </c>
      <c r="AP84" s="234">
        <v>8788416.6600000001</v>
      </c>
      <c r="AQ84" s="234">
        <v>0</v>
      </c>
      <c r="AR84" s="234">
        <v>0</v>
      </c>
      <c r="AS84" s="234">
        <v>0</v>
      </c>
      <c r="AT84" s="234">
        <v>141789</v>
      </c>
      <c r="AU84" s="234">
        <v>0</v>
      </c>
      <c r="AV84" s="234">
        <v>339895.46</v>
      </c>
      <c r="AW84" s="234">
        <v>177210.49</v>
      </c>
      <c r="AX84" s="234">
        <v>1972</v>
      </c>
      <c r="AY84" s="234">
        <v>0</v>
      </c>
      <c r="AZ84" s="234">
        <v>2490474.0699999998</v>
      </c>
      <c r="BA84" s="234">
        <v>0</v>
      </c>
      <c r="BB84" s="234">
        <v>0</v>
      </c>
      <c r="BC84" s="234">
        <v>0</v>
      </c>
      <c r="BD84" s="234">
        <v>69882.899999999994</v>
      </c>
      <c r="BE84" s="234">
        <v>315929.32</v>
      </c>
      <c r="BF84" s="234">
        <v>0</v>
      </c>
      <c r="BG84" s="234">
        <v>0</v>
      </c>
      <c r="BH84" s="234">
        <v>0</v>
      </c>
      <c r="BI84" s="234">
        <v>211967.40999999997</v>
      </c>
      <c r="BJ84" s="234">
        <v>0</v>
      </c>
      <c r="BK84" s="234">
        <v>0</v>
      </c>
      <c r="BL84" s="234">
        <v>0</v>
      </c>
      <c r="BM84" s="234">
        <v>0</v>
      </c>
      <c r="BN84" s="234">
        <v>19465952.669999998</v>
      </c>
      <c r="BO84" s="234">
        <v>0</v>
      </c>
      <c r="BP84" s="234">
        <v>0</v>
      </c>
      <c r="BQ84" s="234">
        <v>0</v>
      </c>
      <c r="BR84" s="234">
        <v>0</v>
      </c>
      <c r="BS84" s="234">
        <v>0</v>
      </c>
      <c r="BT84" s="234">
        <v>0</v>
      </c>
      <c r="BU84" s="234">
        <v>0</v>
      </c>
      <c r="BV84" s="234">
        <v>95739.87</v>
      </c>
      <c r="BW84" s="234">
        <v>14363.92</v>
      </c>
      <c r="BX84" s="234">
        <v>20299.819999999992</v>
      </c>
      <c r="BY84" s="234">
        <v>42618.909999999996</v>
      </c>
      <c r="BZ84" s="234">
        <v>0</v>
      </c>
      <c r="CA84" s="234">
        <v>123431.47</v>
      </c>
      <c r="CB84" s="234">
        <v>0</v>
      </c>
      <c r="CC84" s="234">
        <v>6572479.3100000005</v>
      </c>
      <c r="CD84" s="244">
        <v>-6597414.8499999996</v>
      </c>
      <c r="CE84" s="25">
        <v>114244854.06999996</v>
      </c>
    </row>
    <row r="85" spans="1:84" x14ac:dyDescent="0.25">
      <c r="A85" s="31" t="s">
        <v>285</v>
      </c>
      <c r="B85" s="25"/>
      <c r="C85" s="25">
        <v>19472887.5</v>
      </c>
      <c r="D85" s="25">
        <v>0</v>
      </c>
      <c r="E85" s="25">
        <v>76713319.189999983</v>
      </c>
      <c r="F85" s="25">
        <v>6683526.3700000001</v>
      </c>
      <c r="G85" s="25">
        <v>0</v>
      </c>
      <c r="H85" s="25">
        <v>0</v>
      </c>
      <c r="I85" s="25">
        <v>0</v>
      </c>
      <c r="J85" s="25">
        <v>1314406.57</v>
      </c>
      <c r="K85" s="25">
        <v>11322147.390000002</v>
      </c>
      <c r="L85" s="25">
        <v>0</v>
      </c>
      <c r="M85" s="25">
        <v>0</v>
      </c>
      <c r="N85" s="25">
        <v>30.100000000002183</v>
      </c>
      <c r="O85" s="25">
        <v>0</v>
      </c>
      <c r="P85" s="25">
        <v>82944527.620000005</v>
      </c>
      <c r="Q85" s="25">
        <v>15614882.119999999</v>
      </c>
      <c r="R85" s="25">
        <v>37586925.780000001</v>
      </c>
      <c r="S85" s="25">
        <v>14145387.24</v>
      </c>
      <c r="T85" s="25">
        <v>3929834.3200000003</v>
      </c>
      <c r="U85" s="25">
        <v>48368602.349999994</v>
      </c>
      <c r="V85" s="25">
        <v>0</v>
      </c>
      <c r="W85" s="25">
        <v>4724734.0699999994</v>
      </c>
      <c r="X85" s="25">
        <v>6765390.580000001</v>
      </c>
      <c r="Y85" s="25">
        <v>30754912.969999999</v>
      </c>
      <c r="Z85" s="25">
        <v>12990264.52</v>
      </c>
      <c r="AA85" s="25">
        <v>5989947.6100000003</v>
      </c>
      <c r="AB85" s="25">
        <v>15663845.310000025</v>
      </c>
      <c r="AC85" s="25">
        <v>3258910.32</v>
      </c>
      <c r="AD85" s="25">
        <v>2892236.72</v>
      </c>
      <c r="AE85" s="25">
        <v>11596476.809999999</v>
      </c>
      <c r="AF85" s="25">
        <v>760935.99</v>
      </c>
      <c r="AG85" s="25">
        <v>18563660.359999999</v>
      </c>
      <c r="AH85" s="25">
        <v>0</v>
      </c>
      <c r="AI85" s="25">
        <v>0</v>
      </c>
      <c r="AJ85" s="25">
        <v>281964070.40999991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206107612.32999989</v>
      </c>
      <c r="AQ85" s="25">
        <v>0</v>
      </c>
      <c r="AR85" s="25">
        <v>0</v>
      </c>
      <c r="AS85" s="25">
        <v>0</v>
      </c>
      <c r="AT85" s="25">
        <v>9182331.6799999978</v>
      </c>
      <c r="AU85" s="25">
        <v>0</v>
      </c>
      <c r="AV85" s="25">
        <v>34095125.140000001</v>
      </c>
      <c r="AW85" s="25">
        <v>22402062.780000005</v>
      </c>
      <c r="AX85" s="25">
        <v>893731.92999999993</v>
      </c>
      <c r="AY85" s="25">
        <v>5501424.2400000002</v>
      </c>
      <c r="AZ85" s="25">
        <v>2933218.85</v>
      </c>
      <c r="BA85" s="25">
        <v>2234113.9299999997</v>
      </c>
      <c r="BB85" s="25">
        <v>0</v>
      </c>
      <c r="BC85" s="25">
        <v>5058701.76</v>
      </c>
      <c r="BD85" s="25">
        <v>1179734.5000000002</v>
      </c>
      <c r="BE85" s="25">
        <v>34600794.030000001</v>
      </c>
      <c r="BF85" s="25">
        <v>12476757.039999999</v>
      </c>
      <c r="BG85" s="25">
        <v>11929357.279999999</v>
      </c>
      <c r="BH85" s="25">
        <v>40266681.310000002</v>
      </c>
      <c r="BI85" s="25">
        <v>4860023.7699999996</v>
      </c>
      <c r="BJ85" s="25">
        <v>2931947.42</v>
      </c>
      <c r="BK85" s="25">
        <v>23249544.670000006</v>
      </c>
      <c r="BL85" s="25">
        <v>7888374.1400000015</v>
      </c>
      <c r="BM85" s="25">
        <v>2505880.73</v>
      </c>
      <c r="BN85" s="25">
        <v>-13527874.389999999</v>
      </c>
      <c r="BO85" s="25">
        <v>330538.31</v>
      </c>
      <c r="BP85" s="25">
        <v>2806991.15</v>
      </c>
      <c r="BQ85" s="25">
        <v>0</v>
      </c>
      <c r="BR85" s="25">
        <v>868220.99999999988</v>
      </c>
      <c r="BS85" s="25">
        <v>0</v>
      </c>
      <c r="BT85" s="25">
        <v>37824.370000000003</v>
      </c>
      <c r="BU85" s="25">
        <v>1054594.6299999999</v>
      </c>
      <c r="BV85" s="25">
        <v>6128929.8300000001</v>
      </c>
      <c r="BW85" s="25">
        <v>-14865240.959999999</v>
      </c>
      <c r="BX85" s="25">
        <v>3026132.4600000004</v>
      </c>
      <c r="BY85" s="25">
        <v>5631368.3500000006</v>
      </c>
      <c r="BZ85" s="25">
        <v>0</v>
      </c>
      <c r="CA85" s="25">
        <v>2783684.5500000003</v>
      </c>
      <c r="CB85" s="25">
        <v>0</v>
      </c>
      <c r="CC85" s="25">
        <v>-8777533.2099999972</v>
      </c>
      <c r="CD85" s="25">
        <v>-516656.16999999993</v>
      </c>
      <c r="CE85" s="25">
        <v>1129300259.6699994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25">
      <c r="A87" s="21" t="s">
        <v>287</v>
      </c>
      <c r="B87" s="16"/>
      <c r="C87" s="234">
        <v>53026513</v>
      </c>
      <c r="D87" s="234">
        <v>0</v>
      </c>
      <c r="E87" s="234">
        <v>235262607.31999999</v>
      </c>
      <c r="F87" s="234">
        <v>11540632</v>
      </c>
      <c r="G87" s="234">
        <v>0</v>
      </c>
      <c r="H87" s="234">
        <v>0</v>
      </c>
      <c r="I87" s="234">
        <v>0</v>
      </c>
      <c r="J87" s="234">
        <v>4533535.8</v>
      </c>
      <c r="K87" s="234">
        <v>11517467.99</v>
      </c>
      <c r="L87" s="234">
        <v>0</v>
      </c>
      <c r="M87" s="234">
        <v>0</v>
      </c>
      <c r="N87" s="234">
        <v>0</v>
      </c>
      <c r="O87" s="234">
        <v>0</v>
      </c>
      <c r="P87" s="234">
        <v>299818104.81999999</v>
      </c>
      <c r="Q87" s="234">
        <v>9774404.879999999</v>
      </c>
      <c r="R87" s="234">
        <v>8481199.8399999999</v>
      </c>
      <c r="S87" s="234">
        <v>0</v>
      </c>
      <c r="T87" s="234">
        <v>6732223.2599999998</v>
      </c>
      <c r="U87" s="234">
        <v>54946519.939999998</v>
      </c>
      <c r="V87" s="234">
        <v>0</v>
      </c>
      <c r="W87" s="234">
        <v>3629321.85</v>
      </c>
      <c r="X87" s="234">
        <v>19061640</v>
      </c>
      <c r="Y87" s="234">
        <v>36781992.719999999</v>
      </c>
      <c r="Z87" s="234">
        <v>1376760</v>
      </c>
      <c r="AA87" s="234">
        <v>935904.64</v>
      </c>
      <c r="AB87" s="234">
        <v>50931171.259999998</v>
      </c>
      <c r="AC87" s="234">
        <v>20294804</v>
      </c>
      <c r="AD87" s="234">
        <v>6927209</v>
      </c>
      <c r="AE87" s="234">
        <v>10126901</v>
      </c>
      <c r="AF87" s="234">
        <v>0</v>
      </c>
      <c r="AG87" s="234">
        <v>17956796.16</v>
      </c>
      <c r="AH87" s="234">
        <v>0</v>
      </c>
      <c r="AI87" s="234">
        <v>0</v>
      </c>
      <c r="AJ87" s="234">
        <v>45312623.030000009</v>
      </c>
      <c r="AK87" s="234">
        <v>0</v>
      </c>
      <c r="AL87" s="234">
        <v>0</v>
      </c>
      <c r="AM87" s="234">
        <v>0</v>
      </c>
      <c r="AN87" s="234">
        <v>0</v>
      </c>
      <c r="AO87" s="234">
        <v>0</v>
      </c>
      <c r="AP87" s="234">
        <v>46985</v>
      </c>
      <c r="AQ87" s="234">
        <v>0</v>
      </c>
      <c r="AR87" s="234">
        <v>0</v>
      </c>
      <c r="AS87" s="234">
        <v>0</v>
      </c>
      <c r="AT87" s="234">
        <v>10692000</v>
      </c>
      <c r="AU87" s="234">
        <v>0</v>
      </c>
      <c r="AV87" s="234">
        <v>63265692.619999997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982973010.13000011</v>
      </c>
    </row>
    <row r="88" spans="1:84" x14ac:dyDescent="0.25">
      <c r="A88" s="21" t="s">
        <v>288</v>
      </c>
      <c r="B88" s="16"/>
      <c r="C88" s="234">
        <v>46813</v>
      </c>
      <c r="D88" s="234">
        <v>0</v>
      </c>
      <c r="E88" s="234">
        <v>20843308.209999997</v>
      </c>
      <c r="F88" s="234">
        <v>414999</v>
      </c>
      <c r="G88" s="234">
        <v>0</v>
      </c>
      <c r="H88" s="234">
        <v>0</v>
      </c>
      <c r="I88" s="234">
        <v>0</v>
      </c>
      <c r="J88" s="234">
        <v>148</v>
      </c>
      <c r="K88" s="234">
        <v>0</v>
      </c>
      <c r="L88" s="234">
        <v>0</v>
      </c>
      <c r="M88" s="234">
        <v>0</v>
      </c>
      <c r="N88" s="234">
        <v>0</v>
      </c>
      <c r="O88" s="234">
        <v>0</v>
      </c>
      <c r="P88" s="234">
        <v>248686437.25</v>
      </c>
      <c r="Q88" s="234">
        <v>20700927.119999997</v>
      </c>
      <c r="R88" s="234">
        <v>70797056.640000001</v>
      </c>
      <c r="S88" s="234">
        <v>0</v>
      </c>
      <c r="T88" s="234">
        <v>1478449</v>
      </c>
      <c r="U88" s="234">
        <v>155858231.65000001</v>
      </c>
      <c r="V88" s="234">
        <v>0</v>
      </c>
      <c r="W88" s="234">
        <v>30657322.16</v>
      </c>
      <c r="X88" s="234">
        <v>55030893.600000001</v>
      </c>
      <c r="Y88" s="234">
        <v>71139219.239999995</v>
      </c>
      <c r="Z88" s="234">
        <v>33579241.609999999</v>
      </c>
      <c r="AA88" s="234">
        <v>25733015.809999999</v>
      </c>
      <c r="AB88" s="234">
        <v>12231922.549999999</v>
      </c>
      <c r="AC88" s="234">
        <v>733009</v>
      </c>
      <c r="AD88" s="234">
        <v>508861</v>
      </c>
      <c r="AE88" s="234">
        <v>15487339.199999999</v>
      </c>
      <c r="AF88" s="234">
        <v>479792</v>
      </c>
      <c r="AG88" s="234">
        <v>63663593.439999998</v>
      </c>
      <c r="AH88" s="234">
        <v>0</v>
      </c>
      <c r="AI88" s="234">
        <v>0</v>
      </c>
      <c r="AJ88" s="234">
        <v>784575134.04999948</v>
      </c>
      <c r="AK88" s="234">
        <v>0</v>
      </c>
      <c r="AL88" s="234">
        <v>0</v>
      </c>
      <c r="AM88" s="234">
        <v>0</v>
      </c>
      <c r="AN88" s="234">
        <v>0</v>
      </c>
      <c r="AO88" s="234">
        <v>0</v>
      </c>
      <c r="AP88" s="234">
        <v>561643143.31999981</v>
      </c>
      <c r="AQ88" s="234">
        <v>0</v>
      </c>
      <c r="AR88" s="234">
        <v>0</v>
      </c>
      <c r="AS88" s="234">
        <v>0</v>
      </c>
      <c r="AT88" s="234">
        <v>0</v>
      </c>
      <c r="AU88" s="234">
        <v>0</v>
      </c>
      <c r="AV88" s="234">
        <v>75361152.780000001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2249650009.6299996</v>
      </c>
    </row>
    <row r="89" spans="1:84" x14ac:dyDescent="0.25">
      <c r="A89" s="21" t="s">
        <v>289</v>
      </c>
      <c r="B89" s="16"/>
      <c r="C89" s="25">
        <v>53073326</v>
      </c>
      <c r="D89" s="25">
        <v>0</v>
      </c>
      <c r="E89" s="25">
        <v>256105915.53</v>
      </c>
      <c r="F89" s="25">
        <v>11955631</v>
      </c>
      <c r="G89" s="25">
        <v>0</v>
      </c>
      <c r="H89" s="25">
        <v>0</v>
      </c>
      <c r="I89" s="25">
        <v>0</v>
      </c>
      <c r="J89" s="25">
        <v>4533683.8</v>
      </c>
      <c r="K89" s="25">
        <v>11517467.99</v>
      </c>
      <c r="L89" s="25">
        <v>0</v>
      </c>
      <c r="M89" s="25">
        <v>0</v>
      </c>
      <c r="N89" s="25">
        <v>0</v>
      </c>
      <c r="O89" s="25">
        <v>0</v>
      </c>
      <c r="P89" s="25">
        <v>548504542.06999993</v>
      </c>
      <c r="Q89" s="25">
        <v>30475331.999999996</v>
      </c>
      <c r="R89" s="25">
        <v>79278256.480000004</v>
      </c>
      <c r="S89" s="25">
        <v>0</v>
      </c>
      <c r="T89" s="25">
        <v>8210672.2599999998</v>
      </c>
      <c r="U89" s="25">
        <v>210804751.59</v>
      </c>
      <c r="V89" s="25">
        <v>0</v>
      </c>
      <c r="W89" s="25">
        <v>34286644.009999998</v>
      </c>
      <c r="X89" s="25">
        <v>74092533.599999994</v>
      </c>
      <c r="Y89" s="25">
        <v>107921211.95999999</v>
      </c>
      <c r="Z89" s="25">
        <v>34956001.609999999</v>
      </c>
      <c r="AA89" s="25">
        <v>26668920.449999999</v>
      </c>
      <c r="AB89" s="25">
        <v>63163093.809999995</v>
      </c>
      <c r="AC89" s="25">
        <v>21027813</v>
      </c>
      <c r="AD89" s="25">
        <v>7436070</v>
      </c>
      <c r="AE89" s="25">
        <v>25614240.199999999</v>
      </c>
      <c r="AF89" s="25">
        <v>479792</v>
      </c>
      <c r="AG89" s="25">
        <v>81620389.599999994</v>
      </c>
      <c r="AH89" s="25">
        <v>0</v>
      </c>
      <c r="AI89" s="25">
        <v>0</v>
      </c>
      <c r="AJ89" s="25">
        <v>829887757.07999945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561690128.31999981</v>
      </c>
      <c r="AQ89" s="25">
        <v>0</v>
      </c>
      <c r="AR89" s="25">
        <v>0</v>
      </c>
      <c r="AS89" s="25">
        <v>0</v>
      </c>
      <c r="AT89" s="25">
        <v>10692000</v>
      </c>
      <c r="AU89" s="25">
        <v>0</v>
      </c>
      <c r="AV89" s="25">
        <v>138626845.40000001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3232623019.7599988</v>
      </c>
    </row>
    <row r="90" spans="1:84" x14ac:dyDescent="0.25">
      <c r="A90" s="31" t="s">
        <v>290</v>
      </c>
      <c r="B90" s="25"/>
      <c r="C90" s="234">
        <v>24033</v>
      </c>
      <c r="D90" s="234">
        <v>0</v>
      </c>
      <c r="E90" s="234">
        <v>129242</v>
      </c>
      <c r="F90" s="234">
        <v>15439</v>
      </c>
      <c r="G90" s="234">
        <v>0</v>
      </c>
      <c r="H90" s="234">
        <v>0</v>
      </c>
      <c r="I90" s="234">
        <v>0</v>
      </c>
      <c r="J90" s="234">
        <v>2058</v>
      </c>
      <c r="K90" s="234">
        <v>0</v>
      </c>
      <c r="L90" s="234">
        <v>0</v>
      </c>
      <c r="M90" s="234">
        <v>0</v>
      </c>
      <c r="N90" s="234">
        <v>0</v>
      </c>
      <c r="O90" s="234">
        <v>0</v>
      </c>
      <c r="P90" s="234">
        <v>46391</v>
      </c>
      <c r="Q90" s="234">
        <v>28276</v>
      </c>
      <c r="R90" s="234">
        <v>18721</v>
      </c>
      <c r="S90" s="234">
        <v>16843</v>
      </c>
      <c r="T90" s="234">
        <v>925</v>
      </c>
      <c r="U90" s="234">
        <v>29792</v>
      </c>
      <c r="V90" s="234">
        <v>0</v>
      </c>
      <c r="W90" s="234">
        <v>6697</v>
      </c>
      <c r="X90" s="234">
        <v>4023</v>
      </c>
      <c r="Y90" s="234">
        <v>34458</v>
      </c>
      <c r="Z90" s="234">
        <v>11295</v>
      </c>
      <c r="AA90" s="234">
        <v>6082</v>
      </c>
      <c r="AB90" s="234">
        <v>9996</v>
      </c>
      <c r="AC90" s="234">
        <v>956</v>
      </c>
      <c r="AD90" s="234">
        <v>1582</v>
      </c>
      <c r="AE90" s="234">
        <v>11251</v>
      </c>
      <c r="AF90" s="234">
        <v>1037</v>
      </c>
      <c r="AG90" s="234">
        <v>15108</v>
      </c>
      <c r="AH90" s="234">
        <v>0</v>
      </c>
      <c r="AI90" s="234">
        <v>0</v>
      </c>
      <c r="AJ90" s="234">
        <v>216475</v>
      </c>
      <c r="AK90" s="234">
        <v>0</v>
      </c>
      <c r="AL90" s="234">
        <v>0</v>
      </c>
      <c r="AM90" s="234">
        <v>0</v>
      </c>
      <c r="AN90" s="234">
        <v>0</v>
      </c>
      <c r="AO90" s="234">
        <v>0</v>
      </c>
      <c r="AP90" s="234">
        <v>281395</v>
      </c>
      <c r="AQ90" s="234">
        <v>0</v>
      </c>
      <c r="AR90" s="234">
        <v>0</v>
      </c>
      <c r="AS90" s="234">
        <v>0</v>
      </c>
      <c r="AT90" s="234">
        <v>2207</v>
      </c>
      <c r="AU90" s="234">
        <v>0</v>
      </c>
      <c r="AV90" s="234">
        <v>21494</v>
      </c>
      <c r="AW90" s="234">
        <v>7915</v>
      </c>
      <c r="AX90" s="234">
        <v>3415</v>
      </c>
      <c r="AY90" s="234">
        <v>5511</v>
      </c>
      <c r="AZ90" s="234">
        <v>17044</v>
      </c>
      <c r="BA90" s="234">
        <v>3193</v>
      </c>
      <c r="BB90" s="234">
        <v>301</v>
      </c>
      <c r="BC90" s="234">
        <v>530</v>
      </c>
      <c r="BD90" s="234">
        <v>8677</v>
      </c>
      <c r="BE90" s="234">
        <v>363675</v>
      </c>
      <c r="BF90" s="234">
        <v>8107</v>
      </c>
      <c r="BG90" s="234">
        <v>11091</v>
      </c>
      <c r="BH90" s="234">
        <v>18972</v>
      </c>
      <c r="BI90" s="234">
        <v>7131</v>
      </c>
      <c r="BJ90" s="234">
        <v>2226</v>
      </c>
      <c r="BK90" s="234">
        <v>2187</v>
      </c>
      <c r="BL90" s="234">
        <v>8109</v>
      </c>
      <c r="BM90" s="234">
        <v>2405</v>
      </c>
      <c r="BN90" s="234">
        <v>15630</v>
      </c>
      <c r="BO90" s="234">
        <v>1046</v>
      </c>
      <c r="BP90" s="234">
        <v>4606</v>
      </c>
      <c r="BQ90" s="234">
        <v>0</v>
      </c>
      <c r="BR90" s="234">
        <v>0</v>
      </c>
      <c r="BS90" s="234">
        <v>0</v>
      </c>
      <c r="BT90" s="234">
        <v>845</v>
      </c>
      <c r="BU90" s="234">
        <v>3372</v>
      </c>
      <c r="BV90" s="234">
        <v>13818</v>
      </c>
      <c r="BW90" s="234">
        <v>0</v>
      </c>
      <c r="BX90" s="234">
        <v>12095</v>
      </c>
      <c r="BY90" s="234">
        <v>6485</v>
      </c>
      <c r="BZ90" s="234">
        <v>0</v>
      </c>
      <c r="CA90" s="234">
        <v>3630</v>
      </c>
      <c r="CB90" s="234">
        <v>0</v>
      </c>
      <c r="CC90" s="234">
        <v>7419</v>
      </c>
      <c r="CD90" s="223" t="s">
        <v>248</v>
      </c>
      <c r="CE90" s="25">
        <v>1475211</v>
      </c>
      <c r="CF90" s="25">
        <v>0</v>
      </c>
    </row>
    <row r="91" spans="1:84" x14ac:dyDescent="0.25">
      <c r="A91" s="21" t="s">
        <v>291</v>
      </c>
      <c r="B91" s="16"/>
      <c r="C91" s="234">
        <v>9861</v>
      </c>
      <c r="D91" s="234">
        <v>0</v>
      </c>
      <c r="E91" s="234">
        <v>216441</v>
      </c>
      <c r="F91" s="234">
        <v>4620</v>
      </c>
      <c r="G91" s="234">
        <v>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69</v>
      </c>
      <c r="O91" s="234">
        <v>0</v>
      </c>
      <c r="P91" s="234">
        <v>0</v>
      </c>
      <c r="Q91" s="234">
        <v>194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4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22127</v>
      </c>
      <c r="AH91" s="234">
        <v>0</v>
      </c>
      <c r="AI91" s="234">
        <v>0</v>
      </c>
      <c r="AJ91" s="234">
        <v>195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2</v>
      </c>
      <c r="AW91" s="234">
        <v>0</v>
      </c>
      <c r="AX91" s="230" t="s">
        <v>248</v>
      </c>
      <c r="AY91" s="230" t="s">
        <v>248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v>253513</v>
      </c>
      <c r="CF91" s="25">
        <v>0</v>
      </c>
    </row>
    <row r="92" spans="1:84" x14ac:dyDescent="0.25">
      <c r="A92" s="21" t="s">
        <v>292</v>
      </c>
      <c r="B92" s="16"/>
      <c r="C92" s="234">
        <v>3061</v>
      </c>
      <c r="D92" s="234">
        <v>0</v>
      </c>
      <c r="E92" s="234">
        <v>16462</v>
      </c>
      <c r="F92" s="234">
        <v>1967</v>
      </c>
      <c r="G92" s="234">
        <v>0</v>
      </c>
      <c r="H92" s="234">
        <v>0</v>
      </c>
      <c r="I92" s="234">
        <v>0</v>
      </c>
      <c r="J92" s="234">
        <v>262</v>
      </c>
      <c r="K92" s="234">
        <v>0</v>
      </c>
      <c r="L92" s="234">
        <v>0</v>
      </c>
      <c r="M92" s="234">
        <v>0</v>
      </c>
      <c r="N92" s="234">
        <v>0</v>
      </c>
      <c r="O92" s="234">
        <v>0</v>
      </c>
      <c r="P92" s="234">
        <v>5909</v>
      </c>
      <c r="Q92" s="234">
        <v>3602</v>
      </c>
      <c r="R92" s="234">
        <v>2385</v>
      </c>
      <c r="S92" s="234">
        <v>2145</v>
      </c>
      <c r="T92" s="234">
        <v>118</v>
      </c>
      <c r="U92" s="234">
        <v>3795</v>
      </c>
      <c r="V92" s="234">
        <v>0</v>
      </c>
      <c r="W92" s="234">
        <v>853</v>
      </c>
      <c r="X92" s="234">
        <v>512</v>
      </c>
      <c r="Y92" s="234">
        <v>4389</v>
      </c>
      <c r="Z92" s="234">
        <v>1439</v>
      </c>
      <c r="AA92" s="234">
        <v>775</v>
      </c>
      <c r="AB92" s="234">
        <v>1273</v>
      </c>
      <c r="AC92" s="234">
        <v>122</v>
      </c>
      <c r="AD92" s="234">
        <v>201</v>
      </c>
      <c r="AE92" s="234">
        <v>1433</v>
      </c>
      <c r="AF92" s="234">
        <v>132</v>
      </c>
      <c r="AG92" s="234">
        <v>1924</v>
      </c>
      <c r="AH92" s="234">
        <v>0</v>
      </c>
      <c r="AI92" s="234">
        <v>0</v>
      </c>
      <c r="AJ92" s="234">
        <v>27574</v>
      </c>
      <c r="AK92" s="234">
        <v>0</v>
      </c>
      <c r="AL92" s="234">
        <v>0</v>
      </c>
      <c r="AM92" s="234">
        <v>0</v>
      </c>
      <c r="AN92" s="234">
        <v>0</v>
      </c>
      <c r="AO92" s="234">
        <v>0</v>
      </c>
      <c r="AP92" s="234">
        <v>36513</v>
      </c>
      <c r="AQ92" s="234">
        <v>0</v>
      </c>
      <c r="AR92" s="234">
        <v>0</v>
      </c>
      <c r="AS92" s="234">
        <v>0</v>
      </c>
      <c r="AT92" s="234">
        <v>281</v>
      </c>
      <c r="AU92" s="234">
        <v>0</v>
      </c>
      <c r="AV92" s="234">
        <v>2738</v>
      </c>
      <c r="AW92" s="234">
        <v>1008</v>
      </c>
      <c r="AX92" s="230" t="s">
        <v>248</v>
      </c>
      <c r="AY92" s="230" t="s">
        <v>248</v>
      </c>
      <c r="AZ92" s="24" t="s">
        <v>248</v>
      </c>
      <c r="BA92" s="234">
        <v>407</v>
      </c>
      <c r="BB92" s="234">
        <v>38</v>
      </c>
      <c r="BC92" s="234">
        <v>67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2417</v>
      </c>
      <c r="BI92" s="234">
        <v>908</v>
      </c>
      <c r="BJ92" s="24" t="s">
        <v>248</v>
      </c>
      <c r="BK92" s="234">
        <v>279</v>
      </c>
      <c r="BL92" s="234">
        <v>1033</v>
      </c>
      <c r="BM92" s="234">
        <v>306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0</v>
      </c>
      <c r="BT92" s="234">
        <v>108</v>
      </c>
      <c r="BU92" s="234">
        <v>430</v>
      </c>
      <c r="BV92" s="234">
        <v>1760</v>
      </c>
      <c r="BW92" s="234">
        <v>0</v>
      </c>
      <c r="BX92" s="234">
        <v>1541</v>
      </c>
      <c r="BY92" s="234">
        <v>826</v>
      </c>
      <c r="BZ92" s="234">
        <v>0</v>
      </c>
      <c r="CA92" s="234">
        <v>463</v>
      </c>
      <c r="CB92" s="234">
        <v>0</v>
      </c>
      <c r="CC92" s="24" t="s">
        <v>248</v>
      </c>
      <c r="CD92" s="24" t="s">
        <v>248</v>
      </c>
      <c r="CE92" s="25">
        <v>131456</v>
      </c>
      <c r="CF92" s="16"/>
    </row>
    <row r="93" spans="1:84" x14ac:dyDescent="0.25">
      <c r="A93" s="21" t="s">
        <v>293</v>
      </c>
      <c r="B93" s="16"/>
      <c r="C93" s="234">
        <v>54167.967073347078</v>
      </c>
      <c r="D93" s="234">
        <v>0</v>
      </c>
      <c r="E93" s="234">
        <v>479133.45985035144</v>
      </c>
      <c r="F93" s="234">
        <v>6206.5370704833949</v>
      </c>
      <c r="G93" s="234">
        <v>0</v>
      </c>
      <c r="H93" s="234">
        <v>0</v>
      </c>
      <c r="I93" s="234">
        <v>0</v>
      </c>
      <c r="J93" s="234">
        <v>4069.7044540152483</v>
      </c>
      <c r="K93" s="234">
        <v>510.43034310292524</v>
      </c>
      <c r="L93" s="234">
        <v>0</v>
      </c>
      <c r="M93" s="234">
        <v>0</v>
      </c>
      <c r="N93" s="234">
        <v>0</v>
      </c>
      <c r="O93" s="234">
        <v>0</v>
      </c>
      <c r="P93" s="234">
        <v>366692.94712682132</v>
      </c>
      <c r="Q93" s="234">
        <v>7915.3690886975355</v>
      </c>
      <c r="R93" s="234">
        <v>37658.768688349359</v>
      </c>
      <c r="S93" s="234">
        <v>0</v>
      </c>
      <c r="T93" s="234">
        <v>877.13702852055474</v>
      </c>
      <c r="U93" s="234">
        <v>42195.575029841813</v>
      </c>
      <c r="V93" s="234">
        <v>0</v>
      </c>
      <c r="W93" s="234">
        <v>68638.614460734971</v>
      </c>
      <c r="X93" s="234">
        <v>114385.00926868409</v>
      </c>
      <c r="Y93" s="234">
        <v>334288.54627679032</v>
      </c>
      <c r="Z93" s="234">
        <v>27444.877868287716</v>
      </c>
      <c r="AA93" s="234">
        <v>26303.542939610368</v>
      </c>
      <c r="AB93" s="234">
        <v>0</v>
      </c>
      <c r="AC93" s="234">
        <v>12668.817708318566</v>
      </c>
      <c r="AD93" s="234">
        <v>2479.2330950713508</v>
      </c>
      <c r="AE93" s="234">
        <v>0</v>
      </c>
      <c r="AF93" s="234">
        <v>0</v>
      </c>
      <c r="AG93" s="234">
        <v>316751.08966438234</v>
      </c>
      <c r="AH93" s="234">
        <v>0</v>
      </c>
      <c r="AI93" s="234">
        <v>0</v>
      </c>
      <c r="AJ93" s="234">
        <v>261573.88661243633</v>
      </c>
      <c r="AK93" s="234">
        <v>0</v>
      </c>
      <c r="AL93" s="234">
        <v>0</v>
      </c>
      <c r="AM93" s="234">
        <v>0</v>
      </c>
      <c r="AN93" s="234">
        <v>0</v>
      </c>
      <c r="AO93" s="234">
        <v>0</v>
      </c>
      <c r="AP93" s="234">
        <v>393155.00880652579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51632.724023442483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0</v>
      </c>
      <c r="BJ93" s="24" t="s">
        <v>248</v>
      </c>
      <c r="BK93" s="234">
        <v>0</v>
      </c>
      <c r="BL93" s="234">
        <v>0</v>
      </c>
      <c r="BM93" s="234">
        <v>312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v>2609061.2464778153</v>
      </c>
      <c r="CF93" s="25">
        <v>0</v>
      </c>
    </row>
    <row r="94" spans="1:84" x14ac:dyDescent="0.25">
      <c r="A94" s="21" t="s">
        <v>294</v>
      </c>
      <c r="B94" s="16"/>
      <c r="C94" s="238">
        <v>53.160000000000004</v>
      </c>
      <c r="D94" s="238">
        <v>0</v>
      </c>
      <c r="E94" s="238">
        <v>321.14</v>
      </c>
      <c r="F94" s="238">
        <v>24.02</v>
      </c>
      <c r="G94" s="238">
        <v>0</v>
      </c>
      <c r="H94" s="238">
        <v>0</v>
      </c>
      <c r="I94" s="238">
        <v>0</v>
      </c>
      <c r="J94" s="238">
        <v>0</v>
      </c>
      <c r="K94" s="238">
        <v>69.69</v>
      </c>
      <c r="L94" s="238">
        <v>0</v>
      </c>
      <c r="M94" s="238">
        <v>0</v>
      </c>
      <c r="N94" s="238">
        <v>0</v>
      </c>
      <c r="O94" s="238">
        <v>0</v>
      </c>
      <c r="P94" s="239">
        <v>52.91</v>
      </c>
      <c r="Q94" s="239">
        <v>62.88</v>
      </c>
      <c r="R94" s="239">
        <v>5.62</v>
      </c>
      <c r="S94" s="240">
        <v>0</v>
      </c>
      <c r="T94" s="240">
        <v>16.03</v>
      </c>
      <c r="U94" s="241">
        <v>0.06</v>
      </c>
      <c r="V94" s="239">
        <v>0</v>
      </c>
      <c r="W94" s="239">
        <v>0</v>
      </c>
      <c r="X94" s="239">
        <v>0</v>
      </c>
      <c r="Y94" s="239">
        <v>10.96</v>
      </c>
      <c r="Z94" s="239">
        <v>4.2</v>
      </c>
      <c r="AA94" s="239">
        <v>0</v>
      </c>
      <c r="AB94" s="240">
        <v>0.04</v>
      </c>
      <c r="AC94" s="239">
        <v>0</v>
      </c>
      <c r="AD94" s="239">
        <v>0</v>
      </c>
      <c r="AE94" s="239">
        <v>14.88</v>
      </c>
      <c r="AF94" s="239">
        <v>0.97</v>
      </c>
      <c r="AG94" s="239">
        <v>26.06</v>
      </c>
      <c r="AH94" s="239">
        <v>0</v>
      </c>
      <c r="AI94" s="239">
        <v>0</v>
      </c>
      <c r="AJ94" s="239">
        <v>285.66000000000003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363.6</v>
      </c>
      <c r="AQ94" s="239">
        <v>0</v>
      </c>
      <c r="AR94" s="239">
        <v>0</v>
      </c>
      <c r="AS94" s="239">
        <v>0</v>
      </c>
      <c r="AT94" s="239">
        <v>7.28</v>
      </c>
      <c r="AU94" s="239">
        <v>0</v>
      </c>
      <c r="AV94" s="240">
        <v>26.53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v>1345.69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2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2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25">
      <c r="A99" s="25" t="s">
        <v>303</v>
      </c>
      <c r="B99" s="32" t="s">
        <v>299</v>
      </c>
      <c r="C99" s="249" t="s">
        <v>304</v>
      </c>
      <c r="D99" s="246" t="s">
        <v>5</v>
      </c>
      <c r="E99" s="247" t="s">
        <v>5</v>
      </c>
      <c r="F99" s="12"/>
    </row>
    <row r="100" spans="1:6" x14ac:dyDescent="0.2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2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25">
      <c r="A102" s="25" t="s">
        <v>309</v>
      </c>
      <c r="B102" s="32" t="s">
        <v>299</v>
      </c>
      <c r="C102" s="250">
        <v>98111</v>
      </c>
      <c r="D102" s="246" t="s">
        <v>5</v>
      </c>
      <c r="E102" s="247" t="s">
        <v>5</v>
      </c>
      <c r="F102" s="12"/>
    </row>
    <row r="103" spans="1:6" x14ac:dyDescent="0.2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25">
      <c r="A104" s="25" t="s">
        <v>312</v>
      </c>
      <c r="B104" s="32" t="s">
        <v>299</v>
      </c>
      <c r="C104" s="251" t="s">
        <v>313</v>
      </c>
      <c r="D104" s="246" t="s">
        <v>5</v>
      </c>
      <c r="E104" s="247" t="s">
        <v>5</v>
      </c>
      <c r="F104" s="12"/>
    </row>
    <row r="105" spans="1:6" x14ac:dyDescent="0.25">
      <c r="A105" s="25" t="s">
        <v>314</v>
      </c>
      <c r="B105" s="32" t="s">
        <v>299</v>
      </c>
      <c r="C105" s="251" t="s">
        <v>315</v>
      </c>
      <c r="D105" s="246" t="s">
        <v>5</v>
      </c>
      <c r="E105" s="247" t="s">
        <v>5</v>
      </c>
      <c r="F105" s="12"/>
    </row>
    <row r="106" spans="1:6" x14ac:dyDescent="0.25">
      <c r="A106" s="25" t="s">
        <v>316</v>
      </c>
      <c r="B106" s="32" t="s">
        <v>299</v>
      </c>
      <c r="C106" s="249" t="s">
        <v>317</v>
      </c>
      <c r="D106" s="246" t="s">
        <v>5</v>
      </c>
      <c r="E106" s="247" t="s">
        <v>5</v>
      </c>
      <c r="F106" s="12"/>
    </row>
    <row r="107" spans="1:6" x14ac:dyDescent="0.25">
      <c r="A107" s="25" t="s">
        <v>318</v>
      </c>
      <c r="B107" s="32" t="s">
        <v>299</v>
      </c>
      <c r="C107" s="252" t="s">
        <v>319</v>
      </c>
      <c r="D107" s="246" t="s">
        <v>5</v>
      </c>
      <c r="E107" s="247" t="s">
        <v>5</v>
      </c>
      <c r="F107" s="12"/>
    </row>
    <row r="108" spans="1:6" x14ac:dyDescent="0.25">
      <c r="A108" s="25" t="s">
        <v>320</v>
      </c>
      <c r="B108" s="32" t="s">
        <v>299</v>
      </c>
      <c r="C108" s="252" t="s">
        <v>321</v>
      </c>
      <c r="D108" s="246" t="s">
        <v>5</v>
      </c>
      <c r="E108" s="247" t="s">
        <v>5</v>
      </c>
      <c r="F108" s="12"/>
    </row>
    <row r="109" spans="1:6" x14ac:dyDescent="0.25">
      <c r="A109" s="33" t="s">
        <v>322</v>
      </c>
      <c r="B109" s="32" t="s">
        <v>299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25">
      <c r="A110" s="33" t="s">
        <v>324</v>
      </c>
      <c r="B110" s="32" t="s">
        <v>299</v>
      </c>
      <c r="C110" s="249" t="s">
        <v>325</v>
      </c>
      <c r="D110" s="246" t="s">
        <v>5</v>
      </c>
      <c r="E110" s="247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53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53">
        <v>0</v>
      </c>
      <c r="D114" s="16"/>
      <c r="E114" s="16"/>
    </row>
    <row r="115" spans="1:5" x14ac:dyDescent="0.25">
      <c r="A115" s="16" t="s">
        <v>328</v>
      </c>
      <c r="B115" s="35" t="s">
        <v>299</v>
      </c>
      <c r="C115" s="253">
        <v>0</v>
      </c>
      <c r="D115" s="16"/>
      <c r="E115" s="16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6" t="s">
        <v>330</v>
      </c>
      <c r="B117" s="35" t="s">
        <v>299</v>
      </c>
      <c r="C117" s="253">
        <v>1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4">
        <v>0</v>
      </c>
      <c r="D118" s="16"/>
      <c r="E118" s="16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6" t="s">
        <v>332</v>
      </c>
      <c r="B120" s="35" t="s">
        <v>299</v>
      </c>
      <c r="C120" s="253">
        <v>0</v>
      </c>
      <c r="D120" s="16"/>
      <c r="E120" s="16"/>
    </row>
    <row r="121" spans="1:5" x14ac:dyDescent="0.25">
      <c r="A121" s="16" t="s">
        <v>333</v>
      </c>
      <c r="B121" s="35" t="s">
        <v>299</v>
      </c>
      <c r="C121" s="253">
        <v>0</v>
      </c>
      <c r="D121" s="16"/>
      <c r="E121" s="16"/>
    </row>
    <row r="122" spans="1:5" x14ac:dyDescent="0.25">
      <c r="A122" s="16" t="s">
        <v>334</v>
      </c>
      <c r="B122" s="35" t="s">
        <v>299</v>
      </c>
      <c r="C122" s="253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35" t="s">
        <v>299</v>
      </c>
      <c r="C127" s="253">
        <v>11077</v>
      </c>
      <c r="D127" s="255">
        <v>62137</v>
      </c>
      <c r="E127" s="16"/>
    </row>
    <row r="128" spans="1:5" x14ac:dyDescent="0.25">
      <c r="A128" s="16" t="s">
        <v>339</v>
      </c>
      <c r="B128" s="35" t="s">
        <v>299</v>
      </c>
      <c r="C128" s="253">
        <v>39</v>
      </c>
      <c r="D128" s="255">
        <v>11017</v>
      </c>
      <c r="E128" s="16"/>
    </row>
    <row r="129" spans="1:5" x14ac:dyDescent="0.25">
      <c r="A129" s="16" t="s">
        <v>340</v>
      </c>
      <c r="B129" s="35" t="s">
        <v>299</v>
      </c>
      <c r="C129" s="253">
        <v>0</v>
      </c>
      <c r="D129" s="255">
        <v>0</v>
      </c>
      <c r="E129" s="16"/>
    </row>
    <row r="130" spans="1:5" x14ac:dyDescent="0.25">
      <c r="A130" s="16" t="s">
        <v>341</v>
      </c>
      <c r="B130" s="35" t="s">
        <v>299</v>
      </c>
      <c r="C130" s="253">
        <v>0</v>
      </c>
      <c r="D130" s="255">
        <v>0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5" t="s">
        <v>299</v>
      </c>
      <c r="C132" s="253">
        <v>28</v>
      </c>
      <c r="D132" s="16"/>
      <c r="E132" s="16"/>
    </row>
    <row r="133" spans="1:5" x14ac:dyDescent="0.25">
      <c r="A133" s="16" t="s">
        <v>344</v>
      </c>
      <c r="B133" s="35" t="s">
        <v>299</v>
      </c>
      <c r="C133" s="253">
        <v>24</v>
      </c>
      <c r="D133" s="16"/>
      <c r="E133" s="16"/>
    </row>
    <row r="134" spans="1:5" x14ac:dyDescent="0.25">
      <c r="A134" s="16" t="s">
        <v>345</v>
      </c>
      <c r="B134" s="35" t="s">
        <v>299</v>
      </c>
      <c r="C134" s="253">
        <v>162</v>
      </c>
      <c r="D134" s="16"/>
      <c r="E134" s="16"/>
    </row>
    <row r="135" spans="1:5" x14ac:dyDescent="0.25">
      <c r="A135" s="16" t="s">
        <v>346</v>
      </c>
      <c r="B135" s="35" t="s">
        <v>299</v>
      </c>
      <c r="C135" s="253">
        <v>0</v>
      </c>
      <c r="D135" s="16"/>
      <c r="E135" s="16"/>
    </row>
    <row r="136" spans="1:5" x14ac:dyDescent="0.25">
      <c r="A136" s="16" t="s">
        <v>347</v>
      </c>
      <c r="B136" s="35" t="s">
        <v>299</v>
      </c>
      <c r="C136" s="253">
        <v>10</v>
      </c>
      <c r="D136" s="16"/>
      <c r="E136" s="16"/>
    </row>
    <row r="137" spans="1:5" x14ac:dyDescent="0.25">
      <c r="A137" s="16" t="s">
        <v>348</v>
      </c>
      <c r="B137" s="35" t="s">
        <v>299</v>
      </c>
      <c r="C137" s="253">
        <v>18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3">
        <v>0</v>
      </c>
      <c r="D138" s="16"/>
      <c r="E138" s="16"/>
    </row>
    <row r="139" spans="1:5" x14ac:dyDescent="0.25">
      <c r="A139" s="16" t="s">
        <v>349</v>
      </c>
      <c r="B139" s="35" t="s">
        <v>299</v>
      </c>
      <c r="C139" s="253">
        <v>35</v>
      </c>
      <c r="D139" s="16"/>
      <c r="E139" s="16"/>
    </row>
    <row r="140" spans="1:5" x14ac:dyDescent="0.25">
      <c r="A140" s="16" t="s">
        <v>350</v>
      </c>
      <c r="B140" s="35"/>
      <c r="C140" s="253">
        <v>0</v>
      </c>
      <c r="D140" s="16"/>
      <c r="E140" s="16"/>
    </row>
    <row r="141" spans="1:5" x14ac:dyDescent="0.25">
      <c r="A141" s="16" t="s">
        <v>340</v>
      </c>
      <c r="B141" s="35" t="s">
        <v>299</v>
      </c>
      <c r="C141" s="253">
        <v>0</v>
      </c>
      <c r="D141" s="16"/>
      <c r="E141" s="16"/>
    </row>
    <row r="142" spans="1:5" x14ac:dyDescent="0.25">
      <c r="A142" s="16" t="s">
        <v>351</v>
      </c>
      <c r="B142" s="35" t="s">
        <v>299</v>
      </c>
      <c r="C142" s="253">
        <v>5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v>282</v>
      </c>
    </row>
    <row r="144" spans="1:5" x14ac:dyDescent="0.25">
      <c r="A144" s="16" t="s">
        <v>353</v>
      </c>
      <c r="B144" s="35" t="s">
        <v>299</v>
      </c>
      <c r="C144" s="253">
        <v>371</v>
      </c>
      <c r="D144" s="16"/>
      <c r="E144" s="16"/>
    </row>
    <row r="145" spans="1:6" x14ac:dyDescent="0.25">
      <c r="A145" s="16" t="s">
        <v>354</v>
      </c>
      <c r="B145" s="35" t="s">
        <v>299</v>
      </c>
      <c r="C145" s="253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5" t="s">
        <v>299</v>
      </c>
      <c r="C147" s="253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6" t="s">
        <v>337</v>
      </c>
      <c r="B154" s="255">
        <v>6118</v>
      </c>
      <c r="C154" s="255">
        <v>1252</v>
      </c>
      <c r="D154" s="255">
        <v>3707</v>
      </c>
      <c r="E154" s="25">
        <v>11077</v>
      </c>
    </row>
    <row r="155" spans="1:6" x14ac:dyDescent="0.25">
      <c r="A155" s="16" t="s">
        <v>242</v>
      </c>
      <c r="B155" s="255">
        <v>39115</v>
      </c>
      <c r="C155" s="255">
        <v>7564</v>
      </c>
      <c r="D155" s="255">
        <v>15458</v>
      </c>
      <c r="E155" s="25">
        <v>62137</v>
      </c>
    </row>
    <row r="156" spans="1:6" x14ac:dyDescent="0.25">
      <c r="A156" s="16" t="s">
        <v>360</v>
      </c>
      <c r="B156" s="255">
        <v>0</v>
      </c>
      <c r="C156" s="255">
        <v>0</v>
      </c>
      <c r="D156" s="255">
        <v>0</v>
      </c>
      <c r="E156" s="25">
        <v>0</v>
      </c>
    </row>
    <row r="157" spans="1:6" x14ac:dyDescent="0.25">
      <c r="A157" s="16" t="s">
        <v>287</v>
      </c>
      <c r="B157" s="255">
        <v>463500929.20999998</v>
      </c>
      <c r="C157" s="255">
        <v>99289940.860000014</v>
      </c>
      <c r="D157" s="255">
        <v>408664672.06999999</v>
      </c>
      <c r="E157" s="25">
        <v>971455542.13999987</v>
      </c>
      <c r="F157" s="14"/>
    </row>
    <row r="158" spans="1:6" x14ac:dyDescent="0.25">
      <c r="A158" s="16" t="s">
        <v>288</v>
      </c>
      <c r="B158" s="255">
        <v>830109354.45000005</v>
      </c>
      <c r="C158" s="255">
        <v>127645902.02</v>
      </c>
      <c r="D158" s="255">
        <v>1291894753.1600001</v>
      </c>
      <c r="E158" s="25">
        <v>2249650009.6300001</v>
      </c>
      <c r="F158" s="14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6" t="s">
        <v>337</v>
      </c>
      <c r="B160" s="255">
        <v>0</v>
      </c>
      <c r="C160" s="255">
        <v>39</v>
      </c>
      <c r="D160" s="255">
        <v>0</v>
      </c>
      <c r="E160" s="25">
        <v>39</v>
      </c>
    </row>
    <row r="161" spans="1:5" x14ac:dyDescent="0.25">
      <c r="A161" s="16" t="s">
        <v>242</v>
      </c>
      <c r="B161" s="255">
        <v>0</v>
      </c>
      <c r="C161" s="255">
        <v>11017</v>
      </c>
      <c r="D161" s="255">
        <v>0</v>
      </c>
      <c r="E161" s="25">
        <v>11017</v>
      </c>
    </row>
    <row r="162" spans="1:5" x14ac:dyDescent="0.25">
      <c r="A162" s="16" t="s">
        <v>360</v>
      </c>
      <c r="B162" s="255">
        <v>0</v>
      </c>
      <c r="C162" s="255">
        <v>0</v>
      </c>
      <c r="D162" s="255">
        <v>0</v>
      </c>
      <c r="E162" s="25">
        <v>0</v>
      </c>
    </row>
    <row r="163" spans="1:5" x14ac:dyDescent="0.25">
      <c r="A163" s="16" t="s">
        <v>287</v>
      </c>
      <c r="B163" s="255">
        <v>0</v>
      </c>
      <c r="C163" s="255">
        <v>11425455.18</v>
      </c>
      <c r="D163" s="255">
        <v>92012.810000000522</v>
      </c>
      <c r="E163" s="25">
        <v>11517467.99</v>
      </c>
    </row>
    <row r="164" spans="1:5" x14ac:dyDescent="0.25">
      <c r="A164" s="16" t="s">
        <v>288</v>
      </c>
      <c r="B164" s="255">
        <v>0</v>
      </c>
      <c r="C164" s="255">
        <v>0</v>
      </c>
      <c r="D164" s="255">
        <v>0</v>
      </c>
      <c r="E164" s="25"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6" t="s">
        <v>337</v>
      </c>
      <c r="B166" s="255">
        <v>0</v>
      </c>
      <c r="C166" s="255">
        <v>0</v>
      </c>
      <c r="D166" s="255">
        <v>0</v>
      </c>
      <c r="E166" s="25">
        <v>0</v>
      </c>
    </row>
    <row r="167" spans="1:5" x14ac:dyDescent="0.25">
      <c r="A167" s="16" t="s">
        <v>242</v>
      </c>
      <c r="B167" s="255">
        <v>0</v>
      </c>
      <c r="C167" s="255">
        <v>0</v>
      </c>
      <c r="D167" s="255">
        <v>0</v>
      </c>
      <c r="E167" s="25">
        <v>0</v>
      </c>
    </row>
    <row r="168" spans="1:5" x14ac:dyDescent="0.25">
      <c r="A168" s="16" t="s">
        <v>360</v>
      </c>
      <c r="B168" s="255">
        <v>0</v>
      </c>
      <c r="C168" s="255">
        <v>0</v>
      </c>
      <c r="D168" s="255">
        <v>0</v>
      </c>
      <c r="E168" s="25">
        <v>0</v>
      </c>
    </row>
    <row r="169" spans="1:5" x14ac:dyDescent="0.25">
      <c r="A169" s="16" t="s">
        <v>287</v>
      </c>
      <c r="B169" s="255">
        <v>0</v>
      </c>
      <c r="C169" s="255">
        <v>0</v>
      </c>
      <c r="D169" s="255">
        <v>0</v>
      </c>
      <c r="E169" s="25">
        <v>0</v>
      </c>
    </row>
    <row r="170" spans="1:5" x14ac:dyDescent="0.25">
      <c r="A170" s="16" t="s">
        <v>288</v>
      </c>
      <c r="B170" s="255">
        <v>0</v>
      </c>
      <c r="C170" s="255">
        <v>0</v>
      </c>
      <c r="D170" s="25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25">
      <c r="A173" s="20" t="s">
        <v>366</v>
      </c>
      <c r="B173" s="255">
        <v>0</v>
      </c>
      <c r="C173" s="25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6" t="s">
        <v>369</v>
      </c>
      <c r="B181" s="35" t="s">
        <v>299</v>
      </c>
      <c r="C181" s="253">
        <v>35305558.619999997</v>
      </c>
      <c r="D181" s="16"/>
      <c r="E181" s="16"/>
    </row>
    <row r="182" spans="1:5" x14ac:dyDescent="0.25">
      <c r="A182" s="16" t="s">
        <v>370</v>
      </c>
      <c r="B182" s="35" t="s">
        <v>299</v>
      </c>
      <c r="C182" s="253">
        <v>-1795653.11</v>
      </c>
      <c r="D182" s="16"/>
      <c r="E182" s="16"/>
    </row>
    <row r="183" spans="1:5" x14ac:dyDescent="0.25">
      <c r="A183" s="20" t="s">
        <v>371</v>
      </c>
      <c r="B183" s="35" t="s">
        <v>299</v>
      </c>
      <c r="C183" s="253">
        <v>2638924.2999999998</v>
      </c>
      <c r="D183" s="16"/>
      <c r="E183" s="16"/>
    </row>
    <row r="184" spans="1:5" x14ac:dyDescent="0.25">
      <c r="A184" s="16" t="s">
        <v>372</v>
      </c>
      <c r="B184" s="35" t="s">
        <v>299</v>
      </c>
      <c r="C184" s="253">
        <v>16152836.350000001</v>
      </c>
      <c r="D184" s="16"/>
      <c r="E184" s="16"/>
    </row>
    <row r="185" spans="1:5" x14ac:dyDescent="0.25">
      <c r="A185" s="16" t="s">
        <v>373</v>
      </c>
      <c r="B185" s="35" t="s">
        <v>299</v>
      </c>
      <c r="C185" s="253">
        <v>801551.23</v>
      </c>
      <c r="D185" s="16"/>
      <c r="E185" s="16"/>
    </row>
    <row r="186" spans="1:5" x14ac:dyDescent="0.25">
      <c r="A186" s="16" t="s">
        <v>374</v>
      </c>
      <c r="B186" s="35" t="s">
        <v>299</v>
      </c>
      <c r="C186" s="253">
        <v>21322712.5</v>
      </c>
      <c r="D186" s="16"/>
      <c r="E186" s="16"/>
    </row>
    <row r="187" spans="1:5" x14ac:dyDescent="0.25">
      <c r="A187" s="16" t="s">
        <v>375</v>
      </c>
      <c r="B187" s="35" t="s">
        <v>299</v>
      </c>
      <c r="C187" s="253">
        <v>0</v>
      </c>
      <c r="D187" s="16"/>
      <c r="E187" s="16"/>
    </row>
    <row r="188" spans="1:5" x14ac:dyDescent="0.25">
      <c r="A188" s="16" t="s">
        <v>375</v>
      </c>
      <c r="B188" s="35" t="s">
        <v>299</v>
      </c>
      <c r="C188" s="253">
        <v>2270007.9600000083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76695937.849999994</v>
      </c>
      <c r="E189" s="16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6" t="s">
        <v>377</v>
      </c>
      <c r="B191" s="35" t="s">
        <v>299</v>
      </c>
      <c r="C191" s="253">
        <v>13420299.550000001</v>
      </c>
      <c r="D191" s="16"/>
      <c r="E191" s="16"/>
    </row>
    <row r="192" spans="1:5" x14ac:dyDescent="0.25">
      <c r="A192" s="16" t="s">
        <v>378</v>
      </c>
      <c r="B192" s="35" t="s">
        <v>299</v>
      </c>
      <c r="C192" s="253">
        <v>6550118.3099999987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19970417.859999999</v>
      </c>
      <c r="E193" s="16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6" t="s">
        <v>380</v>
      </c>
      <c r="B195" s="35" t="s">
        <v>299</v>
      </c>
      <c r="C195" s="253">
        <v>5685851.6800000006</v>
      </c>
      <c r="D195" s="16"/>
      <c r="E195" s="16"/>
    </row>
    <row r="196" spans="1:5" x14ac:dyDescent="0.25">
      <c r="A196" s="16" t="s">
        <v>381</v>
      </c>
      <c r="B196" s="35" t="s">
        <v>299</v>
      </c>
      <c r="C196" s="253">
        <v>0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5685851.6800000006</v>
      </c>
      <c r="E197" s="16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6" t="s">
        <v>383</v>
      </c>
      <c r="B199" s="35" t="s">
        <v>299</v>
      </c>
      <c r="C199" s="253">
        <v>1987826.83</v>
      </c>
      <c r="D199" s="16"/>
      <c r="E199" s="16"/>
    </row>
    <row r="200" spans="1:5" x14ac:dyDescent="0.25">
      <c r="A200" s="16" t="s">
        <v>384</v>
      </c>
      <c r="B200" s="35" t="s">
        <v>299</v>
      </c>
      <c r="C200" s="253">
        <v>0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53">
        <v>-1987826.83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0</v>
      </c>
      <c r="E202" s="16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6" t="s">
        <v>386</v>
      </c>
      <c r="B204" s="35" t="s">
        <v>299</v>
      </c>
      <c r="C204" s="253">
        <v>0</v>
      </c>
      <c r="D204" s="16"/>
      <c r="E204" s="16"/>
    </row>
    <row r="205" spans="1:5" x14ac:dyDescent="0.25">
      <c r="A205" s="16" t="s">
        <v>387</v>
      </c>
      <c r="B205" s="35" t="s">
        <v>299</v>
      </c>
      <c r="C205" s="253">
        <v>13494604.01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13494604.01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5">
        <v>115413740.85000001</v>
      </c>
      <c r="C211" s="253">
        <v>0</v>
      </c>
      <c r="D211" s="255">
        <v>0</v>
      </c>
      <c r="E211" s="25">
        <v>115413740.85000001</v>
      </c>
    </row>
    <row r="212" spans="1:5" x14ac:dyDescent="0.25">
      <c r="A212" s="16" t="s">
        <v>395</v>
      </c>
      <c r="B212" s="255">
        <v>299662.08000000002</v>
      </c>
      <c r="C212" s="253">
        <v>0</v>
      </c>
      <c r="D212" s="255">
        <v>0</v>
      </c>
      <c r="E212" s="25">
        <v>299662.08000000002</v>
      </c>
    </row>
    <row r="213" spans="1:5" x14ac:dyDescent="0.25">
      <c r="A213" s="16" t="s">
        <v>396</v>
      </c>
      <c r="B213" s="255">
        <v>323833234.05000001</v>
      </c>
      <c r="C213" s="253">
        <v>3066020.44</v>
      </c>
      <c r="D213" s="255">
        <v>0</v>
      </c>
      <c r="E213" s="25">
        <v>326899254.49000001</v>
      </c>
    </row>
    <row r="214" spans="1:5" x14ac:dyDescent="0.25">
      <c r="A214" s="16" t="s">
        <v>397</v>
      </c>
      <c r="B214" s="255">
        <v>0</v>
      </c>
      <c r="C214" s="253">
        <v>0</v>
      </c>
      <c r="D214" s="255">
        <v>0</v>
      </c>
      <c r="E214" s="25">
        <v>0</v>
      </c>
    </row>
    <row r="215" spans="1:5" x14ac:dyDescent="0.25">
      <c r="A215" s="16" t="s">
        <v>398</v>
      </c>
      <c r="B215" s="255">
        <v>3559717.14</v>
      </c>
      <c r="C215" s="253">
        <v>172611.47</v>
      </c>
      <c r="D215" s="255">
        <v>0</v>
      </c>
      <c r="E215" s="25">
        <v>3732328.6100000003</v>
      </c>
    </row>
    <row r="216" spans="1:5" x14ac:dyDescent="0.25">
      <c r="A216" s="16" t="s">
        <v>399</v>
      </c>
      <c r="B216" s="255">
        <v>93152114.530000001</v>
      </c>
      <c r="C216" s="253">
        <v>9185892</v>
      </c>
      <c r="D216" s="255">
        <v>245325</v>
      </c>
      <c r="E216" s="25">
        <v>102092681.53</v>
      </c>
    </row>
    <row r="217" spans="1:5" x14ac:dyDescent="0.25">
      <c r="A217" s="16" t="s">
        <v>400</v>
      </c>
      <c r="B217" s="255">
        <v>0</v>
      </c>
      <c r="C217" s="253">
        <v>0</v>
      </c>
      <c r="D217" s="255">
        <v>0</v>
      </c>
      <c r="E217" s="25">
        <v>0</v>
      </c>
    </row>
    <row r="218" spans="1:5" x14ac:dyDescent="0.25">
      <c r="A218" s="16" t="s">
        <v>401</v>
      </c>
      <c r="B218" s="255">
        <v>28100748.949999999</v>
      </c>
      <c r="C218" s="253">
        <v>6581.12</v>
      </c>
      <c r="D218" s="255">
        <v>0</v>
      </c>
      <c r="E218" s="25">
        <v>28107330.07</v>
      </c>
    </row>
    <row r="219" spans="1:5" x14ac:dyDescent="0.25">
      <c r="A219" s="16" t="s">
        <v>402</v>
      </c>
      <c r="B219" s="255">
        <v>18285873.700000003</v>
      </c>
      <c r="C219" s="253">
        <v>4860809.29</v>
      </c>
      <c r="D219" s="255">
        <v>0</v>
      </c>
      <c r="E219" s="25">
        <v>23146682.990000002</v>
      </c>
    </row>
    <row r="220" spans="1:5" x14ac:dyDescent="0.25">
      <c r="A220" s="16" t="s">
        <v>230</v>
      </c>
      <c r="B220" s="25">
        <v>582645091.30000007</v>
      </c>
      <c r="C220" s="224">
        <v>17291914.32</v>
      </c>
      <c r="D220" s="25">
        <v>245325</v>
      </c>
      <c r="E220" s="25">
        <v>599691680.62000012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2"/>
      <c r="C224" s="41"/>
      <c r="D224" s="42"/>
      <c r="E224" s="16"/>
    </row>
    <row r="225" spans="1:6" x14ac:dyDescent="0.25">
      <c r="A225" s="16" t="s">
        <v>395</v>
      </c>
      <c r="B225" s="255">
        <v>25439.31</v>
      </c>
      <c r="C225" s="253">
        <v>16959.53</v>
      </c>
      <c r="D225" s="255">
        <v>0</v>
      </c>
      <c r="E225" s="25">
        <v>42398.84</v>
      </c>
    </row>
    <row r="226" spans="1:6" x14ac:dyDescent="0.25">
      <c r="A226" s="16" t="s">
        <v>396</v>
      </c>
      <c r="B226" s="255">
        <v>21145522.859999999</v>
      </c>
      <c r="C226" s="253">
        <v>14926105.530000001</v>
      </c>
      <c r="D226" s="255">
        <v>0</v>
      </c>
      <c r="E226" s="25">
        <v>36071628.390000001</v>
      </c>
    </row>
    <row r="227" spans="1:6" x14ac:dyDescent="0.25">
      <c r="A227" s="16" t="s">
        <v>397</v>
      </c>
      <c r="B227" s="255">
        <v>0</v>
      </c>
      <c r="C227" s="253">
        <v>0</v>
      </c>
      <c r="D227" s="255">
        <v>0</v>
      </c>
      <c r="E227" s="25">
        <v>0</v>
      </c>
    </row>
    <row r="228" spans="1:6" x14ac:dyDescent="0.25">
      <c r="A228" s="16" t="s">
        <v>398</v>
      </c>
      <c r="B228" s="255">
        <v>778942.22</v>
      </c>
      <c r="C228" s="253">
        <v>515856.26</v>
      </c>
      <c r="D228" s="255">
        <v>0</v>
      </c>
      <c r="E228" s="25">
        <v>1294798.48</v>
      </c>
    </row>
    <row r="229" spans="1:6" x14ac:dyDescent="0.25">
      <c r="A229" s="16" t="s">
        <v>399</v>
      </c>
      <c r="B229" s="255">
        <v>33508617.289999999</v>
      </c>
      <c r="C229" s="253">
        <v>17101624</v>
      </c>
      <c r="D229" s="255">
        <v>245325</v>
      </c>
      <c r="E229" s="25">
        <v>50364916.289999999</v>
      </c>
    </row>
    <row r="230" spans="1:6" x14ac:dyDescent="0.25">
      <c r="A230" s="16" t="s">
        <v>400</v>
      </c>
      <c r="B230" s="255">
        <v>0</v>
      </c>
      <c r="C230" s="253">
        <v>0</v>
      </c>
      <c r="D230" s="255">
        <v>0</v>
      </c>
      <c r="E230" s="25">
        <v>0</v>
      </c>
    </row>
    <row r="231" spans="1:6" x14ac:dyDescent="0.25">
      <c r="A231" s="16" t="s">
        <v>401</v>
      </c>
      <c r="B231" s="255">
        <v>3784585.09</v>
      </c>
      <c r="C231" s="253">
        <v>2190106.67</v>
      </c>
      <c r="D231" s="255">
        <v>0</v>
      </c>
      <c r="E231" s="25">
        <v>5974691.7599999998</v>
      </c>
    </row>
    <row r="232" spans="1:6" x14ac:dyDescent="0.25">
      <c r="A232" s="16" t="s">
        <v>402</v>
      </c>
      <c r="B232" s="255">
        <v>0</v>
      </c>
      <c r="C232" s="253">
        <v>0</v>
      </c>
      <c r="D232" s="255">
        <v>0</v>
      </c>
      <c r="E232" s="25">
        <v>0</v>
      </c>
    </row>
    <row r="233" spans="1:6" x14ac:dyDescent="0.25">
      <c r="A233" s="16" t="s">
        <v>230</v>
      </c>
      <c r="B233" s="25">
        <v>59243106.769999996</v>
      </c>
      <c r="C233" s="224">
        <v>34750651.990000002</v>
      </c>
      <c r="D233" s="25">
        <v>245325</v>
      </c>
      <c r="E233" s="25">
        <v>93748433.760000005</v>
      </c>
    </row>
    <row r="234" spans="1:6" x14ac:dyDescent="0.25">
      <c r="A234" s="16"/>
      <c r="B234" s="16"/>
      <c r="C234" s="22"/>
      <c r="D234" s="16"/>
      <c r="E234" s="16"/>
      <c r="F234" s="11">
        <v>505943246.86000013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18" t="s">
        <v>405</v>
      </c>
      <c r="C236" s="318"/>
      <c r="D236" s="30"/>
      <c r="E236" s="30"/>
    </row>
    <row r="237" spans="1:6" x14ac:dyDescent="0.25">
      <c r="A237" s="43" t="s">
        <v>405</v>
      </c>
      <c r="B237" s="30"/>
      <c r="C237" s="253">
        <v>21749103.010000002</v>
      </c>
      <c r="D237" s="32">
        <v>21749103.010000002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6" t="s">
        <v>407</v>
      </c>
      <c r="B239" s="35" t="s">
        <v>299</v>
      </c>
      <c r="C239" s="253">
        <v>957888160.90999997</v>
      </c>
      <c r="D239" s="16"/>
      <c r="E239" s="16"/>
    </row>
    <row r="240" spans="1:6" x14ac:dyDescent="0.25">
      <c r="A240" s="16" t="s">
        <v>408</v>
      </c>
      <c r="B240" s="35" t="s">
        <v>299</v>
      </c>
      <c r="C240" s="253">
        <v>177789134.94</v>
      </c>
      <c r="D240" s="16"/>
      <c r="E240" s="16"/>
    </row>
    <row r="241" spans="1:5" x14ac:dyDescent="0.25">
      <c r="A241" s="16" t="s">
        <v>409</v>
      </c>
      <c r="B241" s="35" t="s">
        <v>299</v>
      </c>
      <c r="C241" s="253">
        <v>0</v>
      </c>
      <c r="D241" s="16"/>
      <c r="E241" s="16"/>
    </row>
    <row r="242" spans="1:5" x14ac:dyDescent="0.25">
      <c r="A242" s="16" t="s">
        <v>410</v>
      </c>
      <c r="B242" s="35" t="s">
        <v>299</v>
      </c>
      <c r="C242" s="253">
        <v>24366050.799999997</v>
      </c>
      <c r="D242" s="16"/>
      <c r="E242" s="16"/>
    </row>
    <row r="243" spans="1:5" x14ac:dyDescent="0.25">
      <c r="A243" s="16" t="s">
        <v>411</v>
      </c>
      <c r="B243" s="35" t="s">
        <v>299</v>
      </c>
      <c r="C243" s="253">
        <v>888599866.32999992</v>
      </c>
      <c r="D243" s="16"/>
      <c r="E243" s="16"/>
    </row>
    <row r="244" spans="1:5" x14ac:dyDescent="0.25">
      <c r="A244" s="16" t="s">
        <v>412</v>
      </c>
      <c r="B244" s="35" t="s">
        <v>299</v>
      </c>
      <c r="C244" s="253">
        <v>0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v>2048643212.9799998</v>
      </c>
      <c r="E245" s="16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299</v>
      </c>
      <c r="C247" s="253">
        <v>9040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416</v>
      </c>
      <c r="B249" s="35" t="s">
        <v>299</v>
      </c>
      <c r="C249" s="253">
        <v>5912699.4100000001</v>
      </c>
      <c r="D249" s="16"/>
      <c r="E249" s="16"/>
    </row>
    <row r="250" spans="1:5" x14ac:dyDescent="0.25">
      <c r="A250" s="21" t="s">
        <v>417</v>
      </c>
      <c r="B250" s="35" t="s">
        <v>299</v>
      </c>
      <c r="C250" s="253">
        <v>12463109.579999998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v>18375808.989999998</v>
      </c>
      <c r="E252" s="16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6" t="s">
        <v>420</v>
      </c>
      <c r="B254" s="35" t="s">
        <v>299</v>
      </c>
      <c r="C254" s="253">
        <v>34869905.010000005</v>
      </c>
      <c r="D254" s="16"/>
      <c r="E254" s="16"/>
    </row>
    <row r="255" spans="1:5" x14ac:dyDescent="0.25">
      <c r="A255" s="16" t="s">
        <v>419</v>
      </c>
      <c r="B255" s="35" t="s">
        <v>299</v>
      </c>
      <c r="C255" s="253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v>34869905.010000005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v>2123638029.9899998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6" t="s">
        <v>425</v>
      </c>
      <c r="B266" s="35" t="s">
        <v>299</v>
      </c>
      <c r="C266" s="253">
        <v>20184682.239999998</v>
      </c>
      <c r="D266" s="16"/>
      <c r="E266" s="16"/>
    </row>
    <row r="267" spans="1:5" x14ac:dyDescent="0.25">
      <c r="A267" s="16" t="s">
        <v>426</v>
      </c>
      <c r="B267" s="35" t="s">
        <v>299</v>
      </c>
      <c r="C267" s="253">
        <v>0</v>
      </c>
      <c r="D267" s="16"/>
      <c r="E267" s="16"/>
    </row>
    <row r="268" spans="1:5" x14ac:dyDescent="0.25">
      <c r="A268" s="16" t="s">
        <v>427</v>
      </c>
      <c r="B268" s="35" t="s">
        <v>299</v>
      </c>
      <c r="C268" s="253">
        <v>476130686.56999999</v>
      </c>
      <c r="D268" s="16"/>
      <c r="E268" s="16"/>
    </row>
    <row r="269" spans="1:5" x14ac:dyDescent="0.25">
      <c r="A269" s="16" t="s">
        <v>428</v>
      </c>
      <c r="B269" s="35" t="s">
        <v>299</v>
      </c>
      <c r="C269" s="253">
        <v>332301976.98000002</v>
      </c>
      <c r="D269" s="16"/>
      <c r="E269" s="16"/>
    </row>
    <row r="270" spans="1:5" x14ac:dyDescent="0.25">
      <c r="A270" s="16" t="s">
        <v>429</v>
      </c>
      <c r="B270" s="35" t="s">
        <v>299</v>
      </c>
      <c r="C270" s="253">
        <v>0</v>
      </c>
      <c r="D270" s="16"/>
      <c r="E270" s="16"/>
    </row>
    <row r="271" spans="1:5" x14ac:dyDescent="0.25">
      <c r="A271" s="16" t="s">
        <v>430</v>
      </c>
      <c r="B271" s="35" t="s">
        <v>299</v>
      </c>
      <c r="C271" s="253">
        <v>72198559.950000003</v>
      </c>
      <c r="D271" s="16"/>
      <c r="E271" s="16"/>
    </row>
    <row r="272" spans="1:5" x14ac:dyDescent="0.25">
      <c r="A272" s="16" t="s">
        <v>431</v>
      </c>
      <c r="B272" s="35" t="s">
        <v>299</v>
      </c>
      <c r="C272" s="253">
        <v>0</v>
      </c>
      <c r="D272" s="16"/>
      <c r="E272" s="16"/>
    </row>
    <row r="273" spans="1:5" x14ac:dyDescent="0.25">
      <c r="A273" s="16" t="s">
        <v>432</v>
      </c>
      <c r="B273" s="35" t="s">
        <v>299</v>
      </c>
      <c r="C273" s="253">
        <v>37907323.369999997</v>
      </c>
      <c r="D273" s="16"/>
      <c r="E273" s="16"/>
    </row>
    <row r="274" spans="1:5" x14ac:dyDescent="0.25">
      <c r="A274" s="16" t="s">
        <v>433</v>
      </c>
      <c r="B274" s="35" t="s">
        <v>299</v>
      </c>
      <c r="C274" s="253">
        <v>3973790.29</v>
      </c>
      <c r="D274" s="16"/>
      <c r="E274" s="16"/>
    </row>
    <row r="275" spans="1:5" x14ac:dyDescent="0.25">
      <c r="A275" s="16" t="s">
        <v>434</v>
      </c>
      <c r="B275" s="35" t="s">
        <v>299</v>
      </c>
      <c r="C275" s="253">
        <v>7713.89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v>278100779.32999998</v>
      </c>
      <c r="E276" s="16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6" t="s">
        <v>425</v>
      </c>
      <c r="B278" s="35" t="s">
        <v>299</v>
      </c>
      <c r="C278" s="253">
        <v>0</v>
      </c>
      <c r="D278" s="16"/>
      <c r="E278" s="16"/>
    </row>
    <row r="279" spans="1:5" x14ac:dyDescent="0.25">
      <c r="A279" s="16" t="s">
        <v>426</v>
      </c>
      <c r="B279" s="35" t="s">
        <v>299</v>
      </c>
      <c r="C279" s="253">
        <v>0</v>
      </c>
      <c r="D279" s="16"/>
      <c r="E279" s="16"/>
    </row>
    <row r="280" spans="1:5" x14ac:dyDescent="0.25">
      <c r="A280" s="16" t="s">
        <v>437</v>
      </c>
      <c r="B280" s="35" t="s">
        <v>299</v>
      </c>
      <c r="C280" s="253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v>0</v>
      </c>
      <c r="E281" s="16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6" t="s">
        <v>394</v>
      </c>
      <c r="B283" s="35" t="s">
        <v>299</v>
      </c>
      <c r="C283" s="253">
        <v>115413740.84999999</v>
      </c>
      <c r="D283" s="16"/>
      <c r="E283" s="16"/>
    </row>
    <row r="284" spans="1:5" x14ac:dyDescent="0.25">
      <c r="A284" s="16" t="s">
        <v>395</v>
      </c>
      <c r="B284" s="35" t="s">
        <v>299</v>
      </c>
      <c r="C284" s="253">
        <v>299662.08000000002</v>
      </c>
      <c r="D284" s="16"/>
      <c r="E284" s="16"/>
    </row>
    <row r="285" spans="1:5" x14ac:dyDescent="0.25">
      <c r="A285" s="16" t="s">
        <v>396</v>
      </c>
      <c r="B285" s="35" t="s">
        <v>299</v>
      </c>
      <c r="C285" s="253">
        <v>326899254.49000001</v>
      </c>
      <c r="D285" s="16"/>
      <c r="E285" s="16"/>
    </row>
    <row r="286" spans="1:5" x14ac:dyDescent="0.25">
      <c r="A286" s="16" t="s">
        <v>440</v>
      </c>
      <c r="B286" s="35" t="s">
        <v>299</v>
      </c>
      <c r="C286" s="253">
        <v>0</v>
      </c>
      <c r="D286" s="16"/>
      <c r="E286" s="16"/>
    </row>
    <row r="287" spans="1:5" x14ac:dyDescent="0.25">
      <c r="A287" s="16" t="s">
        <v>441</v>
      </c>
      <c r="B287" s="35" t="s">
        <v>299</v>
      </c>
      <c r="C287" s="253">
        <v>3732328.61</v>
      </c>
      <c r="D287" s="16"/>
      <c r="E287" s="16"/>
    </row>
    <row r="288" spans="1:5" x14ac:dyDescent="0.25">
      <c r="A288" s="16" t="s">
        <v>442</v>
      </c>
      <c r="B288" s="35" t="s">
        <v>299</v>
      </c>
      <c r="C288" s="253">
        <v>102092681.52</v>
      </c>
      <c r="D288" s="16"/>
      <c r="E288" s="16"/>
    </row>
    <row r="289" spans="1:5" x14ac:dyDescent="0.25">
      <c r="A289" s="16" t="s">
        <v>401</v>
      </c>
      <c r="B289" s="35" t="s">
        <v>299</v>
      </c>
      <c r="C289" s="253">
        <v>28107330.07</v>
      </c>
      <c r="D289" s="16"/>
      <c r="E289" s="16"/>
    </row>
    <row r="290" spans="1:5" x14ac:dyDescent="0.25">
      <c r="A290" s="16" t="s">
        <v>402</v>
      </c>
      <c r="B290" s="35" t="s">
        <v>299</v>
      </c>
      <c r="C290" s="253">
        <v>23146682.990000002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v>599691680.61000013</v>
      </c>
      <c r="E291" s="16"/>
    </row>
    <row r="292" spans="1:5" x14ac:dyDescent="0.25">
      <c r="A292" s="16" t="s">
        <v>444</v>
      </c>
      <c r="B292" s="35" t="s">
        <v>299</v>
      </c>
      <c r="C292" s="253">
        <v>93748434.099999994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v>505943246.51000011</v>
      </c>
      <c r="E293" s="16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6" t="s">
        <v>447</v>
      </c>
      <c r="B295" s="35" t="s">
        <v>299</v>
      </c>
      <c r="C295" s="253">
        <v>0</v>
      </c>
      <c r="D295" s="16"/>
      <c r="E295" s="16"/>
    </row>
    <row r="296" spans="1:5" x14ac:dyDescent="0.25">
      <c r="A296" s="16" t="s">
        <v>448</v>
      </c>
      <c r="B296" s="35" t="s">
        <v>299</v>
      </c>
      <c r="C296" s="253">
        <v>0</v>
      </c>
      <c r="D296" s="16"/>
      <c r="E296" s="16"/>
    </row>
    <row r="297" spans="1:5" x14ac:dyDescent="0.25">
      <c r="A297" s="16" t="s">
        <v>449</v>
      </c>
      <c r="B297" s="35" t="s">
        <v>299</v>
      </c>
      <c r="C297" s="253">
        <v>184275890.87</v>
      </c>
      <c r="D297" s="16"/>
      <c r="E297" s="16"/>
    </row>
    <row r="298" spans="1:5" x14ac:dyDescent="0.25">
      <c r="A298" s="16" t="s">
        <v>437</v>
      </c>
      <c r="B298" s="35" t="s">
        <v>299</v>
      </c>
      <c r="C298" s="253">
        <v>108508719.30999999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v>292784610.18000001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6" t="s">
        <v>452</v>
      </c>
      <c r="B302" s="35" t="s">
        <v>299</v>
      </c>
      <c r="C302" s="253">
        <v>0</v>
      </c>
      <c r="D302" s="16"/>
      <c r="E302" s="16"/>
    </row>
    <row r="303" spans="1:5" x14ac:dyDescent="0.25">
      <c r="A303" s="16" t="s">
        <v>453</v>
      </c>
      <c r="B303" s="35" t="s">
        <v>299</v>
      </c>
      <c r="C303" s="253">
        <v>0</v>
      </c>
      <c r="D303" s="16"/>
      <c r="E303" s="16"/>
    </row>
    <row r="304" spans="1:5" x14ac:dyDescent="0.25">
      <c r="A304" s="16" t="s">
        <v>454</v>
      </c>
      <c r="B304" s="35" t="s">
        <v>299</v>
      </c>
      <c r="C304" s="253">
        <v>0</v>
      </c>
      <c r="D304" s="16"/>
      <c r="E304" s="16"/>
    </row>
    <row r="305" spans="1:6" x14ac:dyDescent="0.25">
      <c r="A305" s="16" t="s">
        <v>455</v>
      </c>
      <c r="B305" s="35" t="s">
        <v>299</v>
      </c>
      <c r="C305" s="253">
        <v>33180240.539999999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v>33180240.539999999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v>1110008876.5600002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1110008876.5600002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6" t="s">
        <v>460</v>
      </c>
      <c r="B314" s="35" t="s">
        <v>299</v>
      </c>
      <c r="C314" s="253">
        <v>0</v>
      </c>
      <c r="D314" s="16"/>
      <c r="E314" s="16"/>
    </row>
    <row r="315" spans="1:6" x14ac:dyDescent="0.25">
      <c r="A315" s="16" t="s">
        <v>461</v>
      </c>
      <c r="B315" s="35" t="s">
        <v>299</v>
      </c>
      <c r="C315" s="253">
        <v>32940073.09</v>
      </c>
      <c r="D315" s="16"/>
      <c r="E315" s="16"/>
    </row>
    <row r="316" spans="1:6" x14ac:dyDescent="0.25">
      <c r="A316" s="16" t="s">
        <v>462</v>
      </c>
      <c r="B316" s="35" t="s">
        <v>299</v>
      </c>
      <c r="C316" s="253">
        <v>55548872.939999998</v>
      </c>
      <c r="D316" s="16"/>
      <c r="E316" s="16"/>
    </row>
    <row r="317" spans="1:6" x14ac:dyDescent="0.25">
      <c r="A317" s="16" t="s">
        <v>463</v>
      </c>
      <c r="B317" s="35" t="s">
        <v>299</v>
      </c>
      <c r="C317" s="253">
        <v>52505821.390000001</v>
      </c>
      <c r="D317" s="16"/>
      <c r="E317" s="16"/>
    </row>
    <row r="318" spans="1:6" x14ac:dyDescent="0.25">
      <c r="A318" s="16" t="s">
        <v>464</v>
      </c>
      <c r="B318" s="35" t="s">
        <v>299</v>
      </c>
      <c r="C318" s="253">
        <v>0</v>
      </c>
      <c r="D318" s="16"/>
      <c r="E318" s="16"/>
    </row>
    <row r="319" spans="1:6" x14ac:dyDescent="0.25">
      <c r="A319" s="16" t="s">
        <v>465</v>
      </c>
      <c r="B319" s="35" t="s">
        <v>299</v>
      </c>
      <c r="C319" s="253">
        <v>8504895.0199999996</v>
      </c>
      <c r="D319" s="16"/>
      <c r="E319" s="16"/>
    </row>
    <row r="320" spans="1:6" x14ac:dyDescent="0.25">
      <c r="A320" s="16" t="s">
        <v>466</v>
      </c>
      <c r="B320" s="35" t="s">
        <v>299</v>
      </c>
      <c r="C320" s="253">
        <v>0</v>
      </c>
      <c r="D320" s="16"/>
      <c r="E320" s="16"/>
    </row>
    <row r="321" spans="1:5" x14ac:dyDescent="0.25">
      <c r="A321" s="16" t="s">
        <v>467</v>
      </c>
      <c r="B321" s="35" t="s">
        <v>299</v>
      </c>
      <c r="C321" s="253">
        <v>0</v>
      </c>
      <c r="D321" s="16"/>
      <c r="E321" s="16"/>
    </row>
    <row r="322" spans="1:5" x14ac:dyDescent="0.25">
      <c r="A322" s="16" t="s">
        <v>468</v>
      </c>
      <c r="B322" s="35" t="s">
        <v>299</v>
      </c>
      <c r="C322" s="253">
        <v>96722233.109999999</v>
      </c>
      <c r="D322" s="16"/>
      <c r="E322" s="16"/>
    </row>
    <row r="323" spans="1:5" x14ac:dyDescent="0.25">
      <c r="A323" s="16" t="s">
        <v>469</v>
      </c>
      <c r="B323" s="35" t="s">
        <v>299</v>
      </c>
      <c r="C323" s="253">
        <v>0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v>246221895.55000001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299</v>
      </c>
      <c r="C326" s="253">
        <v>0</v>
      </c>
      <c r="D326" s="16"/>
      <c r="E326" s="16"/>
    </row>
    <row r="327" spans="1:5" x14ac:dyDescent="0.25">
      <c r="A327" s="16" t="s">
        <v>473</v>
      </c>
      <c r="B327" s="35" t="s">
        <v>299</v>
      </c>
      <c r="C327" s="253">
        <v>0</v>
      </c>
      <c r="D327" s="16"/>
      <c r="E327" s="16"/>
    </row>
    <row r="328" spans="1:5" x14ac:dyDescent="0.25">
      <c r="A328" s="16" t="s">
        <v>474</v>
      </c>
      <c r="B328" s="35" t="s">
        <v>299</v>
      </c>
      <c r="C328" s="253">
        <v>61192177.859999999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v>61192177.859999999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299</v>
      </c>
      <c r="C331" s="253">
        <v>0</v>
      </c>
      <c r="D331" s="16"/>
      <c r="E331" s="16"/>
    </row>
    <row r="332" spans="1:5" x14ac:dyDescent="0.25">
      <c r="A332" s="16" t="s">
        <v>478</v>
      </c>
      <c r="B332" s="35" t="s">
        <v>299</v>
      </c>
      <c r="C332" s="253">
        <v>0</v>
      </c>
      <c r="D332" s="16"/>
      <c r="E332" s="16"/>
    </row>
    <row r="333" spans="1:5" x14ac:dyDescent="0.25">
      <c r="A333" s="16" t="s">
        <v>479</v>
      </c>
      <c r="B333" s="35" t="s">
        <v>299</v>
      </c>
      <c r="C333" s="253">
        <v>0</v>
      </c>
      <c r="D333" s="16"/>
      <c r="E333" s="16"/>
    </row>
    <row r="334" spans="1:5" x14ac:dyDescent="0.25">
      <c r="A334" s="21" t="s">
        <v>480</v>
      </c>
      <c r="B334" s="35" t="s">
        <v>299</v>
      </c>
      <c r="C334" s="253">
        <v>0</v>
      </c>
      <c r="D334" s="16"/>
      <c r="E334" s="16"/>
    </row>
    <row r="335" spans="1:5" x14ac:dyDescent="0.25">
      <c r="A335" s="16" t="s">
        <v>481</v>
      </c>
      <c r="B335" s="35" t="s">
        <v>299</v>
      </c>
      <c r="C335" s="253">
        <v>402407462.89999998</v>
      </c>
      <c r="D335" s="16"/>
      <c r="E335" s="16"/>
    </row>
    <row r="336" spans="1:5" x14ac:dyDescent="0.25">
      <c r="A336" s="21" t="s">
        <v>482</v>
      </c>
      <c r="B336" s="35" t="s">
        <v>299</v>
      </c>
      <c r="C336" s="253">
        <v>0</v>
      </c>
      <c r="D336" s="16"/>
      <c r="E336" s="16"/>
    </row>
    <row r="337" spans="1:5" x14ac:dyDescent="0.25">
      <c r="A337" s="21" t="s">
        <v>483</v>
      </c>
      <c r="B337" s="35" t="s">
        <v>299</v>
      </c>
      <c r="C337" s="276">
        <v>0</v>
      </c>
      <c r="D337" s="16"/>
      <c r="E337" s="16"/>
    </row>
    <row r="338" spans="1:5" x14ac:dyDescent="0.25">
      <c r="A338" s="16" t="s">
        <v>484</v>
      </c>
      <c r="B338" s="35" t="s">
        <v>299</v>
      </c>
      <c r="C338" s="253">
        <v>55984823.25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458392286.14999998</v>
      </c>
      <c r="E339" s="16"/>
    </row>
    <row r="340" spans="1:5" x14ac:dyDescent="0.25">
      <c r="A340" s="16" t="s">
        <v>485</v>
      </c>
      <c r="B340" s="16"/>
      <c r="C340" s="22"/>
      <c r="D340" s="25">
        <v>0</v>
      </c>
      <c r="E340" s="16"/>
    </row>
    <row r="341" spans="1:5" x14ac:dyDescent="0.25">
      <c r="A341" s="16" t="s">
        <v>486</v>
      </c>
      <c r="B341" s="16"/>
      <c r="C341" s="22"/>
      <c r="D341" s="25">
        <v>458392286.14999998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299</v>
      </c>
      <c r="C343" s="256">
        <v>344202517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299</v>
      </c>
      <c r="C345" s="254">
        <v>0</v>
      </c>
      <c r="D345" s="16"/>
      <c r="E345" s="16"/>
    </row>
    <row r="346" spans="1:5" x14ac:dyDescent="0.25">
      <c r="A346" s="16" t="s">
        <v>489</v>
      </c>
      <c r="B346" s="35" t="s">
        <v>299</v>
      </c>
      <c r="C346" s="254">
        <v>0</v>
      </c>
      <c r="D346" s="16"/>
      <c r="E346" s="16"/>
    </row>
    <row r="347" spans="1:5" x14ac:dyDescent="0.25">
      <c r="A347" s="16" t="s">
        <v>490</v>
      </c>
      <c r="B347" s="35" t="s">
        <v>299</v>
      </c>
      <c r="C347" s="254">
        <v>0</v>
      </c>
      <c r="D347" s="16"/>
      <c r="E347" s="16"/>
    </row>
    <row r="348" spans="1:5" x14ac:dyDescent="0.25">
      <c r="A348" s="16" t="s">
        <v>491</v>
      </c>
      <c r="B348" s="35" t="s">
        <v>299</v>
      </c>
      <c r="C348" s="254">
        <v>0</v>
      </c>
      <c r="D348" s="16"/>
      <c r="E348" s="16"/>
    </row>
    <row r="349" spans="1:5" x14ac:dyDescent="0.25">
      <c r="A349" s="16" t="s">
        <v>492</v>
      </c>
      <c r="B349" s="35" t="s">
        <v>299</v>
      </c>
      <c r="C349" s="254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v>1110008876.5599999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v>1110008876.5600002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299</v>
      </c>
      <c r="C358" s="254">
        <v>982973010.13</v>
      </c>
      <c r="D358" s="16"/>
      <c r="E358" s="16"/>
    </row>
    <row r="359" spans="1:5" x14ac:dyDescent="0.25">
      <c r="A359" s="16" t="s">
        <v>498</v>
      </c>
      <c r="B359" s="35" t="s">
        <v>299</v>
      </c>
      <c r="C359" s="254">
        <v>2249650009.6300001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v>3232623019.7600002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405</v>
      </c>
      <c r="B362" s="34"/>
      <c r="C362" s="253">
        <v>21749103.010000002</v>
      </c>
      <c r="D362" s="16"/>
      <c r="E362" s="34"/>
    </row>
    <row r="363" spans="1:5" x14ac:dyDescent="0.25">
      <c r="A363" s="16" t="s">
        <v>501</v>
      </c>
      <c r="B363" s="35" t="s">
        <v>299</v>
      </c>
      <c r="C363" s="253">
        <v>2048643212.98</v>
      </c>
      <c r="D363" s="16"/>
      <c r="E363" s="16"/>
    </row>
    <row r="364" spans="1:5" x14ac:dyDescent="0.25">
      <c r="A364" s="16" t="s">
        <v>502</v>
      </c>
      <c r="B364" s="35" t="s">
        <v>299</v>
      </c>
      <c r="C364" s="253">
        <v>18375808.989999998</v>
      </c>
      <c r="D364" s="16"/>
      <c r="E364" s="16"/>
    </row>
    <row r="365" spans="1:5" x14ac:dyDescent="0.25">
      <c r="A365" s="16" t="s">
        <v>503</v>
      </c>
      <c r="B365" s="35" t="s">
        <v>299</v>
      </c>
      <c r="C365" s="253">
        <v>34869905.010000005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v>2123638029.99</v>
      </c>
      <c r="E366" s="16"/>
    </row>
    <row r="367" spans="1:5" x14ac:dyDescent="0.25">
      <c r="A367" s="16" t="s">
        <v>504</v>
      </c>
      <c r="B367" s="16"/>
      <c r="C367" s="22"/>
      <c r="D367" s="25">
        <v>1108984989.7700002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299</v>
      </c>
      <c r="C370" s="253">
        <v>13061789.949999999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53">
        <v>4160279.1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53">
        <v>18407563.489999998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53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53">
        <v>53982183.5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53">
        <v>3449303.42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53">
        <v>4881005.78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53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53">
        <v>3683434.79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53">
        <v>2490474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7">
        <v>10128820</v>
      </c>
      <c r="D380" s="25">
        <v>0</v>
      </c>
      <c r="E380" s="204" t="s">
        <v>1056</v>
      </c>
      <c r="F380" s="47"/>
    </row>
    <row r="381" spans="1:6" x14ac:dyDescent="0.25">
      <c r="A381" s="48" t="s">
        <v>518</v>
      </c>
      <c r="B381" s="35"/>
      <c r="C381" s="35"/>
      <c r="D381" s="25">
        <v>114244854.03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53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v>114244854.03</v>
      </c>
      <c r="E383" s="16"/>
    </row>
    <row r="384" spans="1:6" x14ac:dyDescent="0.25">
      <c r="A384" s="16" t="s">
        <v>521</v>
      </c>
      <c r="B384" s="16"/>
      <c r="C384" s="22"/>
      <c r="D384" s="25">
        <v>1223229843.8000002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299</v>
      </c>
      <c r="C389" s="253">
        <v>546800904.76999998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3">
        <v>76695937.849999994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3">
        <v>248741.18</v>
      </c>
      <c r="D391" s="16"/>
      <c r="E391" s="16"/>
    </row>
    <row r="392" spans="1:5" x14ac:dyDescent="0.25">
      <c r="A392" s="16" t="s">
        <v>524</v>
      </c>
      <c r="B392" s="35" t="s">
        <v>299</v>
      </c>
      <c r="C392" s="253">
        <v>255040908.50999999</v>
      </c>
      <c r="D392" s="16"/>
      <c r="E392" s="16"/>
    </row>
    <row r="393" spans="1:5" x14ac:dyDescent="0.25">
      <c r="A393" s="16" t="s">
        <v>525</v>
      </c>
      <c r="B393" s="35" t="s">
        <v>299</v>
      </c>
      <c r="C393" s="253">
        <v>13312130.289999999</v>
      </c>
      <c r="D393" s="16"/>
      <c r="E393" s="16"/>
    </row>
    <row r="394" spans="1:5" x14ac:dyDescent="0.25">
      <c r="A394" s="16" t="s">
        <v>526</v>
      </c>
      <c r="B394" s="35" t="s">
        <v>299</v>
      </c>
      <c r="C394" s="253">
        <v>77388469.280000001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3">
        <v>34750652.479999997</v>
      </c>
      <c r="D395" s="16"/>
      <c r="E395" s="16"/>
    </row>
    <row r="396" spans="1:5" x14ac:dyDescent="0.25">
      <c r="A396" s="16" t="s">
        <v>527</v>
      </c>
      <c r="B396" s="35" t="s">
        <v>299</v>
      </c>
      <c r="C396" s="253">
        <v>19970417.859999999</v>
      </c>
      <c r="D396" s="16"/>
      <c r="E396" s="16"/>
    </row>
    <row r="397" spans="1:5" x14ac:dyDescent="0.25">
      <c r="A397" s="16" t="s">
        <v>528</v>
      </c>
      <c r="B397" s="35" t="s">
        <v>299</v>
      </c>
      <c r="C397" s="253">
        <v>0</v>
      </c>
      <c r="D397" s="16"/>
      <c r="E397" s="16"/>
    </row>
    <row r="398" spans="1:5" x14ac:dyDescent="0.25">
      <c r="A398" s="16" t="s">
        <v>529</v>
      </c>
      <c r="B398" s="35" t="s">
        <v>299</v>
      </c>
      <c r="C398" s="253">
        <v>0</v>
      </c>
      <c r="D398" s="16"/>
      <c r="E398" s="16"/>
    </row>
    <row r="399" spans="1:5" x14ac:dyDescent="0.25">
      <c r="A399" s="16" t="s">
        <v>530</v>
      </c>
      <c r="B399" s="35" t="s">
        <v>299</v>
      </c>
      <c r="C399" s="253">
        <v>13494604.01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3">
        <v>3515986.72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3">
        <v>70983144.400000006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3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3">
        <v>5685851.6799999997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3">
        <v>2784744.83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3">
        <v>5216200.43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3">
        <v>6602249.5300000003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3">
        <v>35075127.780000001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3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3">
        <v>-6620.85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3">
        <v>979220.29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3">
        <v>23383260.280000001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3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7">
        <v>65117782.75999999</v>
      </c>
      <c r="D414" s="25">
        <v>0</v>
      </c>
      <c r="E414" s="204" t="s">
        <v>1056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v>219336947.85000002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v>1257039714.0799999</v>
      </c>
      <c r="E416" s="25"/>
    </row>
    <row r="417" spans="1:13" x14ac:dyDescent="0.25">
      <c r="A417" s="25" t="s">
        <v>535</v>
      </c>
      <c r="B417" s="16"/>
      <c r="C417" s="22"/>
      <c r="D417" s="25">
        <v>-33809870.279999733</v>
      </c>
      <c r="E417" s="25"/>
    </row>
    <row r="418" spans="1:13" x14ac:dyDescent="0.25">
      <c r="A418" s="25" t="s">
        <v>536</v>
      </c>
      <c r="B418" s="16"/>
      <c r="C418" s="257">
        <v>5860242.9100000001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53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v>5860242.9100000001</v>
      </c>
      <c r="E420" s="25"/>
      <c r="F420" s="11">
        <v>-7634361.0999999996</v>
      </c>
    </row>
    <row r="421" spans="1:13" x14ac:dyDescent="0.25">
      <c r="A421" s="25" t="s">
        <v>539</v>
      </c>
      <c r="B421" s="16"/>
      <c r="C421" s="22"/>
      <c r="D421" s="25">
        <v>-27949627.369999733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53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299</v>
      </c>
      <c r="C423" s="253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v>-27949627.369999733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543</v>
      </c>
      <c r="D612" s="216">
        <f>CE90-(BE90+CD90)</f>
        <v>1111536</v>
      </c>
      <c r="E612" s="218">
        <f>SUM(C624:D647)+SUM(C668:D713)</f>
        <v>1131682556.6036229</v>
      </c>
      <c r="F612" s="218">
        <f>CE64-(AX64+BD64+BE64+BG64+BJ64+BN64+BP64+BQ64+CB64+CC64+CD64)</f>
        <v>251541563.45999992</v>
      </c>
      <c r="G612" s="216">
        <f>CE91-(AX91+AY91+BD91+BE91+BG91+BJ91+BN91+BP91+BQ91+CB91+CC91+CD91)</f>
        <v>253513</v>
      </c>
      <c r="H612" s="221">
        <f>CE60-(AX60+AY60+AZ60+BD60+BE60+BG60+BJ60+BN60+BO60+BP60+BQ60+BR60+CB60+CC60+CD60)</f>
        <v>3779.3218869862994</v>
      </c>
      <c r="I612" s="216">
        <f>CE92-(AX92+AY92+AZ92+BD92+BE92+BF92+BG92+BJ92+BN92+BO92+BP92+BQ92+BR92+CB92+CC92+CD92)</f>
        <v>131456</v>
      </c>
      <c r="J612" s="216">
        <f>CE93-(AX93+AY93+AZ93+BA93+BD93+BE93+BF93+BG93+BJ93+BN93+BO93+BP93+BQ93+BR93+CB93+CC93+CD93)</f>
        <v>2609061.2464778153</v>
      </c>
      <c r="K612" s="216">
        <f>CE89-(AW89+AX89+AY89+AZ89+BA89+BB89+BC89+BD89+BE89+BF89+BG89+BH89+BI89+BJ89+BK89+BL89+BM89+BN89+BO89+BP89+BQ89+BR89+BS89+BT89+BU89+BV89+BW89+BX89+CB89+CC89+CD89)</f>
        <v>3232623019.7599988</v>
      </c>
      <c r="L612" s="222">
        <f>CE94-(AW94+AX94+AY94+AZ94+BA94+BB94+BC94+BD94+BE94+BF94+BG94+BH94+BI94+BJ94+BK94+BL94+BM94+BN94+BO94+BP94+BQ94+BR94+BS94+BT94+BU94+BV94+BW94+BX94+BY94+BZ94+CA94+CB94+CC94+CD94)</f>
        <v>1345.69</v>
      </c>
    </row>
    <row r="613" spans="1:14" s="202" customFormat="1" ht="12.6" customHeight="1" x14ac:dyDescent="0.2">
      <c r="A613" s="211"/>
      <c r="C613" s="209" t="s">
        <v>544</v>
      </c>
      <c r="D613" s="217" t="s">
        <v>545</v>
      </c>
      <c r="E613" s="219" t="s">
        <v>546</v>
      </c>
      <c r="F613" s="220" t="s">
        <v>547</v>
      </c>
      <c r="G613" s="217" t="s">
        <v>548</v>
      </c>
      <c r="H613" s="220" t="s">
        <v>549</v>
      </c>
      <c r="I613" s="217" t="s">
        <v>550</v>
      </c>
      <c r="J613" s="217" t="s">
        <v>551</v>
      </c>
      <c r="K613" s="209" t="s">
        <v>552</v>
      </c>
      <c r="L613" s="210" t="s">
        <v>553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34600794.030000001</v>
      </c>
      <c r="D614" s="216"/>
      <c r="E614" s="218"/>
      <c r="F614" s="218"/>
      <c r="G614" s="216"/>
      <c r="H614" s="218"/>
      <c r="I614" s="216"/>
      <c r="J614" s="216"/>
      <c r="N614" s="21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-516656.16999999993</v>
      </c>
      <c r="D615" s="216">
        <f>SUM(C614:C615)</f>
        <v>34084137.859999999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5" t="s">
        <v>557</v>
      </c>
      <c r="C616" s="216">
        <f>AX85</f>
        <v>893731.92999999993</v>
      </c>
      <c r="D616" s="216">
        <f>(D615/D612)*AX90</f>
        <v>104717.5537201674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2931947.42</v>
      </c>
      <c r="D617" s="216">
        <f>(D615/D612)*BJ90</f>
        <v>68258.059906615716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>
        <f>BG85</f>
        <v>11929357.279999999</v>
      </c>
      <c r="D618" s="216">
        <f>(D615/D612)*BG90</f>
        <v>340094.40360479552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>
        <f>BN85</f>
        <v>-13527874.389999999</v>
      </c>
      <c r="D619" s="216">
        <f>(D615/D612)*BN90</f>
        <v>479278.29125804291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>
        <f>CC85</f>
        <v>-8777533.2099999972</v>
      </c>
      <c r="D620" s="216">
        <f>(D615/D612)*CC90</f>
        <v>227496.2023572246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>
        <f>BP85</f>
        <v>2806991.15</v>
      </c>
      <c r="D621" s="216">
        <f>(D615/D612)*BP90</f>
        <v>141238.37553004132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0" t="s">
        <v>568</v>
      </c>
      <c r="C622" s="216">
        <f>CB85</f>
        <v>0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5" t="s">
        <v>570</v>
      </c>
      <c r="C623" s="216">
        <f>BQ85</f>
        <v>0</v>
      </c>
      <c r="D623" s="216">
        <f>(D615/D612)*BQ90</f>
        <v>0</v>
      </c>
      <c r="E623" s="218">
        <f>SUM(C616:D623)</f>
        <v>-2382296.933623109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1179734.5000000002</v>
      </c>
      <c r="D624" s="216">
        <f>(D615/D612)*BD90</f>
        <v>266071.51204389241</v>
      </c>
      <c r="E624" s="218">
        <f>(E623/E612)*SUM(C624:D624)</f>
        <v>-3043.555994574207</v>
      </c>
      <c r="F624" s="218">
        <f>SUM(C624:E624)</f>
        <v>1442762.4560493184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5501424.2400000002</v>
      </c>
      <c r="D625" s="216">
        <f>(D615/D612)*AY90</f>
        <v>168989.29386583969</v>
      </c>
      <c r="E625" s="218">
        <f>(E623/E612)*SUM(C625:D625)</f>
        <v>-11936.74736371767</v>
      </c>
      <c r="F625" s="218">
        <f>(F624/F612)*AY64</f>
        <v>423.47304174694256</v>
      </c>
      <c r="G625" s="216">
        <f>SUM(C625:F625)</f>
        <v>5658900.2595438696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868220.99999999988</v>
      </c>
      <c r="D626" s="216">
        <f>(D615/D612)*BR90</f>
        <v>0</v>
      </c>
      <c r="E626" s="218">
        <f>(E623/E612)*SUM(C626:D626)</f>
        <v>-1827.6858770490369</v>
      </c>
      <c r="F626" s="218">
        <f>(F624/F612)*BR64</f>
        <v>5.7502507847681965</v>
      </c>
      <c r="G626" s="216">
        <f>(G625/G612)*BR91</f>
        <v>0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0" t="s">
        <v>575</v>
      </c>
      <c r="C627" s="216">
        <f>BO85</f>
        <v>330538.31</v>
      </c>
      <c r="D627" s="216">
        <f>(D615/D612)*BO90</f>
        <v>32074.542076513942</v>
      </c>
      <c r="E627" s="218">
        <f>(E623/E612)*SUM(C627:D627)</f>
        <v>-763.33374633499557</v>
      </c>
      <c r="F627" s="218">
        <f>(F624/F612)*BO64</f>
        <v>703.52460564189823</v>
      </c>
      <c r="G627" s="216">
        <f>(G625/G612)*BO91</f>
        <v>0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2933218.85</v>
      </c>
      <c r="D628" s="216">
        <f>(D615/D612)*AZ90</f>
        <v>522637.18465784285</v>
      </c>
      <c r="E628" s="218">
        <f>(E623/E612)*SUM(C628:D628)</f>
        <v>-7274.8980589721141</v>
      </c>
      <c r="F628" s="218">
        <f>(F624/F612)*AZ64</f>
        <v>649.74707921107722</v>
      </c>
      <c r="G628" s="216">
        <f>(G625/G612)*AZ91</f>
        <v>0</v>
      </c>
      <c r="H628" s="218">
        <f>SUM(C626:G628)</f>
        <v>4678182.990987638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12476757.039999999</v>
      </c>
      <c r="D629" s="216">
        <f>(D615/D612)*BF90</f>
        <v>248593.03309206359</v>
      </c>
      <c r="E629" s="218">
        <f>(E623/E612)*SUM(C629:D629)</f>
        <v>-26788.044298738794</v>
      </c>
      <c r="F629" s="218">
        <f>(F624/F612)*BF64</f>
        <v>892.32490790620466</v>
      </c>
      <c r="G629" s="216">
        <f>(G625/G612)*BF91</f>
        <v>0</v>
      </c>
      <c r="H629" s="218">
        <f>(H628/H612)*BF60</f>
        <v>0</v>
      </c>
      <c r="I629" s="216">
        <f>SUM(C629:H629)</f>
        <v>12699454.35370123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>
        <f>BA85</f>
        <v>2234113.9299999997</v>
      </c>
      <c r="D630" s="216">
        <f>(D615/D612)*BA90</f>
        <v>97910.146128402499</v>
      </c>
      <c r="E630" s="218">
        <f>(E623/E612)*SUM(C630:D630)</f>
        <v>-4909.1273637451868</v>
      </c>
      <c r="F630" s="218">
        <f>(F624/F612)*BA64</f>
        <v>0</v>
      </c>
      <c r="G630" s="216">
        <f>(G625/G612)*BA91</f>
        <v>0</v>
      </c>
      <c r="H630" s="218">
        <f>(H628/H612)*BA60</f>
        <v>0</v>
      </c>
      <c r="I630" s="216">
        <f>(I629/I612)*BA92</f>
        <v>39318.691592292482</v>
      </c>
      <c r="J630" s="216">
        <f>SUM(C630:I630)</f>
        <v>2366433.6403569495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>
        <f>AW85</f>
        <v>22402062.780000005</v>
      </c>
      <c r="D631" s="216">
        <f>(D615/D612)*AW90</f>
        <v>242705.54544513178</v>
      </c>
      <c r="E631" s="218">
        <f>(E623/E612)*SUM(C631:D631)</f>
        <v>-47669.341397482269</v>
      </c>
      <c r="F631" s="218">
        <f>(F624/F612)*AW64</f>
        <v>1476.9779024435422</v>
      </c>
      <c r="G631" s="216">
        <f>(G625/G612)*AW91</f>
        <v>0</v>
      </c>
      <c r="H631" s="218">
        <f>(H628/H612)*AW60</f>
        <v>179869.51970766034</v>
      </c>
      <c r="I631" s="216">
        <f>(I629/I612)*AW92</f>
        <v>97378.970823171549</v>
      </c>
      <c r="J631" s="216">
        <f>(J630/J612)*AW93</f>
        <v>0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>
        <f>BB85</f>
        <v>0</v>
      </c>
      <c r="D632" s="216">
        <f>(D615/D612)*BB90</f>
        <v>9229.8634464920615</v>
      </c>
      <c r="E632" s="218">
        <f>(E623/E612)*SUM(C632:D632)</f>
        <v>-19.429720161392886</v>
      </c>
      <c r="F632" s="218">
        <f>(F624/F612)*BB64</f>
        <v>0</v>
      </c>
      <c r="G632" s="216">
        <f>(G625/G612)*BB91</f>
        <v>0</v>
      </c>
      <c r="H632" s="218">
        <f>(H628/H612)*BB60</f>
        <v>0</v>
      </c>
      <c r="I632" s="216">
        <f>(I629/I612)*BB92</f>
        <v>3671.0326302386102</v>
      </c>
      <c r="J632" s="216">
        <f>(J630/J612)*BB93</f>
        <v>0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>
        <f>BC85</f>
        <v>5058701.76</v>
      </c>
      <c r="D633" s="216">
        <f>(D615/D612)*BC90</f>
        <v>16251.919025384694</v>
      </c>
      <c r="E633" s="218">
        <f>(E623/E612)*SUM(C633:D633)</f>
        <v>-10683.249041238058</v>
      </c>
      <c r="F633" s="218">
        <f>(F624/F612)*BC64</f>
        <v>669.85460277487914</v>
      </c>
      <c r="G633" s="216">
        <f>(G625/G612)*BC91</f>
        <v>0</v>
      </c>
      <c r="H633" s="218">
        <f>(H628/H612)*BC60</f>
        <v>0</v>
      </c>
      <c r="I633" s="216">
        <f>(I629/I612)*BC92</f>
        <v>6472.6101638417595</v>
      </c>
      <c r="J633" s="216">
        <f>(J630/J612)*BC93</f>
        <v>0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4860023.7699999996</v>
      </c>
      <c r="D634" s="216">
        <f>(D615/D612)*BI90</f>
        <v>218664.97088682686</v>
      </c>
      <c r="E634" s="218">
        <f>(E623/E612)*SUM(C634:D634)</f>
        <v>-10691.111693505236</v>
      </c>
      <c r="F634" s="218">
        <f>(F624/F612)*BI64</f>
        <v>2508.3785912623716</v>
      </c>
      <c r="G634" s="216">
        <f>(G625/G612)*BI91</f>
        <v>0</v>
      </c>
      <c r="H634" s="218">
        <f>(H628/H612)*BI60</f>
        <v>1237.8340660507547</v>
      </c>
      <c r="I634" s="216">
        <f>(I629/I612)*BI92</f>
        <v>87718.358638333098</v>
      </c>
      <c r="J634" s="216">
        <f>(J630/J612)*BI93</f>
        <v>0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23249544.670000006</v>
      </c>
      <c r="D635" s="216">
        <f>(D615/D612)*BK90</f>
        <v>67062.163978332683</v>
      </c>
      <c r="E635" s="218">
        <f>(E623/E612)*SUM(C635:D635)</f>
        <v>-49083.62388282163</v>
      </c>
      <c r="F635" s="218">
        <f>(F624/F612)*BK64</f>
        <v>2171.3099303002668</v>
      </c>
      <c r="G635" s="216">
        <f>(G625/G612)*BK91</f>
        <v>0</v>
      </c>
      <c r="H635" s="218">
        <f>(H628/H612)*BK60</f>
        <v>243257.50125149044</v>
      </c>
      <c r="I635" s="216">
        <f>(I629/I612)*BK92</f>
        <v>26953.107995699269</v>
      </c>
      <c r="J635" s="216">
        <f>(J630/J612)*BK93</f>
        <v>0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40266681.310000002</v>
      </c>
      <c r="D636" s="216">
        <f>(D615/D612)*BH90</f>
        <v>581757.37311244977</v>
      </c>
      <c r="E636" s="218">
        <f>(E623/E612)*SUM(C636:D636)</f>
        <v>-85989.7589215513</v>
      </c>
      <c r="F636" s="218">
        <f>(F624/F612)*BH64</f>
        <v>713.86609791895921</v>
      </c>
      <c r="G636" s="216">
        <f>(G625/G612)*BH91</f>
        <v>0</v>
      </c>
      <c r="H636" s="218">
        <f>(H628/H612)*BH60</f>
        <v>28636.139256009861</v>
      </c>
      <c r="I636" s="216">
        <f>(I629/I612)*BH92</f>
        <v>233496.99650754526</v>
      </c>
      <c r="J636" s="216">
        <f>(J630/J612)*BH93</f>
        <v>0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7888374.1400000015</v>
      </c>
      <c r="D637" s="216">
        <f>(D615/D612)*BL90</f>
        <v>248654.36108838581</v>
      </c>
      <c r="E637" s="218">
        <f>(E623/E612)*SUM(C637:D637)</f>
        <v>-17129.2010589294</v>
      </c>
      <c r="F637" s="218">
        <f>(F624/F612)*BL64</f>
        <v>179.5184772648461</v>
      </c>
      <c r="G637" s="216">
        <f>(G625/G612)*BL91</f>
        <v>0</v>
      </c>
      <c r="H637" s="218">
        <f>(H628/H612)*BL60</f>
        <v>92177.619322090555</v>
      </c>
      <c r="I637" s="216">
        <f>(I629/I612)*BL92</f>
        <v>99794.123869381161</v>
      </c>
      <c r="J637" s="216">
        <f>(J630/J612)*BL93</f>
        <v>0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>
        <f>BM85</f>
        <v>2505880.73</v>
      </c>
      <c r="D638" s="216">
        <f>(D615/D612)*BM90</f>
        <v>73746.915577453183</v>
      </c>
      <c r="E638" s="218">
        <f>(E623/E612)*SUM(C638:D638)</f>
        <v>-5430.3558838903573</v>
      </c>
      <c r="F638" s="218">
        <f>(F624/F612)*BM64</f>
        <v>4.4873682885184092</v>
      </c>
      <c r="G638" s="216">
        <f>(G625/G612)*BM91</f>
        <v>0</v>
      </c>
      <c r="H638" s="218">
        <f>(H628/H612)*BM60</f>
        <v>9294.9396882812671</v>
      </c>
      <c r="I638" s="216">
        <f>(I629/I612)*BM92</f>
        <v>29561.473285605651</v>
      </c>
      <c r="J638" s="216">
        <f>(J630/J612)*BM93</f>
        <v>282.98580448737891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>
        <f>BS85</f>
        <v>0</v>
      </c>
      <c r="D639" s="216">
        <f>(D615/D612)*BS90</f>
        <v>0</v>
      </c>
      <c r="E639" s="218">
        <f>(E623/E612)*SUM(C639:D639)</f>
        <v>0</v>
      </c>
      <c r="F639" s="218">
        <f>(F624/F612)*BS64</f>
        <v>0</v>
      </c>
      <c r="G639" s="216">
        <f>(G625/G612)*BS91</f>
        <v>0</v>
      </c>
      <c r="H639" s="218">
        <f>(H628/H612)*BS60</f>
        <v>0</v>
      </c>
      <c r="I639" s="216">
        <f>(I629/I612)*BS92</f>
        <v>0</v>
      </c>
      <c r="J639" s="216">
        <f>(J630/J612)*BS93</f>
        <v>0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>
        <f>BT85</f>
        <v>37824.370000000003</v>
      </c>
      <c r="D640" s="216">
        <f>(D615/D612)*BT90</f>
        <v>25911.0784461322</v>
      </c>
      <c r="E640" s="218">
        <f>(E623/E612)*SUM(C640:D640)</f>
        <v>-134.16904105335257</v>
      </c>
      <c r="F640" s="218">
        <f>(F624/F612)*BT64</f>
        <v>1.1538471785383306</v>
      </c>
      <c r="G640" s="216">
        <f>(G625/G612)*BT91</f>
        <v>0</v>
      </c>
      <c r="H640" s="218">
        <f>(H628/H612)*BT60</f>
        <v>0</v>
      </c>
      <c r="I640" s="216">
        <f>(I629/I612)*BT92</f>
        <v>10433.461159625524</v>
      </c>
      <c r="J640" s="216">
        <f>(J630/J612)*BT93</f>
        <v>0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>
        <f>BU85</f>
        <v>1054594.6299999999</v>
      </c>
      <c r="D641" s="216">
        <f>(D615/D612)*BU90</f>
        <v>103399.00179923997</v>
      </c>
      <c r="E641" s="218">
        <f>(E623/E612)*SUM(C641:D641)</f>
        <v>-2437.6841916426733</v>
      </c>
      <c r="F641" s="218">
        <f>(F624/F612)*BU64</f>
        <v>20.209102494715683</v>
      </c>
      <c r="G641" s="216">
        <f>(G625/G612)*BU91</f>
        <v>0</v>
      </c>
      <c r="H641" s="218">
        <f>(H628/H612)*BU60</f>
        <v>0</v>
      </c>
      <c r="I641" s="216">
        <f>(I629/I612)*BU92</f>
        <v>41540.632394805325</v>
      </c>
      <c r="J641" s="216">
        <f>(J630/J612)*BU93</f>
        <v>0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>
        <f>BV85</f>
        <v>6128929.8300000001</v>
      </c>
      <c r="D642" s="216">
        <f>(D615/D612)*BV90</f>
        <v>423715.12659012392</v>
      </c>
      <c r="E642" s="218">
        <f>(E623/E612)*SUM(C642:D642)</f>
        <v>-13793.926482400646</v>
      </c>
      <c r="F642" s="218">
        <f>(F624/F612)*BV64</f>
        <v>79.817982255935533</v>
      </c>
      <c r="G642" s="216">
        <f>(G625/G612)*BV91</f>
        <v>0</v>
      </c>
      <c r="H642" s="218">
        <f>(H628/H612)*BV60</f>
        <v>44337.452294856092</v>
      </c>
      <c r="I642" s="216">
        <f>(I629/I612)*BV92</f>
        <v>170026.77445315669</v>
      </c>
      <c r="J642" s="216">
        <f>(J630/J612)*BV93</f>
        <v>0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>
        <f>BW85</f>
        <v>-14865240.959999999</v>
      </c>
      <c r="D643" s="216">
        <f>(D615/D612)*BW90</f>
        <v>0</v>
      </c>
      <c r="E643" s="218">
        <f>(E623/E612)*SUM(C643:D643)</f>
        <v>31292.713446833088</v>
      </c>
      <c r="F643" s="218">
        <f>(F624/F612)*BW64</f>
        <v>0</v>
      </c>
      <c r="G643" s="216">
        <f>(G625/G612)*BW91</f>
        <v>0</v>
      </c>
      <c r="H643" s="218">
        <f>(H628/H612)*BW60</f>
        <v>5758.8949334407944</v>
      </c>
      <c r="I643" s="216">
        <f>(I629/I612)*BW92</f>
        <v>0</v>
      </c>
      <c r="J643" s="216">
        <f>(J630/J612)*BW93</f>
        <v>0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>
        <f>BX85</f>
        <v>3026132.4600000004</v>
      </c>
      <c r="D644" s="216">
        <f>(D615/D612)*BX90</f>
        <v>370881.05775854312</v>
      </c>
      <c r="E644" s="218">
        <f>(E623/E612)*SUM(C644:D644)</f>
        <v>-7151.0290934588766</v>
      </c>
      <c r="F644" s="218">
        <f>(F624/F612)*BX64</f>
        <v>110.34236496027725</v>
      </c>
      <c r="G644" s="216">
        <f>(G625/G612)*BX91</f>
        <v>0</v>
      </c>
      <c r="H644" s="218">
        <f>(H628/H612)*BX60</f>
        <v>13816.386319820174</v>
      </c>
      <c r="I644" s="216">
        <f>(I629/I612)*BX92</f>
        <v>148870.03376836047</v>
      </c>
      <c r="J644" s="216">
        <f>(J630/J612)*BX93</f>
        <v>0</v>
      </c>
      <c r="K644" s="218">
        <f>SUM(C631:J644)</f>
        <v>105359091.46479428</v>
      </c>
      <c r="L644" s="218"/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>
        <f>BY85</f>
        <v>5631368.3500000006</v>
      </c>
      <c r="D645" s="216">
        <f>(D615/D612)*BY90</f>
        <v>198856.02807475423</v>
      </c>
      <c r="E645" s="218">
        <f>(E623/E612)*SUM(C645:D645)</f>
        <v>-12273.164039840358</v>
      </c>
      <c r="F645" s="218">
        <f>(F624/F612)*BY64</f>
        <v>575.96745105441005</v>
      </c>
      <c r="G645" s="216">
        <f>(G625/G612)*BY91</f>
        <v>0</v>
      </c>
      <c r="H645" s="218">
        <f>(H628/H612)*BY60</f>
        <v>37487.640087752203</v>
      </c>
      <c r="I645" s="216">
        <f>(I629/I612)*BY92</f>
        <v>79796.656646765579</v>
      </c>
      <c r="J645" s="216">
        <f>(J630/J612)*BY93</f>
        <v>0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>
        <f>BZ85</f>
        <v>0</v>
      </c>
      <c r="D646" s="216">
        <f>(D615/D612)*BZ90</f>
        <v>0</v>
      </c>
      <c r="E646" s="218">
        <f>(E623/E612)*SUM(C646:D646)</f>
        <v>0</v>
      </c>
      <c r="F646" s="218">
        <f>(F624/F612)*BZ64</f>
        <v>0</v>
      </c>
      <c r="G646" s="216">
        <f>(G625/G612)*BZ91</f>
        <v>0</v>
      </c>
      <c r="H646" s="218">
        <f>(H628/H612)*BZ60</f>
        <v>0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>
        <f>CA85</f>
        <v>2783684.5500000003</v>
      </c>
      <c r="D647" s="216">
        <f>(D615/D612)*CA90</f>
        <v>111310.31332480459</v>
      </c>
      <c r="E647" s="218">
        <f>(E623/E612)*SUM(C647:D647)</f>
        <v>-6094.2331800638931</v>
      </c>
      <c r="F647" s="218">
        <f>(F624/F612)*CA64</f>
        <v>40.172316295570774</v>
      </c>
      <c r="G647" s="216">
        <f>(G625/G612)*CA91</f>
        <v>0</v>
      </c>
      <c r="H647" s="218">
        <f>(H628/H612)*CA60</f>
        <v>16264.665197352142</v>
      </c>
      <c r="I647" s="216">
        <f>(I629/I612)*CA92</f>
        <v>44728.634415802015</v>
      </c>
      <c r="J647" s="216">
        <f>(J630/J612)*CA93</f>
        <v>0</v>
      </c>
      <c r="K647" s="218">
        <v>0</v>
      </c>
      <c r="L647" s="218">
        <f>SUM(C645:K647)</f>
        <v>8885745.580294678</v>
      </c>
      <c r="N647" s="212" t="s">
        <v>613</v>
      </c>
    </row>
    <row r="648" spans="1:14" s="202" customFormat="1" ht="12.6" customHeight="1" x14ac:dyDescent="0.2">
      <c r="A648" s="211"/>
      <c r="B648" s="211"/>
      <c r="C648" s="202">
        <f>SUM(C614:C647)</f>
        <v>165893328.30000004</v>
      </c>
      <c r="L648" s="214"/>
    </row>
    <row r="666" spans="1:14" s="202" customFormat="1" ht="12.6" customHeight="1" x14ac:dyDescent="0.2">
      <c r="C666" s="209" t="s">
        <v>614</v>
      </c>
      <c r="M666" s="209" t="s">
        <v>615</v>
      </c>
    </row>
    <row r="667" spans="1:14" s="202" customFormat="1" ht="12.6" customHeight="1" x14ac:dyDescent="0.2">
      <c r="C667" s="209" t="s">
        <v>544</v>
      </c>
      <c r="D667" s="209" t="s">
        <v>545</v>
      </c>
      <c r="E667" s="210" t="s">
        <v>546</v>
      </c>
      <c r="F667" s="209" t="s">
        <v>547</v>
      </c>
      <c r="G667" s="209" t="s">
        <v>548</v>
      </c>
      <c r="H667" s="209" t="s">
        <v>549</v>
      </c>
      <c r="I667" s="209" t="s">
        <v>550</v>
      </c>
      <c r="J667" s="209" t="s">
        <v>551</v>
      </c>
      <c r="K667" s="209" t="s">
        <v>552</v>
      </c>
      <c r="L667" s="210" t="s">
        <v>553</v>
      </c>
      <c r="M667" s="209" t="s">
        <v>616</v>
      </c>
    </row>
    <row r="668" spans="1:14" s="202" customFormat="1" ht="12.6" customHeight="1" x14ac:dyDescent="0.2">
      <c r="A668" s="211">
        <v>6010</v>
      </c>
      <c r="B668" s="210" t="s">
        <v>343</v>
      </c>
      <c r="C668" s="216">
        <f>C85</f>
        <v>19472887.5</v>
      </c>
      <c r="D668" s="216">
        <f>(D615/D612)*C90</f>
        <v>736947.86780579307</v>
      </c>
      <c r="E668" s="218">
        <f>(E623/E612)*SUM(C668:D668)</f>
        <v>-42543.581276224351</v>
      </c>
      <c r="F668" s="218">
        <f>(F624/F612)*C64</f>
        <v>11250.660474461594</v>
      </c>
      <c r="G668" s="216">
        <f>(G625/G612)*C91</f>
        <v>220116.58360463608</v>
      </c>
      <c r="H668" s="218">
        <f>(H628/H612)*C60</f>
        <v>76548.829943231292</v>
      </c>
      <c r="I668" s="216">
        <f>(I629/I612)*C92</f>
        <v>295711.33897790487</v>
      </c>
      <c r="J668" s="216">
        <f>(J630/J612)*C93</f>
        <v>49130.659422105688</v>
      </c>
      <c r="K668" s="216">
        <f>(K644/K612)*C89</f>
        <v>1729789.5158805109</v>
      </c>
      <c r="L668" s="216">
        <f>(L647/L612)*C94</f>
        <v>351021.5837588635</v>
      </c>
      <c r="M668" s="202">
        <f t="shared" ref="M668:M713" si="0">ROUND(SUM(D668:L668),0)</f>
        <v>3427973</v>
      </c>
      <c r="N668" s="210" t="s">
        <v>617</v>
      </c>
    </row>
    <row r="669" spans="1:14" s="202" customFormat="1" ht="12.6" customHeight="1" x14ac:dyDescent="0.2">
      <c r="A669" s="211">
        <v>6030</v>
      </c>
      <c r="B669" s="210" t="s">
        <v>344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>
        <f>(K644/K612)*D89</f>
        <v>0</v>
      </c>
      <c r="L669" s="216">
        <f>(L647/L612)*D94</f>
        <v>0</v>
      </c>
      <c r="M669" s="202">
        <f t="shared" si="0"/>
        <v>0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>
        <f>E85</f>
        <v>76713319.189999983</v>
      </c>
      <c r="D670" s="216">
        <f>(D615/D612)*E90</f>
        <v>3963076.4503372991</v>
      </c>
      <c r="E670" s="218">
        <f>(E623/E612)*SUM(C670:D670)</f>
        <v>-169831.30899052773</v>
      </c>
      <c r="F670" s="218">
        <f>(F624/F612)*E64</f>
        <v>21060.088735360689</v>
      </c>
      <c r="G670" s="216">
        <f>(G625/G612)*E91</f>
        <v>4831381.5507525643</v>
      </c>
      <c r="H670" s="218">
        <f>(H628/H612)*E60</f>
        <v>451714.11475475703</v>
      </c>
      <c r="I670" s="216">
        <f>(I629/I612)*E92</f>
        <v>1590329.9778681053</v>
      </c>
      <c r="J670" s="216">
        <f>(J630/J612)*E93</f>
        <v>434576.81920696469</v>
      </c>
      <c r="K670" s="216">
        <f>(K644/K612)*E89</f>
        <v>8347118.2423874047</v>
      </c>
      <c r="L670" s="216">
        <f>(L647/L612)*E94</f>
        <v>2120524.2928578146</v>
      </c>
      <c r="M670" s="202">
        <f t="shared" si="0"/>
        <v>21589950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>
        <f>F85</f>
        <v>6683526.3700000001</v>
      </c>
      <c r="D671" s="216">
        <f>(D615/D612)*F90</f>
        <v>473421.46760927222</v>
      </c>
      <c r="E671" s="218">
        <f>(E623/E612)*SUM(C671:D671)</f>
        <v>-15066.04019664937</v>
      </c>
      <c r="F671" s="218">
        <f>(F624/F612)*F64</f>
        <v>1901.0972982122046</v>
      </c>
      <c r="G671" s="216">
        <f>(G625/G612)*F91</f>
        <v>103127.33153365973</v>
      </c>
      <c r="H671" s="218">
        <f>(H628/H612)*F60</f>
        <v>36965.422257181614</v>
      </c>
      <c r="I671" s="216">
        <f>(I629/I612)*F92</f>
        <v>190024.24167577227</v>
      </c>
      <c r="J671" s="216">
        <f>(J630/J612)*F93</f>
        <v>5629.3650191393708</v>
      </c>
      <c r="K671" s="216">
        <f>(K644/K612)*F89</f>
        <v>389663.25870619132</v>
      </c>
      <c r="L671" s="216">
        <f>(L647/L612)*F94</f>
        <v>158606.81794371523</v>
      </c>
      <c r="M671" s="202">
        <f t="shared" si="0"/>
        <v>1344273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>
        <f>(K644/K612)*G89</f>
        <v>0</v>
      </c>
      <c r="L672" s="216">
        <f>(L647/L612)*G94</f>
        <v>0</v>
      </c>
      <c r="M672" s="202">
        <f t="shared" si="0"/>
        <v>0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>
        <f>H85</f>
        <v>0</v>
      </c>
      <c r="D673" s="216">
        <f>(D615/D612)*H90</f>
        <v>0</v>
      </c>
      <c r="E673" s="218">
        <f>(E623/E612)*SUM(C673:D673)</f>
        <v>0</v>
      </c>
      <c r="F673" s="218">
        <f>(F624/F612)*H64</f>
        <v>0</v>
      </c>
      <c r="G673" s="216">
        <f>(G625/G612)*H91</f>
        <v>0</v>
      </c>
      <c r="H673" s="218">
        <f>(H628/H612)*H60</f>
        <v>0</v>
      </c>
      <c r="I673" s="216">
        <f>(I629/I612)*H92</f>
        <v>0</v>
      </c>
      <c r="J673" s="216">
        <f>(J630/J612)*H93</f>
        <v>0</v>
      </c>
      <c r="K673" s="216">
        <f>(K644/K612)*H89</f>
        <v>0</v>
      </c>
      <c r="L673" s="216">
        <f>(L647/L612)*H94</f>
        <v>0</v>
      </c>
      <c r="M673" s="202">
        <f t="shared" si="0"/>
        <v>0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>
        <f>(K644/K612)*I89</f>
        <v>0</v>
      </c>
      <c r="L674" s="216">
        <f>(L647/L612)*I94</f>
        <v>0</v>
      </c>
      <c r="M674" s="202">
        <f t="shared" si="0"/>
        <v>0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1314406.57</v>
      </c>
      <c r="D675" s="216">
        <f>(D615/D612)*J90</f>
        <v>63106.508215550377</v>
      </c>
      <c r="E675" s="218">
        <f>(E623/E612)*SUM(C675:D675)</f>
        <v>-2899.7930233257516</v>
      </c>
      <c r="F675" s="218">
        <f>(F624/F612)*J64</f>
        <v>180.75927738481028</v>
      </c>
      <c r="G675" s="216">
        <f>(G625/G612)*J91</f>
        <v>0</v>
      </c>
      <c r="H675" s="218">
        <f>(H628/H612)*J60</f>
        <v>0</v>
      </c>
      <c r="I675" s="216">
        <f>(I629/I612)*J92</f>
        <v>25310.803924276734</v>
      </c>
      <c r="J675" s="216">
        <f>(J630/J612)*J93</f>
        <v>3691.2454773890199</v>
      </c>
      <c r="K675" s="216">
        <f>(K644/K612)*J89</f>
        <v>147763.84479007995</v>
      </c>
      <c r="L675" s="216">
        <f>(L647/L612)*J94</f>
        <v>0</v>
      </c>
      <c r="M675" s="202">
        <f t="shared" si="0"/>
        <v>237153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349</v>
      </c>
      <c r="C676" s="216">
        <f>K85</f>
        <v>11322147.390000002</v>
      </c>
      <c r="D676" s="216">
        <f>(D615/D612)*K90</f>
        <v>0</v>
      </c>
      <c r="E676" s="218">
        <f>(E623/E612)*SUM(C676:D676)</f>
        <v>-23834.172270160041</v>
      </c>
      <c r="F676" s="218">
        <f>(F624/F612)*K64</f>
        <v>7782.4949142427831</v>
      </c>
      <c r="G676" s="216">
        <f>(G625/G612)*K91</f>
        <v>0</v>
      </c>
      <c r="H676" s="218">
        <f>(H628/H612)*K60</f>
        <v>162470.69010814058</v>
      </c>
      <c r="I676" s="216">
        <f>(I629/I612)*K92</f>
        <v>0</v>
      </c>
      <c r="J676" s="216">
        <f>(J630/J612)*K93</f>
        <v>462.96327332612225</v>
      </c>
      <c r="K676" s="216">
        <f>(K644/K612)*K89</f>
        <v>375382.45442901738</v>
      </c>
      <c r="L676" s="216">
        <f>(L647/L612)*K94</f>
        <v>460171.0717109706</v>
      </c>
      <c r="M676" s="202">
        <f t="shared" si="0"/>
        <v>982436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350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>
        <f>(K644/K612)*L89</f>
        <v>0</v>
      </c>
      <c r="L677" s="216">
        <f>(L647/L612)*L94</f>
        <v>0</v>
      </c>
      <c r="M677" s="202">
        <f t="shared" si="0"/>
        <v>0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>
        <f>(K644/K612)*M89</f>
        <v>0</v>
      </c>
      <c r="L678" s="216">
        <f>(L647/L612)*M94</f>
        <v>0</v>
      </c>
      <c r="M678" s="202">
        <f t="shared" si="0"/>
        <v>0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>
        <f>N85</f>
        <v>30.100000000002183</v>
      </c>
      <c r="D679" s="216">
        <f>(D615/D612)*N90</f>
        <v>0</v>
      </c>
      <c r="E679" s="218">
        <f>(E623/E612)*SUM(C679:D679)</f>
        <v>-6.3363296786394255E-2</v>
      </c>
      <c r="F679" s="218">
        <f>(F624/F612)*N64</f>
        <v>69.489051122787473</v>
      </c>
      <c r="G679" s="216">
        <f>(G625/G612)*N91</f>
        <v>1540.2133930351779</v>
      </c>
      <c r="H679" s="218">
        <f>(H628/H612)*N60</f>
        <v>0</v>
      </c>
      <c r="I679" s="216">
        <f>(I629/I612)*N92</f>
        <v>0</v>
      </c>
      <c r="J679" s="216">
        <f>(J630/J612)*N93</f>
        <v>0</v>
      </c>
      <c r="K679" s="216">
        <f>(K644/K612)*N89</f>
        <v>0</v>
      </c>
      <c r="L679" s="216">
        <f>(L647/L612)*N94</f>
        <v>0</v>
      </c>
      <c r="M679" s="202">
        <f t="shared" si="0"/>
        <v>1610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>
        <f>O85</f>
        <v>0</v>
      </c>
      <c r="D680" s="216">
        <f>(D615/D612)*O90</f>
        <v>0</v>
      </c>
      <c r="E680" s="218">
        <f>(E623/E612)*SUM(C680:D680)</f>
        <v>0</v>
      </c>
      <c r="F680" s="218">
        <f>(F624/F612)*O64</f>
        <v>0</v>
      </c>
      <c r="G680" s="216">
        <f>(G625/G612)*O91</f>
        <v>0</v>
      </c>
      <c r="H680" s="218">
        <f>(H628/H612)*O60</f>
        <v>0</v>
      </c>
      <c r="I680" s="216">
        <f>(I629/I612)*O92</f>
        <v>0</v>
      </c>
      <c r="J680" s="216">
        <f>(J630/J612)*O93</f>
        <v>0</v>
      </c>
      <c r="K680" s="216">
        <f>(K644/K612)*O89</f>
        <v>0</v>
      </c>
      <c r="L680" s="216">
        <f>(L647/L612)*O94</f>
        <v>0</v>
      </c>
      <c r="M680" s="202">
        <f t="shared" si="0"/>
        <v>0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82944527.620000005</v>
      </c>
      <c r="D681" s="216">
        <f>(D615/D612)*P90</f>
        <v>1422533.5386917384</v>
      </c>
      <c r="E681" s="218">
        <f>(E623/E612)*SUM(C681:D681)</f>
        <v>-177600.50283035458</v>
      </c>
      <c r="F681" s="218">
        <f>(F624/F612)*P64</f>
        <v>298898.17069549515</v>
      </c>
      <c r="G681" s="216">
        <f>(G625/G612)*P91</f>
        <v>0</v>
      </c>
      <c r="H681" s="218">
        <f>(H628/H612)*P60</f>
        <v>139785.72250703289</v>
      </c>
      <c r="I681" s="216">
        <f>(I629/I612)*P92</f>
        <v>570845.57400210388</v>
      </c>
      <c r="J681" s="216">
        <f>(J630/J612)*P93</f>
        <v>332592.62385426741</v>
      </c>
      <c r="K681" s="216">
        <f>(K644/K612)*P89</f>
        <v>17877104.71142371</v>
      </c>
      <c r="L681" s="216">
        <f>(L647/L612)*P94</f>
        <v>349370.80505420367</v>
      </c>
      <c r="M681" s="202">
        <f t="shared" si="0"/>
        <v>20813531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>
        <f>Q85</f>
        <v>15614882.119999999</v>
      </c>
      <c r="D682" s="216">
        <f>(D615/D612)*Q90</f>
        <v>867055.21200335387</v>
      </c>
      <c r="E682" s="218">
        <f>(E623/E612)*SUM(C682:D682)</f>
        <v>-34696.009527654613</v>
      </c>
      <c r="F682" s="218">
        <f>(F624/F612)*Q64</f>
        <v>6417.5945926809945</v>
      </c>
      <c r="G682" s="216">
        <f>(G625/G612)*Q91</f>
        <v>4330.4550470844133</v>
      </c>
      <c r="H682" s="218">
        <f>(H628/H612)*Q60</f>
        <v>83134.375903862252</v>
      </c>
      <c r="I682" s="216">
        <f>(I629/I612)*Q92</f>
        <v>347975.25089788088</v>
      </c>
      <c r="J682" s="216">
        <f>(J630/J612)*Q93</f>
        <v>7179.2855428833445</v>
      </c>
      <c r="K682" s="216">
        <f>(K644/K612)*Q89</f>
        <v>993265.61494521447</v>
      </c>
      <c r="L682" s="216">
        <f>(L647/L612)*Q94</f>
        <v>415203.8597960372</v>
      </c>
      <c r="M682" s="202">
        <f t="shared" si="0"/>
        <v>2689866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37586925.780000001</v>
      </c>
      <c r="D683" s="216">
        <f>(D615/D612)*R90</f>
        <v>574060.7095740129</v>
      </c>
      <c r="E683" s="218">
        <f>(E623/E612)*SUM(C683:D683)</f>
        <v>-80332.422345524406</v>
      </c>
      <c r="F683" s="218">
        <f>(F624/F612)*R64</f>
        <v>22156.972732244103</v>
      </c>
      <c r="G683" s="216">
        <f>(G625/G612)*R91</f>
        <v>0</v>
      </c>
      <c r="H683" s="218">
        <f>(H628/H612)*R60</f>
        <v>102471.10060746397</v>
      </c>
      <c r="I683" s="216">
        <f>(I629/I612)*R92</f>
        <v>230405.60060839698</v>
      </c>
      <c r="J683" s="216">
        <f>(J630/J612)*R93</f>
        <v>34156.721004091858</v>
      </c>
      <c r="K683" s="216">
        <f>(K644/K612)*R89</f>
        <v>2583872.2995500639</v>
      </c>
      <c r="L683" s="216">
        <f>(L647/L612)*R94</f>
        <v>37109.505280752688</v>
      </c>
      <c r="M683" s="202">
        <f t="shared" si="0"/>
        <v>3503900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>
        <f>S85</f>
        <v>14145387.24</v>
      </c>
      <c r="D684" s="216">
        <f>(D615/D612)*S90</f>
        <v>516473.72102746111</v>
      </c>
      <c r="E684" s="218">
        <f>(E623/E612)*SUM(C684:D684)</f>
        <v>-30864.579651639982</v>
      </c>
      <c r="F684" s="218">
        <f>(F624/F612)*S64</f>
        <v>13473.462376568716</v>
      </c>
      <c r="G684" s="216">
        <f>(G625/G612)*S91</f>
        <v>0</v>
      </c>
      <c r="H684" s="218">
        <f>(H628/H612)*S60</f>
        <v>149021.88954352605</v>
      </c>
      <c r="I684" s="216">
        <f>(I629/I612)*S92</f>
        <v>207220.1313647847</v>
      </c>
      <c r="J684" s="216">
        <f>(J630/J612)*S93</f>
        <v>0</v>
      </c>
      <c r="K684" s="216">
        <f>(K644/K612)*S89</f>
        <v>0</v>
      </c>
      <c r="L684" s="216">
        <f>(L647/L612)*S94</f>
        <v>0</v>
      </c>
      <c r="M684" s="202">
        <f t="shared" si="0"/>
        <v>855325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>
        <f>T85</f>
        <v>3929834.3200000003</v>
      </c>
      <c r="D685" s="216">
        <f>(D615/D612)*T90</f>
        <v>28364.198299020456</v>
      </c>
      <c r="E685" s="218">
        <f>(E623/E612)*SUM(C685:D685)</f>
        <v>-8332.3756629378295</v>
      </c>
      <c r="F685" s="218">
        <f>(F624/F612)*T64</f>
        <v>3524.2277235644578</v>
      </c>
      <c r="G685" s="216">
        <f>(G625/G612)*T91</f>
        <v>0</v>
      </c>
      <c r="H685" s="218">
        <f>(H628/H612)*T60</f>
        <v>19848.651533647168</v>
      </c>
      <c r="I685" s="216">
        <f>(I629/I612)*T92</f>
        <v>11399.522378109368</v>
      </c>
      <c r="J685" s="216">
        <f>(J630/J612)*T93</f>
        <v>795.56835788960973</v>
      </c>
      <c r="K685" s="216">
        <f>(K644/K612)*T89</f>
        <v>267605.89290520328</v>
      </c>
      <c r="L685" s="216">
        <f>(L647/L612)*T94</f>
        <v>105847.93054278748</v>
      </c>
      <c r="M685" s="202">
        <f t="shared" si="0"/>
        <v>429054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48368602.349999994</v>
      </c>
      <c r="D686" s="216">
        <f>(D615/D612)*U90</f>
        <v>913541.83321558638</v>
      </c>
      <c r="E686" s="218">
        <f>(E623/E612)*SUM(C686:D686)</f>
        <v>-103743.49262959255</v>
      </c>
      <c r="F686" s="218">
        <f>(F624/F612)*U64</f>
        <v>70652.448728320436</v>
      </c>
      <c r="G686" s="216">
        <f>(G625/G612)*U91</f>
        <v>0</v>
      </c>
      <c r="H686" s="218">
        <f>(H628/H612)*U60</f>
        <v>183795.09129552729</v>
      </c>
      <c r="I686" s="216">
        <f>(I629/I612)*U92</f>
        <v>366620.23241461907</v>
      </c>
      <c r="J686" s="216">
        <f>(J630/J612)*U93</f>
        <v>38271.630594959439</v>
      </c>
      <c r="K686" s="216">
        <f>(K644/K612)*U89</f>
        <v>6870642.4993635686</v>
      </c>
      <c r="L686" s="216">
        <f>(L647/L612)*U94</f>
        <v>396.18688911835608</v>
      </c>
      <c r="M686" s="202">
        <f t="shared" si="0"/>
        <v>8340176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>
        <f>V85</f>
        <v>0</v>
      </c>
      <c r="D687" s="216">
        <f>(D615/D612)*V90</f>
        <v>0</v>
      </c>
      <c r="E687" s="218">
        <f>(E623/E612)*SUM(C687:D687)</f>
        <v>0</v>
      </c>
      <c r="F687" s="218">
        <f>(F624/F612)*V64</f>
        <v>0</v>
      </c>
      <c r="G687" s="216">
        <f>(G625/G612)*V91</f>
        <v>0</v>
      </c>
      <c r="H687" s="218">
        <f>(H628/H612)*V60</f>
        <v>0</v>
      </c>
      <c r="I687" s="216">
        <f>(I629/I612)*V92</f>
        <v>0</v>
      </c>
      <c r="J687" s="216">
        <f>(J630/J612)*V93</f>
        <v>0</v>
      </c>
      <c r="K687" s="216">
        <f>(K644/K612)*V89</f>
        <v>0</v>
      </c>
      <c r="L687" s="216">
        <f>(L647/L612)*V94</f>
        <v>0</v>
      </c>
      <c r="M687" s="202">
        <f t="shared" si="0"/>
        <v>0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>
        <f>W85</f>
        <v>4724734.0699999994</v>
      </c>
      <c r="D688" s="216">
        <f>(D615/D612)*W90</f>
        <v>205356.79568490808</v>
      </c>
      <c r="E688" s="218">
        <f>(E623/E612)*SUM(C688:D688)</f>
        <v>-10378.299359012011</v>
      </c>
      <c r="F688" s="218">
        <f>(F624/F612)*W64</f>
        <v>2555.8920071444177</v>
      </c>
      <c r="G688" s="216">
        <f>(G625/G612)*W91</f>
        <v>0</v>
      </c>
      <c r="H688" s="218">
        <f>(H628/H612)*W60</f>
        <v>12695.207332386743</v>
      </c>
      <c r="I688" s="216">
        <f>(I629/I612)*W92</f>
        <v>82405.021936671954</v>
      </c>
      <c r="J688" s="216">
        <f>(J630/J612)*W93</f>
        <v>62255.62029509656</v>
      </c>
      <c r="K688" s="216">
        <f>(K644/K612)*W89</f>
        <v>1117485.5961208332</v>
      </c>
      <c r="L688" s="216">
        <f>(L647/L612)*W94</f>
        <v>0</v>
      </c>
      <c r="M688" s="202">
        <f t="shared" si="0"/>
        <v>1472376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>
        <f>X85</f>
        <v>6765390.580000001</v>
      </c>
      <c r="D689" s="216">
        <f>(D615/D612)*X90</f>
        <v>123361.26460211816</v>
      </c>
      <c r="E689" s="218">
        <f>(E623/E612)*SUM(C689:D689)</f>
        <v>-14501.462711538648</v>
      </c>
      <c r="F689" s="218">
        <f>(F624/F612)*X64</f>
        <v>4941.589404573625</v>
      </c>
      <c r="G689" s="216">
        <f>(G625/G612)*X91</f>
        <v>0</v>
      </c>
      <c r="H689" s="218">
        <f>(H628/H612)*X60</f>
        <v>18968.652292085266</v>
      </c>
      <c r="I689" s="216">
        <f>(I629/I612)*X92</f>
        <v>49462.334386372851</v>
      </c>
      <c r="J689" s="216">
        <f>(J630/J612)*X93</f>
        <v>103747.86496536815</v>
      </c>
      <c r="K689" s="216">
        <f>(K644/K612)*X89</f>
        <v>2414856.9062037771</v>
      </c>
      <c r="L689" s="216">
        <f>(L647/L612)*X94</f>
        <v>0</v>
      </c>
      <c r="M689" s="202">
        <f t="shared" si="0"/>
        <v>2700837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>
        <f>Y85</f>
        <v>30754912.969999999</v>
      </c>
      <c r="D690" s="216">
        <f>(D615/D612)*Y90</f>
        <v>1056620.048635294</v>
      </c>
      <c r="E690" s="218">
        <f>(E623/E612)*SUM(C690:D690)</f>
        <v>-66966.232820259873</v>
      </c>
      <c r="F690" s="218">
        <f>(F624/F612)*Y64</f>
        <v>35514.965445506314</v>
      </c>
      <c r="G690" s="216">
        <f>(G625/G612)*Y91</f>
        <v>89.287732929575526</v>
      </c>
      <c r="H690" s="218">
        <f>(H628/H612)*Y60</f>
        <v>114048.49400276203</v>
      </c>
      <c r="I690" s="216">
        <f>(I629/I612)*Y92</f>
        <v>424004.26879255945</v>
      </c>
      <c r="J690" s="216">
        <f>(J630/J612)*Y93</f>
        <v>303201.64486876252</v>
      </c>
      <c r="K690" s="216">
        <f>(K644/K612)*Y89</f>
        <v>3517416.2815710176</v>
      </c>
      <c r="L690" s="216">
        <f>(L647/L612)*Y94</f>
        <v>72370.138412286382</v>
      </c>
      <c r="M690" s="202">
        <f t="shared" si="0"/>
        <v>5456299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>
        <f>Z85</f>
        <v>12990264.52</v>
      </c>
      <c r="D691" s="216">
        <f>(D615/D612)*Z90</f>
        <v>346349.85922966059</v>
      </c>
      <c r="E691" s="218">
        <f>(E623/E612)*SUM(C691:D691)</f>
        <v>-28074.812459693054</v>
      </c>
      <c r="F691" s="218">
        <f>(F624/F612)*Z64</f>
        <v>1293.1391373112688</v>
      </c>
      <c r="G691" s="216">
        <f>(G625/G612)*Z91</f>
        <v>0</v>
      </c>
      <c r="H691" s="218">
        <f>(H628/H612)*Z60</f>
        <v>55111.103118573606</v>
      </c>
      <c r="I691" s="216">
        <f>(I629/I612)*Z92</f>
        <v>139016.20933982526</v>
      </c>
      <c r="J691" s="216">
        <f>(J630/J612)*Z93</f>
        <v>24892.662957100194</v>
      </c>
      <c r="K691" s="216">
        <f>(K644/K612)*Z89</f>
        <v>1139301.5976063053</v>
      </c>
      <c r="L691" s="216">
        <f>(L647/L612)*Z94</f>
        <v>27733.082238284929</v>
      </c>
      <c r="M691" s="202">
        <f t="shared" si="0"/>
        <v>1705623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>
        <f>AA85</f>
        <v>5989947.6100000003</v>
      </c>
      <c r="D692" s="216">
        <f>(D615/D612)*AA90</f>
        <v>186498.43681582963</v>
      </c>
      <c r="E692" s="218">
        <f>(E623/E612)*SUM(C692:D692)</f>
        <v>-13001.992822243012</v>
      </c>
      <c r="F692" s="218">
        <f>(F624/F612)*AA64</f>
        <v>19782.740848723304</v>
      </c>
      <c r="G692" s="216">
        <f>(G625/G612)*AA91</f>
        <v>0</v>
      </c>
      <c r="H692" s="218">
        <f>(H628/H612)*AA60</f>
        <v>5717.5706908475704</v>
      </c>
      <c r="I692" s="216">
        <f>(I629/I612)*AA92</f>
        <v>74869.744432497973</v>
      </c>
      <c r="J692" s="216">
        <f>(J630/J612)*AA93</f>
        <v>23857.465575749859</v>
      </c>
      <c r="K692" s="216">
        <f>(K644/K612)*AA89</f>
        <v>869205.35174790735</v>
      </c>
      <c r="L692" s="216">
        <f>(L647/L612)*AA94</f>
        <v>0</v>
      </c>
      <c r="M692" s="202">
        <f t="shared" si="0"/>
        <v>1166929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15663845.310000025</v>
      </c>
      <c r="D693" s="216">
        <f>(D615/D612)*AB90</f>
        <v>306517.32561838755</v>
      </c>
      <c r="E693" s="218">
        <f>(E623/E612)*SUM(C693:D693)</f>
        <v>-33619.097258038462</v>
      </c>
      <c r="F693" s="218">
        <f>(F624/F612)*AB64</f>
        <v>74457.240613693808</v>
      </c>
      <c r="G693" s="216">
        <f>(G625/G612)*AB91</f>
        <v>0</v>
      </c>
      <c r="H693" s="218">
        <f>(H628/H612)*AB60</f>
        <v>94858.09260824199</v>
      </c>
      <c r="I693" s="216">
        <f>(I629/I612)*AB92</f>
        <v>122979.59311299343</v>
      </c>
      <c r="J693" s="216">
        <f>(J630/J612)*AB93</f>
        <v>0</v>
      </c>
      <c r="K693" s="216">
        <f>(K644/K612)*AB89</f>
        <v>2058639.7291761062</v>
      </c>
      <c r="L693" s="216">
        <f>(L647/L612)*AB94</f>
        <v>264.12459274557074</v>
      </c>
      <c r="M693" s="202">
        <f t="shared" si="0"/>
        <v>2624097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>
        <f>AC85</f>
        <v>3258910.32</v>
      </c>
      <c r="D694" s="216">
        <f>(D615/D612)*AC90</f>
        <v>29314.782242014655</v>
      </c>
      <c r="E694" s="218">
        <f>(E623/E612)*SUM(C694:D694)</f>
        <v>-6922.0193705587126</v>
      </c>
      <c r="F694" s="218">
        <f>(F624/F612)*AC64</f>
        <v>1816.3622303609161</v>
      </c>
      <c r="G694" s="216">
        <f>(G625/G612)*AC91</f>
        <v>0</v>
      </c>
      <c r="H694" s="218">
        <f>(H628/H612)*AC60</f>
        <v>25475.377734853137</v>
      </c>
      <c r="I694" s="216">
        <f>(I629/I612)*AC92</f>
        <v>11785.946865502907</v>
      </c>
      <c r="J694" s="216">
        <f>(J630/J612)*AC93</f>
        <v>11490.690932988724</v>
      </c>
      <c r="K694" s="216">
        <f>(K644/K612)*AC89</f>
        <v>685347.86135875329</v>
      </c>
      <c r="L694" s="216">
        <f>(L647/L612)*AC94</f>
        <v>0</v>
      </c>
      <c r="M694" s="202">
        <f t="shared" si="0"/>
        <v>758309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2892236.72</v>
      </c>
      <c r="D695" s="216">
        <f>(D615/D612)*AD90</f>
        <v>48510.445090865251</v>
      </c>
      <c r="E695" s="218">
        <f>(E623/E612)*SUM(C695:D695)</f>
        <v>-6190.5460264248022</v>
      </c>
      <c r="F695" s="218">
        <f>(F624/F612)*AD64</f>
        <v>264.18821569642313</v>
      </c>
      <c r="G695" s="216">
        <f>(G625/G612)*AD91</f>
        <v>0</v>
      </c>
      <c r="H695" s="218">
        <f>(H628/H612)*AD60</f>
        <v>29.626686632970873</v>
      </c>
      <c r="I695" s="216">
        <f>(I629/I612)*AD92</f>
        <v>19417.830491525281</v>
      </c>
      <c r="J695" s="216">
        <f>(J630/J612)*AD93</f>
        <v>2248.6787561554506</v>
      </c>
      <c r="K695" s="216">
        <f>(K644/K612)*AD89</f>
        <v>242359.7105135938</v>
      </c>
      <c r="L695" s="216">
        <f>(L647/L612)*AD94</f>
        <v>0</v>
      </c>
      <c r="M695" s="202">
        <f t="shared" si="0"/>
        <v>306640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11596476.809999999</v>
      </c>
      <c r="D696" s="216">
        <f>(D615/D612)*AE90</f>
        <v>345000.64331057202</v>
      </c>
      <c r="E696" s="218">
        <f>(E623/E612)*SUM(C696:D696)</f>
        <v>-25137.919599405261</v>
      </c>
      <c r="F696" s="218">
        <f>(F624/F612)*AE64</f>
        <v>7005.8900895258457</v>
      </c>
      <c r="G696" s="216">
        <f>(G625/G612)*AE91</f>
        <v>0</v>
      </c>
      <c r="H696" s="218">
        <f>(H628/H612)*AE60</f>
        <v>77070.16941850906</v>
      </c>
      <c r="I696" s="216">
        <f>(I629/I612)*AE92</f>
        <v>138436.57260873495</v>
      </c>
      <c r="J696" s="216">
        <f>(J630/J612)*AE93</f>
        <v>0</v>
      </c>
      <c r="K696" s="216">
        <f>(K644/K612)*AE89</f>
        <v>834830.74256934866</v>
      </c>
      <c r="L696" s="216">
        <f>(L647/L612)*AE94</f>
        <v>98254.348501352317</v>
      </c>
      <c r="M696" s="202">
        <f t="shared" si="0"/>
        <v>1475460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>
        <f>AF85</f>
        <v>760935.99</v>
      </c>
      <c r="D697" s="216">
        <f>(D615/D612)*AF90</f>
        <v>31798.566093064012</v>
      </c>
      <c r="E697" s="218">
        <f>(E623/E612)*SUM(C697:D697)</f>
        <v>-1668.7798986894245</v>
      </c>
      <c r="F697" s="218">
        <f>(F624/F612)*AF64</f>
        <v>1.6856022708596938</v>
      </c>
      <c r="G697" s="216">
        <f>(G625/G612)*AF91</f>
        <v>0</v>
      </c>
      <c r="H697" s="218">
        <f>(H628/H612)*AF60</f>
        <v>6285.8606304589739</v>
      </c>
      <c r="I697" s="216">
        <f>(I629/I612)*AF92</f>
        <v>12752.008083986751</v>
      </c>
      <c r="J697" s="216">
        <f>(J630/J612)*AF93</f>
        <v>0</v>
      </c>
      <c r="K697" s="216">
        <f>(K644/K612)*AF89</f>
        <v>15637.59488906616</v>
      </c>
      <c r="L697" s="216">
        <f>(L647/L612)*AF94</f>
        <v>6405.02137408009</v>
      </c>
      <c r="M697" s="202">
        <f t="shared" si="0"/>
        <v>71212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>
        <f>AG85</f>
        <v>18563660.359999999</v>
      </c>
      <c r="D698" s="216">
        <f>(D615/D612)*AG90</f>
        <v>463271.68421794707</v>
      </c>
      <c r="E698" s="218">
        <f>(E623/E612)*SUM(C698:D698)</f>
        <v>-40053.459868845501</v>
      </c>
      <c r="F698" s="218">
        <f>(F624/F612)*AG64</f>
        <v>7700.0667377530699</v>
      </c>
      <c r="G698" s="216">
        <f>(G625/G612)*AG91</f>
        <v>493917.41663317941</v>
      </c>
      <c r="H698" s="218">
        <f>(H628/H612)*AG60</f>
        <v>66263.592140977504</v>
      </c>
      <c r="I698" s="216">
        <f>(I629/I612)*AG92</f>
        <v>185870.17843629172</v>
      </c>
      <c r="J698" s="216">
        <f>(J630/J612)*AG93</f>
        <v>287295.07029143954</v>
      </c>
      <c r="K698" s="216">
        <f>(K644/K612)*AG89</f>
        <v>2660208.1469731648</v>
      </c>
      <c r="L698" s="216">
        <f>(L647/L612)*AG94</f>
        <v>172077.17217373932</v>
      </c>
      <c r="M698" s="202">
        <f t="shared" si="0"/>
        <v>4296550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>
        <f>(K644/K612)*AH89</f>
        <v>0</v>
      </c>
      <c r="L699" s="216">
        <f>(L647/L612)*AH94</f>
        <v>0</v>
      </c>
      <c r="M699" s="202">
        <f t="shared" si="0"/>
        <v>0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>
        <f>AI85</f>
        <v>0</v>
      </c>
      <c r="D700" s="216">
        <f>(D615/D612)*AI90</f>
        <v>0</v>
      </c>
      <c r="E700" s="218">
        <f>(E623/E612)*SUM(C700:D700)</f>
        <v>0</v>
      </c>
      <c r="F700" s="218">
        <f>(F624/F612)*AI64</f>
        <v>0</v>
      </c>
      <c r="G700" s="216">
        <f>(G625/G612)*AI91</f>
        <v>0</v>
      </c>
      <c r="H700" s="218">
        <f>(H628/H612)*AI60</f>
        <v>0</v>
      </c>
      <c r="I700" s="216">
        <f>(I629/I612)*AI92</f>
        <v>0</v>
      </c>
      <c r="J700" s="216">
        <f>(J630/J612)*AI93</f>
        <v>0</v>
      </c>
      <c r="K700" s="216">
        <f>(K644/K612)*AI89</f>
        <v>0</v>
      </c>
      <c r="L700" s="216">
        <f>(L647/L612)*AI94</f>
        <v>0</v>
      </c>
      <c r="M700" s="202">
        <f t="shared" si="0"/>
        <v>0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281964070.40999991</v>
      </c>
      <c r="D701" s="216">
        <f>(D615/D612)*AJ90</f>
        <v>6637989.0019248137</v>
      </c>
      <c r="E701" s="218">
        <f>(E623/E612)*SUM(C701:D701)</f>
        <v>-607534.15095285873</v>
      </c>
      <c r="F701" s="218">
        <f>(F624/F612)*AJ64</f>
        <v>444781.76651055756</v>
      </c>
      <c r="G701" s="216">
        <f>(G625/G612)*AJ91</f>
        <v>4352.7769803168067</v>
      </c>
      <c r="H701" s="218">
        <f>(H628/H612)*AJ60</f>
        <v>1048196.4520891447</v>
      </c>
      <c r="I701" s="216">
        <f>(I629/I612)*AJ92</f>
        <v>2663817.2038473533</v>
      </c>
      <c r="J701" s="216">
        <f>(J630/J612)*AJ93</f>
        <v>237249.02799971387</v>
      </c>
      <c r="K701" s="216">
        <f>(K644/K612)*AJ89</f>
        <v>27048071.974132076</v>
      </c>
      <c r="L701" s="216">
        <f>(L647/L612)*AJ94</f>
        <v>1886245.7790924935</v>
      </c>
      <c r="M701" s="202">
        <f t="shared" si="0"/>
        <v>39363170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>
        <f>AK85</f>
        <v>0</v>
      </c>
      <c r="D702" s="216">
        <f>(D615/D612)*AK90</f>
        <v>0</v>
      </c>
      <c r="E702" s="218">
        <f>(E623/E612)*SUM(C702:D702)</f>
        <v>0</v>
      </c>
      <c r="F702" s="218">
        <f>(F624/F612)*AK64</f>
        <v>0</v>
      </c>
      <c r="G702" s="216">
        <f>(G625/G612)*AK91</f>
        <v>0</v>
      </c>
      <c r="H702" s="218">
        <f>(H628/H612)*AK60</f>
        <v>0</v>
      </c>
      <c r="I702" s="216">
        <f>(I629/I612)*AK92</f>
        <v>0</v>
      </c>
      <c r="J702" s="216">
        <f>(J630/J612)*AK93</f>
        <v>0</v>
      </c>
      <c r="K702" s="216">
        <f>(K644/K612)*AK89</f>
        <v>0</v>
      </c>
      <c r="L702" s="216">
        <f>(L647/L612)*AK94</f>
        <v>0</v>
      </c>
      <c r="M702" s="202">
        <f t="shared" si="0"/>
        <v>0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>
        <f>AL85</f>
        <v>0</v>
      </c>
      <c r="D703" s="216">
        <f>(D615/D612)*AL90</f>
        <v>0</v>
      </c>
      <c r="E703" s="218">
        <f>(E623/E612)*SUM(C703:D703)</f>
        <v>0</v>
      </c>
      <c r="F703" s="218">
        <f>(F624/F612)*AL64</f>
        <v>0</v>
      </c>
      <c r="G703" s="216">
        <f>(G625/G612)*AL91</f>
        <v>0</v>
      </c>
      <c r="H703" s="218">
        <f>(H628/H612)*AL60</f>
        <v>0</v>
      </c>
      <c r="I703" s="216">
        <f>(I629/I612)*AL92</f>
        <v>0</v>
      </c>
      <c r="J703" s="216">
        <f>(J630/J612)*AL93</f>
        <v>0</v>
      </c>
      <c r="K703" s="216">
        <f>(K644/K612)*AL89</f>
        <v>0</v>
      </c>
      <c r="L703" s="216">
        <f>(L647/L612)*AL94</f>
        <v>0</v>
      </c>
      <c r="M703" s="202">
        <f t="shared" si="0"/>
        <v>0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>
        <f>(K644/K612)*AM89</f>
        <v>0</v>
      </c>
      <c r="L704" s="216">
        <f>(L647/L612)*AM94</f>
        <v>0</v>
      </c>
      <c r="M704" s="202">
        <f t="shared" si="0"/>
        <v>0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>
        <f>(K644/K612)*AN89</f>
        <v>0</v>
      </c>
      <c r="L705" s="216">
        <f>(L647/L612)*AN94</f>
        <v>0</v>
      </c>
      <c r="M705" s="202">
        <f t="shared" si="0"/>
        <v>0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>
        <f>(K644/K612)*AO89</f>
        <v>0</v>
      </c>
      <c r="L706" s="216">
        <f>(L647/L612)*AO94</f>
        <v>0</v>
      </c>
      <c r="M706" s="202">
        <f t="shared" si="0"/>
        <v>0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206107612.32999989</v>
      </c>
      <c r="D707" s="216">
        <f>(D615/D612)*AP90</f>
        <v>8628695.7625436336</v>
      </c>
      <c r="E707" s="218">
        <f>(E623/E612)*SUM(C707:D707)</f>
        <v>-452039.88107911777</v>
      </c>
      <c r="F707" s="218">
        <f>(F624/F612)*AP64</f>
        <v>230697.98356196954</v>
      </c>
      <c r="G707" s="216">
        <f>(G625/G612)*AP91</f>
        <v>0</v>
      </c>
      <c r="H707" s="218">
        <f>(H628/H612)*AP60</f>
        <v>991542.65439992084</v>
      </c>
      <c r="I707" s="216">
        <f>(I629/I612)*AP92</f>
        <v>3527379.3270500624</v>
      </c>
      <c r="J707" s="216">
        <f>(J630/J612)*AP93</f>
        <v>356593.86684409372</v>
      </c>
      <c r="K707" s="216">
        <f>(K644/K612)*AP89</f>
        <v>18306855.22029493</v>
      </c>
      <c r="L707" s="216">
        <f>(L647/L612)*AP94</f>
        <v>2400892.5480572381</v>
      </c>
      <c r="M707" s="202">
        <f t="shared" si="0"/>
        <v>33990617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>
        <f>(K644/K612)*AQ89</f>
        <v>0</v>
      </c>
      <c r="L708" s="216">
        <f>(L647/L612)*AQ94</f>
        <v>0</v>
      </c>
      <c r="M708" s="202">
        <f t="shared" si="0"/>
        <v>0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>
        <f>AR85</f>
        <v>0</v>
      </c>
      <c r="D709" s="216">
        <f>(D615/D612)*AR90</f>
        <v>0</v>
      </c>
      <c r="E709" s="218">
        <f>(E623/E612)*SUM(C709:D709)</f>
        <v>0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>
        <f>(K644/K612)*AR89</f>
        <v>0</v>
      </c>
      <c r="L709" s="216">
        <f>(L647/L612)*AR94</f>
        <v>0</v>
      </c>
      <c r="M709" s="202">
        <f t="shared" si="0"/>
        <v>0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>
        <f>(K644/K612)*AS89</f>
        <v>0</v>
      </c>
      <c r="L710" s="216">
        <f>(L647/L612)*AS94</f>
        <v>0</v>
      </c>
      <c r="M710" s="202">
        <f t="shared" si="0"/>
        <v>0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>
        <f>AT85</f>
        <v>9182331.6799999978</v>
      </c>
      <c r="D711" s="216">
        <f>(D615/D612)*AT90</f>
        <v>67675.443941554753</v>
      </c>
      <c r="E711" s="218">
        <f>(E623/E612)*SUM(C711:D711)</f>
        <v>-19472.124474103894</v>
      </c>
      <c r="F711" s="218">
        <f>(F624/F612)*AT64</f>
        <v>20207.267535281582</v>
      </c>
      <c r="G711" s="216">
        <f>(G625/G612)*AT91</f>
        <v>0</v>
      </c>
      <c r="H711" s="218">
        <f>(H628/H612)*AT60</f>
        <v>24024.138941649264</v>
      </c>
      <c r="I711" s="216">
        <f>(I629/I612)*AT92</f>
        <v>27146.320239396038</v>
      </c>
      <c r="J711" s="216">
        <f>(J630/J612)*AT93</f>
        <v>0</v>
      </c>
      <c r="K711" s="216">
        <f>(K644/K612)*AT89</f>
        <v>348478.43347512127</v>
      </c>
      <c r="L711" s="216">
        <f>(L647/L612)*AT94</f>
        <v>48070.675879693874</v>
      </c>
      <c r="M711" s="202">
        <f t="shared" si="0"/>
        <v>516130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>
        <f>(K644/K612)*AU89</f>
        <v>0</v>
      </c>
      <c r="L712" s="216">
        <f>(L647/L612)*AU94</f>
        <v>0</v>
      </c>
      <c r="M712" s="202">
        <f t="shared" si="0"/>
        <v>0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>
        <f>AV85</f>
        <v>34095125.140000001</v>
      </c>
      <c r="D713" s="216">
        <f>(D615/D612)*AV90</f>
        <v>659091.97647475207</v>
      </c>
      <c r="E713" s="218">
        <f>(E623/E612)*SUM(C713:D713)</f>
        <v>-73160.856270093471</v>
      </c>
      <c r="F713" s="218">
        <f>(F624/F612)*AV64</f>
        <v>123147.33558950729</v>
      </c>
      <c r="G713" s="216">
        <f>(G625/G612)*AV91</f>
        <v>44.643866464787763</v>
      </c>
      <c r="H713" s="218">
        <f>(H628/H612)*AV60</f>
        <v>60001.518321420968</v>
      </c>
      <c r="I713" s="216">
        <f>(I629/I612)*AV92</f>
        <v>264507.56162087672</v>
      </c>
      <c r="J713" s="216">
        <f>(J630/J612)*AV93</f>
        <v>46831.179312976565</v>
      </c>
      <c r="K713" s="216">
        <f>(K644/K612)*AV89</f>
        <v>4518187.9837813154</v>
      </c>
      <c r="L713" s="216">
        <f>(L647/L612)*AV94</f>
        <v>175180.6361384998</v>
      </c>
      <c r="M713" s="202">
        <f t="shared" si="0"/>
        <v>5773832</v>
      </c>
      <c r="N713" s="212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1129300259.6699998</v>
      </c>
      <c r="D715" s="202">
        <f>SUM(D616:D647)+SUM(D668:D713)</f>
        <v>34084137.859999999</v>
      </c>
      <c r="E715" s="202">
        <f>SUM(E624:E647)+SUM(E668:E713)</f>
        <v>-2382296.933623109</v>
      </c>
      <c r="F715" s="202">
        <f>SUM(F625:F648)+SUM(F668:F713)</f>
        <v>1442762.4560493184</v>
      </c>
      <c r="G715" s="202">
        <f>SUM(G626:G647)+SUM(G668:G713)</f>
        <v>5658900.2595438706</v>
      </c>
      <c r="H715" s="202">
        <f>SUM(H629:H647)+SUM(H668:H713)</f>
        <v>4678182.9909876389</v>
      </c>
      <c r="I715" s="202">
        <f>SUM(I630:I647)+SUM(I668:I713)</f>
        <v>12699454.35370123</v>
      </c>
      <c r="J715" s="202">
        <f>SUM(J631:J647)+SUM(J668:J713)</f>
        <v>2366433.6403569491</v>
      </c>
      <c r="K715" s="202">
        <f>SUM(K668:K713)</f>
        <v>105359091.46479428</v>
      </c>
      <c r="L715" s="202">
        <f>SUM(L668:L713)</f>
        <v>8885745.5802946799</v>
      </c>
      <c r="M715" s="202">
        <f>SUM(M668:M713)</f>
        <v>165893328</v>
      </c>
      <c r="N715" s="210" t="s">
        <v>697</v>
      </c>
    </row>
    <row r="716" spans="1:14" s="202" customFormat="1" ht="12.6" customHeight="1" x14ac:dyDescent="0.2">
      <c r="C716" s="213">
        <f>CE85</f>
        <v>1129300259.6699994</v>
      </c>
      <c r="D716" s="202">
        <f>D615</f>
        <v>34084137.859999999</v>
      </c>
      <c r="E716" s="202">
        <f>E623</f>
        <v>-2382296.933623109</v>
      </c>
      <c r="F716" s="202">
        <f>F624</f>
        <v>1442762.4560493184</v>
      </c>
      <c r="G716" s="202">
        <f>G625</f>
        <v>5658900.2595438696</v>
      </c>
      <c r="H716" s="202">
        <f>H628</f>
        <v>4678182.990987638</v>
      </c>
      <c r="I716" s="202">
        <f>I629</f>
        <v>12699454.35370123</v>
      </c>
      <c r="J716" s="202">
        <f>J630</f>
        <v>2366433.6403569495</v>
      </c>
      <c r="K716" s="202">
        <f>K644</f>
        <v>105359091.46479428</v>
      </c>
      <c r="L716" s="202">
        <f>L647</f>
        <v>8885745.580294678</v>
      </c>
      <c r="M716" s="202">
        <f>C648</f>
        <v>165893328.30000004</v>
      </c>
      <c r="N716" s="210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customFormat="1" ht="15.75" customHeight="1" x14ac:dyDescent="0.25">
      <c r="A2" s="11" t="str">
        <f>MONTH(data!C96) &amp; "-" &amp; DAY(data!C96)</f>
        <v>6-30</v>
      </c>
      <c r="B2" s="201" t="str">
        <f>RIGHT(data!C97, 3)</f>
        <v>010</v>
      </c>
      <c r="C2" s="11" t="str">
        <f>SUBSTITUTE(LEFT(data!C98,49),",","")</f>
        <v>Virginia Mason Medical Center</v>
      </c>
      <c r="D2" s="11" t="str">
        <f>LEFT(data!C99, 49)</f>
        <v>PO Box 900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98111</v>
      </c>
      <c r="H2" s="11" t="str">
        <f>LEFT(data!C103, 100)</f>
        <v>King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(206) 625-7371</v>
      </c>
      <c r="L2" s="11" t="str">
        <f>LEFT(data!C108, 49)</f>
        <v>(206) 625-7333</v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A9" sqref="A9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  <c r="O1" s="12" t="s">
        <v>1085</v>
      </c>
      <c r="P1" s="12" t="s">
        <v>1086</v>
      </c>
      <c r="Q1" s="12" t="s">
        <v>1087</v>
      </c>
      <c r="R1" s="12" t="s">
        <v>1088</v>
      </c>
      <c r="S1" s="12" t="s">
        <v>1089</v>
      </c>
      <c r="T1" s="12" t="s">
        <v>1090</v>
      </c>
      <c r="U1" s="12" t="s">
        <v>1091</v>
      </c>
      <c r="V1" s="12" t="s">
        <v>1092</v>
      </c>
      <c r="W1" s="12" t="s">
        <v>1093</v>
      </c>
      <c r="X1" s="12" t="s">
        <v>1094</v>
      </c>
      <c r="Y1" s="12" t="s">
        <v>1095</v>
      </c>
      <c r="Z1" s="12" t="s">
        <v>1096</v>
      </c>
      <c r="AA1" s="12" t="s">
        <v>1097</v>
      </c>
      <c r="AB1" s="12" t="s">
        <v>1098</v>
      </c>
      <c r="AC1" s="12" t="s">
        <v>1099</v>
      </c>
      <c r="AD1" s="12" t="s">
        <v>1100</v>
      </c>
      <c r="AE1" s="12" t="s">
        <v>1101</v>
      </c>
      <c r="AF1" s="12" t="s">
        <v>1102</v>
      </c>
      <c r="AG1" s="12" t="s">
        <v>1103</v>
      </c>
      <c r="AH1" s="12" t="s">
        <v>1104</v>
      </c>
      <c r="AI1" s="12" t="s">
        <v>1105</v>
      </c>
      <c r="AJ1" s="12" t="s">
        <v>1106</v>
      </c>
      <c r="AK1" s="12" t="s">
        <v>1107</v>
      </c>
      <c r="AL1" s="12" t="s">
        <v>1108</v>
      </c>
      <c r="AM1" s="12" t="s">
        <v>1109</v>
      </c>
      <c r="AN1" s="12" t="s">
        <v>1110</v>
      </c>
      <c r="AO1" s="12" t="s">
        <v>1111</v>
      </c>
      <c r="AP1" s="12" t="s">
        <v>1112</v>
      </c>
      <c r="AQ1" s="12" t="s">
        <v>1113</v>
      </c>
      <c r="AR1" s="12" t="s">
        <v>1114</v>
      </c>
      <c r="AS1" s="12" t="s">
        <v>1115</v>
      </c>
      <c r="AT1" s="12" t="s">
        <v>1116</v>
      </c>
      <c r="AU1" s="12" t="s">
        <v>1117</v>
      </c>
      <c r="AV1" s="12" t="s">
        <v>1118</v>
      </c>
      <c r="AW1" s="12" t="s">
        <v>1119</v>
      </c>
      <c r="AX1" s="12" t="s">
        <v>1120</v>
      </c>
      <c r="AY1" s="12" t="s">
        <v>1121</v>
      </c>
      <c r="AZ1" s="12" t="s">
        <v>1122</v>
      </c>
      <c r="BA1" s="12" t="s">
        <v>1123</v>
      </c>
      <c r="BB1" s="12" t="s">
        <v>1124</v>
      </c>
      <c r="BC1" s="12" t="s">
        <v>1125</v>
      </c>
      <c r="BD1" s="12" t="s">
        <v>1126</v>
      </c>
      <c r="BE1" s="12" t="s">
        <v>1127</v>
      </c>
      <c r="BF1" s="12" t="s">
        <v>1128</v>
      </c>
      <c r="BG1" s="12" t="s">
        <v>1129</v>
      </c>
      <c r="BH1" s="12" t="s">
        <v>1130</v>
      </c>
      <c r="BI1" s="12" t="s">
        <v>1131</v>
      </c>
      <c r="BJ1" s="12" t="s">
        <v>1132</v>
      </c>
      <c r="BK1" s="12" t="s">
        <v>1133</v>
      </c>
      <c r="BL1" s="12" t="s">
        <v>1134</v>
      </c>
      <c r="BM1" s="12" t="s">
        <v>1135</v>
      </c>
      <c r="BN1" s="12" t="s">
        <v>1136</v>
      </c>
      <c r="BO1" s="12" t="s">
        <v>1137</v>
      </c>
      <c r="BP1" s="12" t="s">
        <v>1138</v>
      </c>
      <c r="BQ1" s="12" t="s">
        <v>1139</v>
      </c>
      <c r="BR1" s="12" t="s">
        <v>1140</v>
      </c>
      <c r="BS1" s="12" t="s">
        <v>1141</v>
      </c>
      <c r="BT1" s="12" t="s">
        <v>1142</v>
      </c>
      <c r="BU1" s="12" t="s">
        <v>1143</v>
      </c>
      <c r="BV1" s="12" t="s">
        <v>1144</v>
      </c>
      <c r="BW1" s="12" t="s">
        <v>1145</v>
      </c>
      <c r="BX1" s="12" t="s">
        <v>1146</v>
      </c>
      <c r="BY1" s="12" t="s">
        <v>1147</v>
      </c>
      <c r="BZ1" s="12" t="s">
        <v>1148</v>
      </c>
      <c r="CA1" s="12" t="s">
        <v>1149</v>
      </c>
      <c r="CB1" s="12" t="s">
        <v>1150</v>
      </c>
      <c r="CC1" s="12" t="s">
        <v>1151</v>
      </c>
      <c r="CD1" s="12" t="s">
        <v>1152</v>
      </c>
      <c r="CE1" s="12" t="s">
        <v>1153</v>
      </c>
      <c r="CF1" s="12" t="s">
        <v>1154</v>
      </c>
    </row>
    <row r="2" spans="1:84" s="169" customFormat="1" ht="12.6" customHeight="1" x14ac:dyDescent="0.25">
      <c r="A2" s="12" t="str">
        <f>RIGHT(data!C97,3)</f>
        <v>010</v>
      </c>
      <c r="B2" s="200" t="str">
        <f>RIGHT(data!C96,4)</f>
        <v>2024</v>
      </c>
      <c r="C2" s="12" t="s">
        <v>1155</v>
      </c>
      <c r="D2" s="199">
        <f>ROUND(N(data!C181),0)</f>
        <v>38893319</v>
      </c>
      <c r="E2" s="199">
        <f>ROUND(N(data!C182),0)</f>
        <v>974394</v>
      </c>
      <c r="F2" s="199">
        <f>ROUND(N(data!C183),0)</f>
        <v>1396700</v>
      </c>
      <c r="G2" s="199">
        <f>ROUND(N(data!C184),0)</f>
        <v>22101218</v>
      </c>
      <c r="H2" s="199">
        <f>ROUND(N(data!C185),0)</f>
        <v>640134</v>
      </c>
      <c r="I2" s="199">
        <f>ROUND(N(data!C186),0)</f>
        <v>18377032</v>
      </c>
      <c r="J2" s="199">
        <f>ROUND(N(data!C187)+N(data!C188),0)</f>
        <v>794307</v>
      </c>
      <c r="K2" s="199">
        <f>ROUND(N(data!C191),0)</f>
        <v>13597574</v>
      </c>
      <c r="L2" s="199">
        <f>ROUND(N(data!C192),0)</f>
        <v>4940180</v>
      </c>
      <c r="M2" s="199">
        <f>ROUND(N(data!C195),0)</f>
        <v>7792387</v>
      </c>
      <c r="N2" s="199">
        <f>ROUND(N(data!C196),0)</f>
        <v>262818</v>
      </c>
      <c r="O2" s="199">
        <f>ROUND(N(data!C199),0)</f>
        <v>2404261</v>
      </c>
      <c r="P2" s="199">
        <f>ROUND(N(data!C200),0)</f>
        <v>0</v>
      </c>
      <c r="Q2" s="199">
        <f>ROUND(N(data!C201),0)</f>
        <v>0</v>
      </c>
      <c r="R2" s="199">
        <f>ROUND(N(data!C204),0)</f>
        <v>0</v>
      </c>
      <c r="S2" s="199">
        <f>ROUND(N(data!C205),0)</f>
        <v>13577874</v>
      </c>
      <c r="T2" s="199">
        <f>ROUND(N(data!B211),0)</f>
        <v>115413741</v>
      </c>
      <c r="U2" s="199">
        <f>ROUND(N(data!C211),0)</f>
        <v>0</v>
      </c>
      <c r="V2" s="199">
        <f>ROUND(N(data!D211),0)</f>
        <v>0</v>
      </c>
      <c r="W2" s="199">
        <f>ROUND(N(data!B212),0)</f>
        <v>299662</v>
      </c>
      <c r="X2" s="199">
        <f>ROUND(N(data!C212),0)</f>
        <v>0</v>
      </c>
      <c r="Y2" s="199">
        <f>ROUND(N(data!D212),0)</f>
        <v>0</v>
      </c>
      <c r="Z2" s="199">
        <f>ROUND(N(data!B213),0)</f>
        <v>326899254</v>
      </c>
      <c r="AA2" s="199">
        <f>ROUND(N(data!C213),0)</f>
        <v>9629778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3732329</v>
      </c>
      <c r="AG2" s="199">
        <f>ROUND(N(data!C215),0)</f>
        <v>298441</v>
      </c>
      <c r="AH2" s="199">
        <f>ROUND(N(data!D215),0)</f>
        <v>0</v>
      </c>
      <c r="AI2" s="199">
        <f>ROUND(N(data!B216),0)</f>
        <v>102092682</v>
      </c>
      <c r="AJ2" s="199">
        <f>ROUND(N(data!C216),0)</f>
        <v>16814197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28107330</v>
      </c>
      <c r="AP2" s="199">
        <f>ROUND(N(data!C218),0)</f>
        <v>182422</v>
      </c>
      <c r="AQ2" s="199">
        <f>ROUND(N(data!D218),0)</f>
        <v>0</v>
      </c>
      <c r="AR2" s="199">
        <f>ROUND(N(data!B219),0)</f>
        <v>23146683</v>
      </c>
      <c r="AS2" s="199">
        <f>ROUND(N(data!C219),0)</f>
        <v>-12134539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42399</v>
      </c>
      <c r="AY2" s="199">
        <f>ROUND(N(data!C225),0)</f>
        <v>16960</v>
      </c>
      <c r="AZ2" s="199">
        <f>ROUND(N(data!D225),0)</f>
        <v>0</v>
      </c>
      <c r="BA2" s="199">
        <f>ROUND(N(data!B226),0)</f>
        <v>36071628</v>
      </c>
      <c r="BB2" s="199">
        <f>ROUND(N(data!C226),0)</f>
        <v>15687421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1294798</v>
      </c>
      <c r="BH2" s="199">
        <f>ROUND(N(data!C228),0)</f>
        <v>482786</v>
      </c>
      <c r="BI2" s="199">
        <f>ROUND(N(data!D228),0)</f>
        <v>0</v>
      </c>
      <c r="BJ2" s="199">
        <f>ROUND(N(data!B229),0)</f>
        <v>50364917</v>
      </c>
      <c r="BK2" s="199">
        <f>ROUND(N(data!C229),0)</f>
        <v>14158857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5974692</v>
      </c>
      <c r="BQ2" s="199">
        <f>ROUND(N(data!C231),0)</f>
        <v>1806279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916700230</v>
      </c>
      <c r="BW2" s="199">
        <f>ROUND(N(data!C240),0)</f>
        <v>209162393</v>
      </c>
      <c r="BX2" s="199">
        <f>ROUND(N(data!C241),0)</f>
        <v>0</v>
      </c>
      <c r="BY2" s="199">
        <f>ROUND(N(data!C242),0)</f>
        <v>25535459</v>
      </c>
      <c r="BZ2" s="199">
        <f>ROUND(N(data!C243),0)</f>
        <v>1142810956</v>
      </c>
      <c r="CA2" s="199">
        <f>ROUND(N(data!C244),0)</f>
        <v>0</v>
      </c>
      <c r="CB2" s="199">
        <f>ROUND(N(data!C247),0)</f>
        <v>10766</v>
      </c>
      <c r="CC2" s="199">
        <f>ROUND(N(data!C249),0)</f>
        <v>7009560</v>
      </c>
      <c r="CD2" s="199">
        <f>ROUND(N(data!C250),0)</f>
        <v>13924032</v>
      </c>
      <c r="CE2" s="199">
        <f>ROUND(N(data!C254)+N(data!C255),0)</f>
        <v>47534577</v>
      </c>
      <c r="CF2" s="199">
        <f>ROUND(N(data!D237),0)</f>
        <v>22963865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69" customFormat="1" ht="12.6" customHeight="1" x14ac:dyDescent="0.25">
      <c r="A2" s="12" t="str">
        <f>RIGHT(data!C97,3)</f>
        <v>010</v>
      </c>
      <c r="B2" s="12" t="str">
        <f>RIGHT(data!C96,4)</f>
        <v>2024</v>
      </c>
      <c r="C2" s="12" t="s">
        <v>1155</v>
      </c>
      <c r="D2" s="198">
        <f>ROUND(N(data!C127),0)</f>
        <v>12839</v>
      </c>
      <c r="E2" s="198">
        <f>ROUND(N(data!C128),0)</f>
        <v>29</v>
      </c>
      <c r="F2" s="198">
        <f>ROUND(N(data!C129),0)</f>
        <v>0</v>
      </c>
      <c r="G2" s="198">
        <f>ROUND(N(data!C130),0)</f>
        <v>0</v>
      </c>
      <c r="H2" s="198">
        <f>ROUND(N(data!D127),0)</f>
        <v>63288</v>
      </c>
      <c r="I2" s="198">
        <f>ROUND(N(data!D128),0)</f>
        <v>10617</v>
      </c>
      <c r="J2" s="198">
        <f>ROUND(N(data!D129),0)</f>
        <v>0</v>
      </c>
      <c r="K2" s="198">
        <f>ROUND(N(data!D130),0)</f>
        <v>0</v>
      </c>
      <c r="L2" s="198">
        <f>ROUND(N(data!C132),0)</f>
        <v>28</v>
      </c>
      <c r="M2" s="198">
        <f>ROUND(N(data!C133),0)</f>
        <v>24</v>
      </c>
      <c r="N2" s="198">
        <f>ROUND(N(data!C134),0)</f>
        <v>162</v>
      </c>
      <c r="O2" s="198">
        <f>ROUND(N(data!C135),0)</f>
        <v>0</v>
      </c>
      <c r="P2" s="198">
        <f>ROUND(N(data!C136),0)</f>
        <v>10</v>
      </c>
      <c r="Q2" s="198">
        <f>ROUND(N(data!C137),0)</f>
        <v>18</v>
      </c>
      <c r="R2" s="198">
        <f>ROUND(N(data!C138),0)</f>
        <v>0</v>
      </c>
      <c r="S2" s="198">
        <f>ROUND(N(data!C139),0)</f>
        <v>35</v>
      </c>
      <c r="T2" s="198">
        <f>ROUND(N(data!C140),0)</f>
        <v>0</v>
      </c>
      <c r="U2" s="198">
        <f>ROUND(N(data!C141),0)</f>
        <v>0</v>
      </c>
      <c r="V2" s="198">
        <f>ROUND(N(data!C142),0)</f>
        <v>5</v>
      </c>
      <c r="W2" s="198">
        <f>ROUND(N(data!C144),0)</f>
        <v>371</v>
      </c>
      <c r="X2" s="198">
        <f>ROUND(N(data!C145),0)</f>
        <v>0</v>
      </c>
      <c r="Y2" s="198">
        <f>ROUND(N(data!B154),0)</f>
        <v>7164</v>
      </c>
      <c r="Z2" s="198">
        <f>ROUND(N(data!B155),0)</f>
        <v>38493</v>
      </c>
      <c r="AA2" s="198">
        <f>ROUND(N(data!B156),0)</f>
        <v>0</v>
      </c>
      <c r="AB2" s="198">
        <f>ROUND(N(data!B157),0)</f>
        <v>513668392</v>
      </c>
      <c r="AC2" s="198">
        <f>ROUND(N(data!B158),0)</f>
        <v>869354796</v>
      </c>
      <c r="AD2" s="198">
        <f>ROUND(N(data!C154),0)</f>
        <v>1396</v>
      </c>
      <c r="AE2" s="198">
        <f>ROUND(N(data!C155),0)</f>
        <v>7822</v>
      </c>
      <c r="AF2" s="198">
        <f>ROUND(N(data!C156),0)</f>
        <v>0</v>
      </c>
      <c r="AG2" s="198">
        <f>ROUND(N(data!C157),0)</f>
        <v>133048259</v>
      </c>
      <c r="AH2" s="198">
        <f>ROUND(N(data!C158),0)</f>
        <v>133082002</v>
      </c>
      <c r="AI2" s="198">
        <f>ROUND(N(data!D154),0)</f>
        <v>4279</v>
      </c>
      <c r="AJ2" s="198">
        <f>ROUND(N(data!D155),0)</f>
        <v>16973</v>
      </c>
      <c r="AK2" s="198">
        <f>ROUND(N(data!D156),0)</f>
        <v>0</v>
      </c>
      <c r="AL2" s="198">
        <f>ROUND(N(data!D157),0)</f>
        <v>497348397</v>
      </c>
      <c r="AM2" s="198">
        <f>ROUND(N(data!D158),0)</f>
        <v>1421404027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29</v>
      </c>
      <c r="AT2" s="198">
        <f>ROUND(N(data!C161),0)</f>
        <v>10617</v>
      </c>
      <c r="AU2" s="198">
        <f>ROUND(N(data!C162),0)</f>
        <v>0</v>
      </c>
      <c r="AV2" s="198">
        <f>ROUND(N(data!C163),0)</f>
        <v>11928834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107975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197" t="s">
        <v>1321</v>
      </c>
      <c r="CR1" s="197" t="s">
        <v>1322</v>
      </c>
      <c r="CS1" s="197" t="s">
        <v>1323</v>
      </c>
      <c r="CT1" s="197" t="s">
        <v>1324</v>
      </c>
      <c r="CU1" s="197" t="s">
        <v>1325</v>
      </c>
      <c r="CV1" s="197" t="s">
        <v>1326</v>
      </c>
      <c r="CW1" s="197" t="s">
        <v>1327</v>
      </c>
      <c r="CX1" s="197" t="s">
        <v>1328</v>
      </c>
      <c r="CY1" s="197" t="s">
        <v>1329</v>
      </c>
      <c r="CZ1" s="197" t="s">
        <v>1330</v>
      </c>
      <c r="DA1" s="197" t="s">
        <v>1331</v>
      </c>
      <c r="DB1" s="197" t="s">
        <v>1332</v>
      </c>
      <c r="DC1" s="197" t="s">
        <v>1333</v>
      </c>
      <c r="DD1" s="197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69" customFormat="1" ht="12.6" customHeight="1" x14ac:dyDescent="0.25">
      <c r="A2" s="199" t="str">
        <f>RIGHT(data!C97,3)</f>
        <v>010</v>
      </c>
      <c r="B2" s="200" t="str">
        <f>RIGHT(data!C96,4)</f>
        <v>2024</v>
      </c>
      <c r="C2" s="12" t="s">
        <v>1155</v>
      </c>
      <c r="D2" s="198">
        <f>ROUND(N(data!C181),0)</f>
        <v>38893319</v>
      </c>
      <c r="E2" s="198">
        <f>ROUND(N(data!C267),0)</f>
        <v>0</v>
      </c>
      <c r="F2" s="198">
        <f>ROUND(N(data!C268),0)</f>
        <v>659740134</v>
      </c>
      <c r="G2" s="198">
        <f>ROUND(N(data!C269),0)</f>
        <v>453616971</v>
      </c>
      <c r="H2" s="198">
        <f>ROUND(N(data!C270),0)</f>
        <v>0</v>
      </c>
      <c r="I2" s="198">
        <f>ROUND(N(data!C271),0)</f>
        <v>314081182</v>
      </c>
      <c r="J2" s="198">
        <f>ROUND(N(data!C272),0)</f>
        <v>0</v>
      </c>
      <c r="K2" s="198">
        <f>ROUND(N(data!C273),0)</f>
        <v>37637908</v>
      </c>
      <c r="L2" s="198">
        <f>ROUND(N(data!C274),0)</f>
        <v>3998251</v>
      </c>
      <c r="M2" s="198">
        <f>ROUND(N(data!C275),0)</f>
        <v>2242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115413741</v>
      </c>
      <c r="R2" s="198">
        <f>ROUND(N(data!C284),0)</f>
        <v>299662</v>
      </c>
      <c r="S2" s="198">
        <f>ROUND(N(data!C285),0)</f>
        <v>336529032</v>
      </c>
      <c r="T2" s="198">
        <f>ROUND(N(data!C286),0)</f>
        <v>0</v>
      </c>
      <c r="U2" s="198">
        <f>ROUND(N(data!C287),0)</f>
        <v>4030770</v>
      </c>
      <c r="V2" s="198">
        <f>ROUND(N(data!C288),0)</f>
        <v>118906878</v>
      </c>
      <c r="W2" s="198">
        <f>ROUND(N(data!C289),0)</f>
        <v>28289752</v>
      </c>
      <c r="X2" s="198">
        <f>ROUND(N(data!C290),0)</f>
        <v>11012144</v>
      </c>
      <c r="Y2" s="198">
        <f>ROUND(N(data!C291),0)</f>
        <v>0</v>
      </c>
      <c r="Z2" s="198">
        <f>ROUND(N(data!C292),0)</f>
        <v>125900736</v>
      </c>
      <c r="AA2" s="198">
        <f>ROUND(N(data!C295),0)</f>
        <v>0</v>
      </c>
      <c r="AB2" s="198">
        <f>ROUND(N(data!C296),0)</f>
        <v>0</v>
      </c>
      <c r="AC2" s="198">
        <f>ROUND(N(data!C297),0)</f>
        <v>88952713</v>
      </c>
      <c r="AD2" s="198">
        <f>ROUND(N(data!C298),0)</f>
        <v>106431857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33180241</v>
      </c>
      <c r="AI2" s="198">
        <f>ROUND(N(data!C314),0)</f>
        <v>0</v>
      </c>
      <c r="AJ2" s="198">
        <f>ROUND(N(data!C315),0)</f>
        <v>36766665</v>
      </c>
      <c r="AK2" s="198">
        <f>ROUND(N(data!C316),0)</f>
        <v>57856223</v>
      </c>
      <c r="AL2" s="198">
        <f>ROUND(N(data!C317),0)</f>
        <v>307139410</v>
      </c>
      <c r="AM2" s="198">
        <f>ROUND(N(data!C318),0)</f>
        <v>0</v>
      </c>
      <c r="AN2" s="198">
        <f>ROUND(N(data!C319),0)</f>
        <v>18018539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54810686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398089275</v>
      </c>
      <c r="AZ2" s="198">
        <f>ROUND(N(data!C335),0)</f>
        <v>0</v>
      </c>
      <c r="BA2" s="198">
        <f>ROUND(N(data!C336),0)</f>
        <v>0</v>
      </c>
      <c r="BB2" s="198">
        <f>ROUND(N(data!C337),0)</f>
        <v>62000424</v>
      </c>
      <c r="BC2" s="198">
        <f>ROUND(N(data!C338),0)</f>
        <v>0</v>
      </c>
      <c r="BD2" s="198">
        <f>ROUND(N(data!C339),0)</f>
        <v>0</v>
      </c>
      <c r="BE2" s="198">
        <f>ROUND(N(data!C343),0)</f>
        <v>343693284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4214.34</v>
      </c>
      <c r="BL2" s="198">
        <f>ROUND(N(data!C358),0)</f>
        <v>1144065048</v>
      </c>
      <c r="BM2" s="198">
        <f>ROUND(N(data!C359),0)</f>
        <v>2423840825</v>
      </c>
      <c r="BN2" s="198">
        <f>ROUND(N(data!C363),0)</f>
        <v>2294209037</v>
      </c>
      <c r="BO2" s="198">
        <f>ROUND(N(data!C364),0)</f>
        <v>20933592</v>
      </c>
      <c r="BP2" s="198">
        <f>ROUND(N(data!C365),0)</f>
        <v>47534577</v>
      </c>
      <c r="BQ2" s="198">
        <f>ROUND(N(data!D381),0)</f>
        <v>80184603</v>
      </c>
      <c r="BR2" s="198">
        <f>ROUND(N(data!C370),0)</f>
        <v>8101224</v>
      </c>
      <c r="BS2" s="198">
        <f>ROUND(N(data!C371),0)</f>
        <v>12076044</v>
      </c>
      <c r="BT2" s="198">
        <f>ROUND(N(data!C372),0)</f>
        <v>13085039</v>
      </c>
      <c r="BU2" s="198">
        <f>ROUND(N(data!C373),0)</f>
        <v>0</v>
      </c>
      <c r="BV2" s="198">
        <f>ROUND(N(data!C374),0)</f>
        <v>10171085</v>
      </c>
      <c r="BW2" s="198">
        <f>ROUND(N(data!C375),0)</f>
        <v>3520532</v>
      </c>
      <c r="BX2" s="198">
        <f>ROUND(N(data!C376),0)</f>
        <v>12094637</v>
      </c>
      <c r="BY2" s="198">
        <f>ROUND(N(data!C377),0)</f>
        <v>0</v>
      </c>
      <c r="BZ2" s="198">
        <f>ROUND(N(data!C378),0)</f>
        <v>3490862</v>
      </c>
      <c r="CA2" s="198">
        <f>ROUND(N(data!C379),0)</f>
        <v>2922756</v>
      </c>
      <c r="CB2" s="198">
        <f>ROUND(N(data!C380),0)</f>
        <v>14722423</v>
      </c>
      <c r="CC2" s="198">
        <f>ROUND(N(data!C382),0)</f>
        <v>0</v>
      </c>
      <c r="CD2" s="198">
        <f>ROUND(N(data!C389),0)</f>
        <v>593625569</v>
      </c>
      <c r="CE2" s="198">
        <f>ROUND(N(data!C390),0)</f>
        <v>83177105</v>
      </c>
      <c r="CF2" s="198">
        <f>ROUND(N(data!C391),0)</f>
        <v>8054166</v>
      </c>
      <c r="CG2" s="198">
        <f>ROUND(N(data!C392),0)</f>
        <v>268611613</v>
      </c>
      <c r="CH2" s="198">
        <f>ROUND(N(data!C393),0)</f>
        <v>14862304</v>
      </c>
      <c r="CI2" s="198">
        <f>ROUND(N(data!C394),0)</f>
        <v>63143309</v>
      </c>
      <c r="CJ2" s="198">
        <f>ROUND(N(data!C395),0)</f>
        <v>32152302</v>
      </c>
      <c r="CK2" s="198">
        <f>ROUND(N(data!C396),0)</f>
        <v>18537754</v>
      </c>
      <c r="CL2" s="198">
        <f>ROUND(N(data!C397),0)</f>
        <v>0</v>
      </c>
      <c r="CM2" s="198">
        <f>ROUND(N(data!C398),0)</f>
        <v>0</v>
      </c>
      <c r="CN2" s="198">
        <f>ROUND(N(data!C399),0)</f>
        <v>13577874</v>
      </c>
      <c r="CO2" s="198">
        <f>ROUND(N(data!C362),0)</f>
        <v>22963865</v>
      </c>
      <c r="CP2" s="198">
        <f>ROUND(N(data!D415),0)</f>
        <v>201379246</v>
      </c>
      <c r="CQ2" s="52">
        <f>ROUND(N(data!C401),0)</f>
        <v>3502307</v>
      </c>
      <c r="CR2" s="52">
        <f>ROUND(N(data!C402),0)</f>
        <v>76932759</v>
      </c>
      <c r="CS2" s="52">
        <f>ROUND(N(data!C403),0)</f>
        <v>0</v>
      </c>
      <c r="CT2" s="52">
        <f>ROUND(N(data!C404),0)</f>
        <v>8055205</v>
      </c>
      <c r="CU2" s="52">
        <f>ROUND(N(data!C405),0)</f>
        <v>2931571</v>
      </c>
      <c r="CV2" s="52">
        <f>ROUND(N(data!C406),0)</f>
        <v>1760272</v>
      </c>
      <c r="CW2" s="52">
        <f>ROUND(N(data!C407),0)</f>
        <v>8416598</v>
      </c>
      <c r="CX2" s="52">
        <f>ROUND(N(data!C408),0)</f>
        <v>33334454</v>
      </c>
      <c r="CY2" s="52">
        <f>ROUND(N(data!C409),0)</f>
        <v>0</v>
      </c>
      <c r="CZ2" s="52">
        <f>ROUND(N(data!C410),0)</f>
        <v>84557</v>
      </c>
      <c r="DA2" s="52">
        <f>ROUND(N(data!C411),0)</f>
        <v>912668</v>
      </c>
      <c r="DB2" s="52">
        <f>ROUND(N(data!C412),0)</f>
        <v>42232198</v>
      </c>
      <c r="DC2" s="52">
        <f>ROUND(N(data!C413),0)</f>
        <v>0</v>
      </c>
      <c r="DD2" s="52">
        <f>ROUND(N(data!C414),0)</f>
        <v>23216657</v>
      </c>
      <c r="DE2" s="52">
        <f>ROUND(N(data!C419),0)</f>
        <v>0</v>
      </c>
      <c r="DF2" s="198">
        <f>ROUND(N(data!D420),0)</f>
        <v>9723443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010</v>
      </c>
      <c r="B2" s="200" t="str">
        <f>RIGHT(data!$C$96,4)</f>
        <v>2024</v>
      </c>
      <c r="C2" s="12" t="str">
        <f>data!C$55</f>
        <v>6010</v>
      </c>
      <c r="D2" s="12" t="s">
        <v>1155</v>
      </c>
      <c r="E2" s="198">
        <f>ROUND(N(data!C59), 0)</f>
        <v>6847</v>
      </c>
      <c r="F2" s="314">
        <f>ROUND(N(data!C60), 2)</f>
        <v>73.62</v>
      </c>
      <c r="G2" s="198">
        <f>ROUND(N(data!C61), 0)</f>
        <v>9528144</v>
      </c>
      <c r="H2" s="198">
        <f>ROUND(N(data!C62), 0)</f>
        <v>2228607</v>
      </c>
      <c r="I2" s="198">
        <f>ROUND(N(data!C63), 0)</f>
        <v>0</v>
      </c>
      <c r="J2" s="198">
        <f>ROUND(N(data!C64), 0)</f>
        <v>2742946</v>
      </c>
      <c r="K2" s="198">
        <f>ROUND(N(data!C65), 0)</f>
        <v>10</v>
      </c>
      <c r="L2" s="198">
        <f>ROUND(N(data!C66), 0)</f>
        <v>90811</v>
      </c>
      <c r="M2" s="198">
        <f>ROUND(N(data!C67), 0)</f>
        <v>263368</v>
      </c>
      <c r="N2" s="198">
        <f>ROUND(N(data!C68), 0)</f>
        <v>1065647</v>
      </c>
      <c r="O2" s="198">
        <f>ROUND(N(data!C69), 0)</f>
        <v>6551267</v>
      </c>
      <c r="P2" s="198">
        <f>ROUND(N(data!C70), 0)</f>
        <v>0</v>
      </c>
      <c r="Q2" s="198">
        <f>ROUND(N(data!C71), 0)</f>
        <v>5002742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23012</v>
      </c>
      <c r="X2" s="198">
        <f>ROUND(N(data!C78), 0)</f>
        <v>0</v>
      </c>
      <c r="Y2" s="198">
        <f>ROUND(N(data!C79), 0)</f>
        <v>0</v>
      </c>
      <c r="Z2" s="198">
        <f>ROUND(N(data!C80), 0)</f>
        <v>976</v>
      </c>
      <c r="AA2" s="198">
        <f>ROUND(N(data!C81), 0)</f>
        <v>228036</v>
      </c>
      <c r="AB2" s="198">
        <f>ROUND(N(data!C82), 0)</f>
        <v>0</v>
      </c>
      <c r="AC2" s="198">
        <f>ROUND(N(data!C83), 0)</f>
        <v>1296502</v>
      </c>
      <c r="AD2" s="198">
        <f>ROUND(N(data!C84), 0)</f>
        <v>4187</v>
      </c>
      <c r="AE2" s="198">
        <f>ROUND(N(data!C89), 0)</f>
        <v>63501107</v>
      </c>
      <c r="AF2" s="198">
        <f>ROUND(N(data!C87), 0)</f>
        <v>63488989</v>
      </c>
      <c r="AG2" s="198">
        <f>ROUND(N(data!C90), 0)</f>
        <v>24033</v>
      </c>
      <c r="AH2" s="198">
        <f>ROUND(N(data!C91), 0)</f>
        <v>10495</v>
      </c>
      <c r="AI2" s="198">
        <f>ROUND(N(data!C92), 0)</f>
        <v>4552</v>
      </c>
      <c r="AJ2" s="198">
        <f>ROUND(N(data!C93), 0)</f>
        <v>53037</v>
      </c>
      <c r="AK2" s="314">
        <f>ROUND(N(data!C94), 2)</f>
        <v>57.72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010</v>
      </c>
      <c r="B3" s="200" t="str">
        <f>RIGHT(data!$C$96,4)</f>
        <v>2024</v>
      </c>
      <c r="C3" s="12" t="str">
        <f>data!D$55</f>
        <v>6030</v>
      </c>
      <c r="D3" s="12" t="s">
        <v>1155</v>
      </c>
      <c r="E3" s="198">
        <f>ROUND(N(data!D59), 0)</f>
        <v>0</v>
      </c>
      <c r="F3" s="314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14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010</v>
      </c>
      <c r="B4" s="200" t="str">
        <f>RIGHT(data!$C$96,4)</f>
        <v>2024</v>
      </c>
      <c r="C4" s="12" t="str">
        <f>data!E$55</f>
        <v>6070</v>
      </c>
      <c r="D4" s="12" t="s">
        <v>1155</v>
      </c>
      <c r="E4" s="198">
        <f>ROUND(N(data!E59), 0)</f>
        <v>54379</v>
      </c>
      <c r="F4" s="314">
        <f>ROUND(N(data!E60), 2)</f>
        <v>340.7</v>
      </c>
      <c r="G4" s="198">
        <f>ROUND(N(data!E61), 0)</f>
        <v>41321233</v>
      </c>
      <c r="H4" s="198">
        <f>ROUND(N(data!E62), 0)</f>
        <v>9545419</v>
      </c>
      <c r="I4" s="198">
        <f>ROUND(N(data!E63), 0)</f>
        <v>0</v>
      </c>
      <c r="J4" s="198">
        <f>ROUND(N(data!E64), 0)</f>
        <v>3977613</v>
      </c>
      <c r="K4" s="198">
        <f>ROUND(N(data!E65), 0)</f>
        <v>-167</v>
      </c>
      <c r="L4" s="198">
        <f>ROUND(N(data!E66), 0)</f>
        <v>990134</v>
      </c>
      <c r="M4" s="198">
        <f>ROUND(N(data!E67), 0)</f>
        <v>447006</v>
      </c>
      <c r="N4" s="198">
        <f>ROUND(N(data!E68), 0)</f>
        <v>7278605</v>
      </c>
      <c r="O4" s="198">
        <f>ROUND(N(data!E69), 0)</f>
        <v>26142781</v>
      </c>
      <c r="P4" s="198">
        <f>ROUND(N(data!E70), 0)</f>
        <v>0</v>
      </c>
      <c r="Q4" s="198">
        <f>ROUND(N(data!E71), 0)</f>
        <v>24972715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141929</v>
      </c>
      <c r="X4" s="198">
        <f>ROUND(N(data!E78), 0)</f>
        <v>0</v>
      </c>
      <c r="Y4" s="198">
        <f>ROUND(N(data!E79), 0)</f>
        <v>0</v>
      </c>
      <c r="Z4" s="198">
        <f>ROUND(N(data!E80), 0)</f>
        <v>3801</v>
      </c>
      <c r="AA4" s="198">
        <f>ROUND(N(data!E81), 0)</f>
        <v>983773</v>
      </c>
      <c r="AB4" s="198">
        <f>ROUND(N(data!E82), 0)</f>
        <v>0</v>
      </c>
      <c r="AC4" s="198">
        <f>ROUND(N(data!E83), 0)</f>
        <v>40564</v>
      </c>
      <c r="AD4" s="198">
        <f>ROUND(N(data!E84), 0)</f>
        <v>10878</v>
      </c>
      <c r="AE4" s="198">
        <f>ROUND(N(data!E89), 0)</f>
        <v>272709232</v>
      </c>
      <c r="AF4" s="198">
        <f>ROUND(N(data!E87), 0)</f>
        <v>255280984</v>
      </c>
      <c r="AG4" s="198">
        <f>ROUND(N(data!E90), 0)</f>
        <v>129242</v>
      </c>
      <c r="AH4" s="198">
        <f>ROUND(N(data!E91), 0)</f>
        <v>155394</v>
      </c>
      <c r="AI4" s="198">
        <f>ROUND(N(data!E92), 0)</f>
        <v>24478</v>
      </c>
      <c r="AJ4" s="198">
        <f>ROUND(N(data!E93), 0)</f>
        <v>480925</v>
      </c>
      <c r="AK4" s="314">
        <f>ROUND(N(data!E94), 2)</f>
        <v>177.67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010</v>
      </c>
      <c r="B5" s="200" t="str">
        <f>RIGHT(data!$C$96,4)</f>
        <v>2024</v>
      </c>
      <c r="C5" s="12" t="str">
        <f>data!F$55</f>
        <v>6100</v>
      </c>
      <c r="D5" s="12" t="s">
        <v>1155</v>
      </c>
      <c r="E5" s="198">
        <f>ROUND(N(data!F59), 0)</f>
        <v>2062</v>
      </c>
      <c r="F5" s="314">
        <f>ROUND(N(data!F60), 2)</f>
        <v>32.42</v>
      </c>
      <c r="G5" s="198">
        <f>ROUND(N(data!F61), 0)</f>
        <v>4561001</v>
      </c>
      <c r="H5" s="198">
        <f>ROUND(N(data!F62), 0)</f>
        <v>333</v>
      </c>
      <c r="I5" s="198">
        <f>ROUND(N(data!F63), 0)</f>
        <v>0</v>
      </c>
      <c r="J5" s="198">
        <f>ROUND(N(data!F64), 0)</f>
        <v>358482</v>
      </c>
      <c r="K5" s="198">
        <f>ROUND(N(data!F65), 0)</f>
        <v>0</v>
      </c>
      <c r="L5" s="198">
        <f>ROUND(N(data!F66), 0)</f>
        <v>1993</v>
      </c>
      <c r="M5" s="198">
        <f>ROUND(N(data!F67), 0)</f>
        <v>1126217</v>
      </c>
      <c r="N5" s="198">
        <f>ROUND(N(data!F68), 0)</f>
        <v>642813</v>
      </c>
      <c r="O5" s="198">
        <f>ROUND(N(data!F69), 0)</f>
        <v>1461899</v>
      </c>
      <c r="P5" s="198">
        <f>ROUND(N(data!F70), 0)</f>
        <v>0</v>
      </c>
      <c r="Q5" s="198">
        <f>ROUND(N(data!F71), 0)</f>
        <v>1367193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38493</v>
      </c>
      <c r="X5" s="198">
        <f>ROUND(N(data!F78), 0)</f>
        <v>0</v>
      </c>
      <c r="Y5" s="198">
        <f>ROUND(N(data!F79), 0)</f>
        <v>0</v>
      </c>
      <c r="Z5" s="198">
        <f>ROUND(N(data!F80), 0)</f>
        <v>3094</v>
      </c>
      <c r="AA5" s="198">
        <f>ROUND(N(data!F81), 0)</f>
        <v>43501</v>
      </c>
      <c r="AB5" s="198">
        <f>ROUND(N(data!F82), 0)</f>
        <v>0</v>
      </c>
      <c r="AC5" s="198">
        <f>ROUND(N(data!F83), 0)</f>
        <v>9618</v>
      </c>
      <c r="AD5" s="198">
        <f>ROUND(N(data!F84), 0)</f>
        <v>908039</v>
      </c>
      <c r="AE5" s="198">
        <f>ROUND(N(data!F89), 0)</f>
        <v>12085769</v>
      </c>
      <c r="AF5" s="198">
        <f>ROUND(N(data!F87), 0)</f>
        <v>11691747</v>
      </c>
      <c r="AG5" s="198">
        <f>ROUND(N(data!F90), 0)</f>
        <v>15439</v>
      </c>
      <c r="AH5" s="198">
        <f>ROUND(N(data!F91), 0)</f>
        <v>4036</v>
      </c>
      <c r="AI5" s="198">
        <f>ROUND(N(data!F92), 0)</f>
        <v>2924</v>
      </c>
      <c r="AJ5" s="198">
        <f>ROUND(N(data!F93), 0)</f>
        <v>0</v>
      </c>
      <c r="AK5" s="314">
        <f>ROUND(N(data!F94), 2)</f>
        <v>25.87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010</v>
      </c>
      <c r="B6" s="200" t="str">
        <f>RIGHT(data!$C$96,4)</f>
        <v>2024</v>
      </c>
      <c r="C6" s="12" t="str">
        <f>data!G$55</f>
        <v>6120</v>
      </c>
      <c r="D6" s="12" t="s">
        <v>1155</v>
      </c>
      <c r="E6" s="198">
        <f>ROUND(N(data!G59), 0)</f>
        <v>0</v>
      </c>
      <c r="F6" s="314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4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010</v>
      </c>
      <c r="B7" s="200" t="str">
        <f>RIGHT(data!$C$96,4)</f>
        <v>2024</v>
      </c>
      <c r="C7" s="12" t="str">
        <f>data!H$55</f>
        <v>6140</v>
      </c>
      <c r="D7" s="12" t="s">
        <v>1155</v>
      </c>
      <c r="E7" s="198">
        <f>ROUND(N(data!H59), 0)</f>
        <v>0</v>
      </c>
      <c r="F7" s="314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1028</v>
      </c>
      <c r="AK7" s="314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010</v>
      </c>
      <c r="B8" s="200" t="str">
        <f>RIGHT(data!$C$96,4)</f>
        <v>2024</v>
      </c>
      <c r="C8" s="12" t="str">
        <f>data!I$55</f>
        <v>6150</v>
      </c>
      <c r="D8" s="12" t="s">
        <v>1155</v>
      </c>
      <c r="E8" s="198">
        <f>ROUND(N(data!I59), 0)</f>
        <v>0</v>
      </c>
      <c r="F8" s="314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4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010</v>
      </c>
      <c r="B9" s="200" t="str">
        <f>RIGHT(data!$C$96,4)</f>
        <v>2024</v>
      </c>
      <c r="C9" s="12" t="str">
        <f>data!J$55</f>
        <v>6170</v>
      </c>
      <c r="D9" s="12" t="s">
        <v>1155</v>
      </c>
      <c r="E9" s="198">
        <f>ROUND(N(data!J59), 0)</f>
        <v>0</v>
      </c>
      <c r="F9" s="314">
        <f>ROUND(N(data!J60), 2)</f>
        <v>0.63</v>
      </c>
      <c r="G9" s="198">
        <f>ROUND(N(data!J61), 0)</f>
        <v>94993</v>
      </c>
      <c r="H9" s="198">
        <f>ROUND(N(data!J62), 0)</f>
        <v>0</v>
      </c>
      <c r="I9" s="198">
        <f>ROUND(N(data!J63), 0)</f>
        <v>0</v>
      </c>
      <c r="J9" s="198">
        <f>ROUND(N(data!J64), 0)</f>
        <v>37849</v>
      </c>
      <c r="K9" s="198">
        <f>ROUND(N(data!J65), 0)</f>
        <v>0</v>
      </c>
      <c r="L9" s="198">
        <f>ROUND(N(data!J66), 0)</f>
        <v>1103644</v>
      </c>
      <c r="M9" s="198">
        <f>ROUND(N(data!J67), 0)</f>
        <v>0</v>
      </c>
      <c r="N9" s="198">
        <f>ROUND(N(data!J68), 0)</f>
        <v>82520</v>
      </c>
      <c r="O9" s="198">
        <f>ROUND(N(data!J69), 0)</f>
        <v>37356</v>
      </c>
      <c r="P9" s="198">
        <f>ROUND(N(data!J70), 0)</f>
        <v>0</v>
      </c>
      <c r="Q9" s="198">
        <f>ROUND(N(data!J71), 0)</f>
        <v>17969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17412</v>
      </c>
      <c r="AB9" s="198">
        <f>ROUND(N(data!J82), 0)</f>
        <v>0</v>
      </c>
      <c r="AC9" s="198">
        <f>ROUND(N(data!J83), 0)</f>
        <v>1975</v>
      </c>
      <c r="AD9" s="198">
        <f>ROUND(N(data!J84), 0)</f>
        <v>79687</v>
      </c>
      <c r="AE9" s="198">
        <f>ROUND(N(data!J89), 0)</f>
        <v>4846494</v>
      </c>
      <c r="AF9" s="198">
        <f>ROUND(N(data!J87), 0)</f>
        <v>4845694</v>
      </c>
      <c r="AG9" s="198">
        <f>ROUND(N(data!J90), 0)</f>
        <v>2058</v>
      </c>
      <c r="AH9" s="198">
        <f>ROUND(N(data!J91), 0)</f>
        <v>0</v>
      </c>
      <c r="AI9" s="198">
        <f>ROUND(N(data!J92), 0)</f>
        <v>390</v>
      </c>
      <c r="AJ9" s="198">
        <f>ROUND(N(data!J93), 0)</f>
        <v>0</v>
      </c>
      <c r="AK9" s="314">
        <f>ROUND(N(data!J94), 2)</f>
        <v>0.63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010</v>
      </c>
      <c r="B10" s="200" t="str">
        <f>RIGHT(data!$C$96,4)</f>
        <v>2024</v>
      </c>
      <c r="C10" s="12" t="str">
        <f>data!K$55</f>
        <v>6200</v>
      </c>
      <c r="D10" s="12" t="s">
        <v>1155</v>
      </c>
      <c r="E10" s="198">
        <f>ROUND(N(data!K59), 0)</f>
        <v>10617</v>
      </c>
      <c r="F10" s="314">
        <f>ROUND(N(data!K60), 2)</f>
        <v>133.26</v>
      </c>
      <c r="G10" s="198">
        <f>ROUND(N(data!K61), 0)</f>
        <v>13087077</v>
      </c>
      <c r="H10" s="198">
        <f>ROUND(N(data!K62), 0)</f>
        <v>3259375</v>
      </c>
      <c r="I10" s="198">
        <f>ROUND(N(data!K63), 0)</f>
        <v>0</v>
      </c>
      <c r="J10" s="198">
        <f>ROUND(N(data!K64), 0)</f>
        <v>1280055</v>
      </c>
      <c r="K10" s="198">
        <f>ROUND(N(data!K65), 0)</f>
        <v>358302</v>
      </c>
      <c r="L10" s="198">
        <f>ROUND(N(data!K66), 0)</f>
        <v>604388</v>
      </c>
      <c r="M10" s="198">
        <f>ROUND(N(data!K67), 0)</f>
        <v>220061</v>
      </c>
      <c r="N10" s="198">
        <f>ROUND(N(data!K68), 0)</f>
        <v>1049402</v>
      </c>
      <c r="O10" s="198">
        <f>ROUND(N(data!K69), 0)</f>
        <v>1450859</v>
      </c>
      <c r="P10" s="198">
        <f>ROUND(N(data!K70), 0)</f>
        <v>0</v>
      </c>
      <c r="Q10" s="198">
        <f>ROUND(N(data!K71), 0)</f>
        <v>545559</v>
      </c>
      <c r="R10" s="198">
        <f>ROUND(N(data!K72), 0)</f>
        <v>0</v>
      </c>
      <c r="S10" s="198">
        <f>ROUND(N(data!K73), 0)</f>
        <v>41108</v>
      </c>
      <c r="T10" s="198">
        <f>ROUND(N(data!K74), 0)</f>
        <v>267413</v>
      </c>
      <c r="U10" s="198">
        <f>ROUND(N(data!K75), 0)</f>
        <v>0</v>
      </c>
      <c r="V10" s="198">
        <f>ROUND(N(data!K76), 0)</f>
        <v>0</v>
      </c>
      <c r="W10" s="198">
        <f>ROUND(N(data!K77), 0)</f>
        <v>325994</v>
      </c>
      <c r="X10" s="198">
        <f>ROUND(N(data!K78), 0)</f>
        <v>0</v>
      </c>
      <c r="Y10" s="198">
        <f>ROUND(N(data!K79), 0)</f>
        <v>0</v>
      </c>
      <c r="Z10" s="198">
        <f>ROUND(N(data!K80), 0)</f>
        <v>9489</v>
      </c>
      <c r="AA10" s="198">
        <f>ROUND(N(data!K81), 0)</f>
        <v>5431</v>
      </c>
      <c r="AB10" s="198">
        <f>ROUND(N(data!K82), 0)</f>
        <v>0</v>
      </c>
      <c r="AC10" s="198">
        <f>ROUND(N(data!K83), 0)</f>
        <v>255865</v>
      </c>
      <c r="AD10" s="198">
        <f>ROUND(N(data!K84), 0)</f>
        <v>7539317</v>
      </c>
      <c r="AE10" s="198">
        <f>ROUND(N(data!K89), 0)</f>
        <v>12036809</v>
      </c>
      <c r="AF10" s="198">
        <f>ROUND(N(data!K87), 0)</f>
        <v>12036809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4">
        <f>ROUND(N(data!K94), 2)</f>
        <v>38.28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010</v>
      </c>
      <c r="B11" s="200" t="str">
        <f>RIGHT(data!$C$96,4)</f>
        <v>2024</v>
      </c>
      <c r="C11" s="12" t="str">
        <f>data!L$55</f>
        <v>6210</v>
      </c>
      <c r="D11" s="12" t="s">
        <v>1155</v>
      </c>
      <c r="E11" s="198">
        <f>ROUND(N(data!L59), 0)</f>
        <v>0</v>
      </c>
      <c r="F11" s="314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14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010</v>
      </c>
      <c r="B12" s="200" t="str">
        <f>RIGHT(data!$C$96,4)</f>
        <v>2024</v>
      </c>
      <c r="C12" s="12" t="str">
        <f>data!M$55</f>
        <v>6330</v>
      </c>
      <c r="D12" s="12" t="s">
        <v>1155</v>
      </c>
      <c r="E12" s="198">
        <f>ROUND(N(data!M59), 0)</f>
        <v>0</v>
      </c>
      <c r="F12" s="314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4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010</v>
      </c>
      <c r="B13" s="200" t="str">
        <f>RIGHT(data!$C$96,4)</f>
        <v>2024</v>
      </c>
      <c r="C13" s="12" t="str">
        <f>data!N$55</f>
        <v>6400</v>
      </c>
      <c r="D13" s="12" t="s">
        <v>1155</v>
      </c>
      <c r="E13" s="198">
        <f>ROUND(N(data!N59), 0)</f>
        <v>0</v>
      </c>
      <c r="F13" s="314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13786</v>
      </c>
      <c r="K13" s="198">
        <f>ROUND(N(data!N65), 0)</f>
        <v>0</v>
      </c>
      <c r="L13" s="198">
        <f>ROUND(N(data!N66), 0)</f>
        <v>24</v>
      </c>
      <c r="M13" s="198">
        <f>ROUND(N(data!N67), 0)</f>
        <v>0</v>
      </c>
      <c r="N13" s="198">
        <f>ROUND(N(data!N68), 0)</f>
        <v>1133</v>
      </c>
      <c r="O13" s="198">
        <f>ROUND(N(data!N69), 0)</f>
        <v>-15044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-15044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92</v>
      </c>
      <c r="AI13" s="198">
        <f>ROUND(N(data!N92), 0)</f>
        <v>0</v>
      </c>
      <c r="AJ13" s="198">
        <f>ROUND(N(data!N93), 0)</f>
        <v>0</v>
      </c>
      <c r="AK13" s="314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010</v>
      </c>
      <c r="B14" s="200" t="str">
        <f>RIGHT(data!$C$96,4)</f>
        <v>2024</v>
      </c>
      <c r="C14" s="12" t="str">
        <f>data!O$55</f>
        <v>7010</v>
      </c>
      <c r="D14" s="12" t="s">
        <v>1155</v>
      </c>
      <c r="E14" s="198">
        <f>ROUND(N(data!O59), 0)</f>
        <v>0</v>
      </c>
      <c r="F14" s="314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3928</v>
      </c>
      <c r="AK14" s="314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010</v>
      </c>
      <c r="B15" s="200" t="str">
        <f>RIGHT(data!$C$96,4)</f>
        <v>2024</v>
      </c>
      <c r="C15" s="12" t="str">
        <f>data!P$55</f>
        <v>7020</v>
      </c>
      <c r="D15" s="12" t="s">
        <v>1155</v>
      </c>
      <c r="E15" s="198">
        <f>ROUND(N(data!P59), 0)</f>
        <v>2283052</v>
      </c>
      <c r="F15" s="314">
        <f>ROUND(N(data!P60), 2)</f>
        <v>112.83</v>
      </c>
      <c r="G15" s="198">
        <f>ROUND(N(data!P61), 0)</f>
        <v>14477797</v>
      </c>
      <c r="H15" s="198">
        <f>ROUND(N(data!P62), 0)</f>
        <v>3354159</v>
      </c>
      <c r="I15" s="198">
        <f>ROUND(N(data!P63), 0)</f>
        <v>0</v>
      </c>
      <c r="J15" s="198">
        <f>ROUND(N(data!P64), 0)</f>
        <v>53748772</v>
      </c>
      <c r="K15" s="198">
        <f>ROUND(N(data!P65), 0)</f>
        <v>5760</v>
      </c>
      <c r="L15" s="198">
        <f>ROUND(N(data!P66), 0)</f>
        <v>2798909</v>
      </c>
      <c r="M15" s="198">
        <f>ROUND(N(data!P67), 0)</f>
        <v>2670410</v>
      </c>
      <c r="N15" s="198">
        <f>ROUND(N(data!P68), 0)</f>
        <v>2627814</v>
      </c>
      <c r="O15" s="198">
        <f>ROUND(N(data!P69), 0)</f>
        <v>10403759</v>
      </c>
      <c r="P15" s="198">
        <f>ROUND(N(data!P70), 0)</f>
        <v>0</v>
      </c>
      <c r="Q15" s="198">
        <f>ROUND(N(data!P71), 0)</f>
        <v>5969404</v>
      </c>
      <c r="R15" s="198">
        <f>ROUND(N(data!P72), 0)</f>
        <v>0</v>
      </c>
      <c r="S15" s="198">
        <f>ROUND(N(data!P73), 0)</f>
        <v>0</v>
      </c>
      <c r="T15" s="198">
        <f>ROUND(N(data!P74), 0)</f>
        <v>233497</v>
      </c>
      <c r="U15" s="198">
        <f>ROUND(N(data!P75), 0)</f>
        <v>0</v>
      </c>
      <c r="V15" s="198">
        <f>ROUND(N(data!P76), 0)</f>
        <v>0</v>
      </c>
      <c r="W15" s="198">
        <f>ROUND(N(data!P77), 0)</f>
        <v>1628338</v>
      </c>
      <c r="X15" s="198">
        <f>ROUND(N(data!P78), 0)</f>
        <v>0</v>
      </c>
      <c r="Y15" s="198">
        <f>ROUND(N(data!P79), 0)</f>
        <v>0</v>
      </c>
      <c r="Z15" s="198">
        <f>ROUND(N(data!P80), 0)</f>
        <v>445</v>
      </c>
      <c r="AA15" s="198">
        <f>ROUND(N(data!P81), 0)</f>
        <v>2284487</v>
      </c>
      <c r="AB15" s="198">
        <f>ROUND(N(data!P82), 0)</f>
        <v>0</v>
      </c>
      <c r="AC15" s="198">
        <f>ROUND(N(data!P83), 0)</f>
        <v>287588</v>
      </c>
      <c r="AD15" s="198">
        <f>ROUND(N(data!P84), 0)</f>
        <v>414000</v>
      </c>
      <c r="AE15" s="198">
        <f>ROUND(N(data!P89), 0)</f>
        <v>615440529</v>
      </c>
      <c r="AF15" s="198">
        <f>ROUND(N(data!P87), 0)</f>
        <v>325226667</v>
      </c>
      <c r="AG15" s="198">
        <f>ROUND(N(data!P90), 0)</f>
        <v>46391</v>
      </c>
      <c r="AH15" s="198">
        <f>ROUND(N(data!P91), 0)</f>
        <v>0</v>
      </c>
      <c r="AI15" s="198">
        <f>ROUND(N(data!P92), 0)</f>
        <v>8786</v>
      </c>
      <c r="AJ15" s="198">
        <f>ROUND(N(data!P93), 0)</f>
        <v>369170</v>
      </c>
      <c r="AK15" s="314">
        <f>ROUND(N(data!P94), 2)</f>
        <v>55.46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010</v>
      </c>
      <c r="B16" s="200" t="str">
        <f>RIGHT(data!$C$96,4)</f>
        <v>2024</v>
      </c>
      <c r="C16" s="12" t="str">
        <f>data!Q$55</f>
        <v>7030</v>
      </c>
      <c r="D16" s="12" t="s">
        <v>1155</v>
      </c>
      <c r="E16" s="198">
        <f>ROUND(N(data!Q59), 0)</f>
        <v>2173536</v>
      </c>
      <c r="F16" s="314">
        <f>ROUND(N(data!Q60), 2)</f>
        <v>75.400000000000006</v>
      </c>
      <c r="G16" s="198">
        <f>ROUND(N(data!Q61), 0)</f>
        <v>10102367</v>
      </c>
      <c r="H16" s="198">
        <f>ROUND(N(data!Q62), 0)</f>
        <v>2345581</v>
      </c>
      <c r="I16" s="198">
        <f>ROUND(N(data!Q63), 0)</f>
        <v>0</v>
      </c>
      <c r="J16" s="198">
        <f>ROUND(N(data!Q64), 0)</f>
        <v>1292770</v>
      </c>
      <c r="K16" s="198">
        <f>ROUND(N(data!Q65), 0)</f>
        <v>-36</v>
      </c>
      <c r="L16" s="198">
        <f>ROUND(N(data!Q66), 0)</f>
        <v>21682</v>
      </c>
      <c r="M16" s="198">
        <f>ROUND(N(data!Q67), 0)</f>
        <v>72398</v>
      </c>
      <c r="N16" s="198">
        <f>ROUND(N(data!Q68), 0)</f>
        <v>1304036</v>
      </c>
      <c r="O16" s="198">
        <f>ROUND(N(data!Q69), 0)</f>
        <v>2552346</v>
      </c>
      <c r="P16" s="198">
        <f>ROUND(N(data!Q70), 0)</f>
        <v>0</v>
      </c>
      <c r="Q16" s="198">
        <f>ROUND(N(data!Q71), 0)</f>
        <v>2425390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5644</v>
      </c>
      <c r="X16" s="198">
        <f>ROUND(N(data!Q78), 0)</f>
        <v>0</v>
      </c>
      <c r="Y16" s="198">
        <f>ROUND(N(data!Q79), 0)</f>
        <v>0</v>
      </c>
      <c r="Z16" s="198">
        <f>ROUND(N(data!Q80), 0)</f>
        <v>-181</v>
      </c>
      <c r="AA16" s="198">
        <f>ROUND(N(data!Q81), 0)</f>
        <v>119043</v>
      </c>
      <c r="AB16" s="198">
        <f>ROUND(N(data!Q82), 0)</f>
        <v>0</v>
      </c>
      <c r="AC16" s="198">
        <f>ROUND(N(data!Q83), 0)</f>
        <v>2450</v>
      </c>
      <c r="AD16" s="198">
        <f>ROUND(N(data!Q84), 0)</f>
        <v>0</v>
      </c>
      <c r="AE16" s="198">
        <f>ROUND(N(data!Q89), 0)</f>
        <v>31661809</v>
      </c>
      <c r="AF16" s="198">
        <f>ROUND(N(data!Q87), 0)</f>
        <v>10826390</v>
      </c>
      <c r="AG16" s="198">
        <f>ROUND(N(data!Q90), 0)</f>
        <v>28276</v>
      </c>
      <c r="AH16" s="198">
        <f>ROUND(N(data!Q91), 0)</f>
        <v>112</v>
      </c>
      <c r="AI16" s="198">
        <f>ROUND(N(data!Q92), 0)</f>
        <v>5355</v>
      </c>
      <c r="AJ16" s="198">
        <f>ROUND(N(data!Q93), 0)</f>
        <v>6682</v>
      </c>
      <c r="AK16" s="314">
        <f>ROUND(N(data!Q94), 2)</f>
        <v>51.06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010</v>
      </c>
      <c r="B17" s="200" t="str">
        <f>RIGHT(data!$C$96,4)</f>
        <v>2024</v>
      </c>
      <c r="C17" s="12" t="str">
        <f>data!R$55</f>
        <v>7040</v>
      </c>
      <c r="D17" s="12" t="s">
        <v>1155</v>
      </c>
      <c r="E17" s="198">
        <f>ROUND(N(data!R59), 0)</f>
        <v>2674452</v>
      </c>
      <c r="F17" s="314">
        <f>ROUND(N(data!R60), 2)</f>
        <v>84.47</v>
      </c>
      <c r="G17" s="198">
        <f>ROUND(N(data!R61), 0)</f>
        <v>25641942</v>
      </c>
      <c r="H17" s="198">
        <f>ROUND(N(data!R62), 0)</f>
        <v>4883297</v>
      </c>
      <c r="I17" s="198">
        <f>ROUND(N(data!R63), 0)</f>
        <v>0</v>
      </c>
      <c r="J17" s="198">
        <f>ROUND(N(data!R64), 0)</f>
        <v>2743655</v>
      </c>
      <c r="K17" s="198">
        <f>ROUND(N(data!R65), 0)</f>
        <v>43</v>
      </c>
      <c r="L17" s="198">
        <f>ROUND(N(data!R66), 0)</f>
        <v>823453</v>
      </c>
      <c r="M17" s="198">
        <f>ROUND(N(data!R67), 0)</f>
        <v>188271</v>
      </c>
      <c r="N17" s="198">
        <f>ROUND(N(data!R68), 0)</f>
        <v>750718</v>
      </c>
      <c r="O17" s="198">
        <f>ROUND(N(data!R69), 0)</f>
        <v>7942042</v>
      </c>
      <c r="P17" s="198">
        <f>ROUND(N(data!R70), 0)</f>
        <v>0</v>
      </c>
      <c r="Q17" s="198">
        <f>ROUND(N(data!R71), 0)</f>
        <v>6854876</v>
      </c>
      <c r="R17" s="198">
        <f>ROUND(N(data!R72), 0)</f>
        <v>0</v>
      </c>
      <c r="S17" s="198">
        <f>ROUND(N(data!R73), 0)</f>
        <v>481960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8397</v>
      </c>
      <c r="X17" s="198">
        <f>ROUND(N(data!R78), 0)</f>
        <v>0</v>
      </c>
      <c r="Y17" s="198">
        <f>ROUND(N(data!R79), 0)</f>
        <v>0</v>
      </c>
      <c r="Z17" s="198">
        <f>ROUND(N(data!R80), 0)</f>
        <v>22439</v>
      </c>
      <c r="AA17" s="198">
        <f>ROUND(N(data!R81), 0)</f>
        <v>350619</v>
      </c>
      <c r="AB17" s="198">
        <f>ROUND(N(data!R82), 0)</f>
        <v>0</v>
      </c>
      <c r="AC17" s="198">
        <f>ROUND(N(data!R83), 0)</f>
        <v>223751</v>
      </c>
      <c r="AD17" s="198">
        <f>ROUND(N(data!R84), 0)</f>
        <v>2512048</v>
      </c>
      <c r="AE17" s="198">
        <f>ROUND(N(data!R89), 0)</f>
        <v>87793662</v>
      </c>
      <c r="AF17" s="198">
        <f>ROUND(N(data!R87), 0)</f>
        <v>10288722</v>
      </c>
      <c r="AG17" s="198">
        <f>ROUND(N(data!R90), 0)</f>
        <v>18721</v>
      </c>
      <c r="AH17" s="198">
        <f>ROUND(N(data!R91), 0)</f>
        <v>0</v>
      </c>
      <c r="AI17" s="198">
        <f>ROUND(N(data!R92), 0)</f>
        <v>3546</v>
      </c>
      <c r="AJ17" s="198">
        <f>ROUND(N(data!R93), 0)</f>
        <v>35991</v>
      </c>
      <c r="AK17" s="314">
        <f>ROUND(N(data!R94), 2)</f>
        <v>1.46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010</v>
      </c>
      <c r="B18" s="200" t="str">
        <f>RIGHT(data!$C$96,4)</f>
        <v>2024</v>
      </c>
      <c r="C18" s="12" t="str">
        <f>data!S$55</f>
        <v>7050</v>
      </c>
      <c r="D18" s="12" t="s">
        <v>1155</v>
      </c>
      <c r="E18" s="198">
        <f>ROUND(N(data!S59), 0)</f>
        <v>0</v>
      </c>
      <c r="F18" s="314">
        <f>ROUND(N(data!S60), 2)</f>
        <v>116.38</v>
      </c>
      <c r="G18" s="198">
        <f>ROUND(N(data!S61), 0)</f>
        <v>8564348</v>
      </c>
      <c r="H18" s="198">
        <f>ROUND(N(data!S62), 0)</f>
        <v>1959115</v>
      </c>
      <c r="I18" s="198">
        <f>ROUND(N(data!S63), 0)</f>
        <v>0</v>
      </c>
      <c r="J18" s="198">
        <f>ROUND(N(data!S64), 0)</f>
        <v>2491718</v>
      </c>
      <c r="K18" s="198">
        <f>ROUND(N(data!S65), 0)</f>
        <v>10</v>
      </c>
      <c r="L18" s="198">
        <f>ROUND(N(data!S66), 0)</f>
        <v>2741441</v>
      </c>
      <c r="M18" s="198">
        <f>ROUND(N(data!S67), 0)</f>
        <v>240863</v>
      </c>
      <c r="N18" s="198">
        <f>ROUND(N(data!S68), 0)</f>
        <v>679760</v>
      </c>
      <c r="O18" s="198">
        <f>ROUND(N(data!S69), 0)</f>
        <v>1302299</v>
      </c>
      <c r="P18" s="198">
        <f>ROUND(N(data!S70), 0)</f>
        <v>0</v>
      </c>
      <c r="Q18" s="198">
        <f>ROUND(N(data!S71), 0)</f>
        <v>946030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226247</v>
      </c>
      <c r="X18" s="198">
        <f>ROUND(N(data!S78), 0)</f>
        <v>0</v>
      </c>
      <c r="Y18" s="198">
        <f>ROUND(N(data!S79), 0)</f>
        <v>0</v>
      </c>
      <c r="Z18" s="198">
        <f>ROUND(N(data!S80), 0)</f>
        <v>140</v>
      </c>
      <c r="AA18" s="198">
        <f>ROUND(N(data!S81), 0)</f>
        <v>0</v>
      </c>
      <c r="AB18" s="198">
        <f>ROUND(N(data!S82), 0)</f>
        <v>0</v>
      </c>
      <c r="AC18" s="198">
        <f>ROUND(N(data!S83), 0)</f>
        <v>129882</v>
      </c>
      <c r="AD18" s="198">
        <f>ROUND(N(data!S84), 0)</f>
        <v>3360</v>
      </c>
      <c r="AE18" s="198">
        <f>ROUND(N(data!S89), 0)</f>
        <v>0</v>
      </c>
      <c r="AF18" s="198">
        <f>ROUND(N(data!S87), 0)</f>
        <v>0</v>
      </c>
      <c r="AG18" s="198">
        <f>ROUND(N(data!S90), 0)</f>
        <v>16843</v>
      </c>
      <c r="AH18" s="198">
        <f>ROUND(N(data!S91), 0)</f>
        <v>0</v>
      </c>
      <c r="AI18" s="198">
        <f>ROUND(N(data!S92), 0)</f>
        <v>3190</v>
      </c>
      <c r="AJ18" s="198">
        <f>ROUND(N(data!S93), 0)</f>
        <v>0</v>
      </c>
      <c r="AK18" s="314">
        <f>ROUND(N(data!S94), 2)</f>
        <v>0.01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010</v>
      </c>
      <c r="B19" s="200" t="str">
        <f>RIGHT(data!$C$96,4)</f>
        <v>2024</v>
      </c>
      <c r="C19" s="12" t="str">
        <f>data!T$55</f>
        <v>7060</v>
      </c>
      <c r="D19" s="12" t="s">
        <v>1155</v>
      </c>
      <c r="E19" s="198">
        <f>ROUND(N(data!T59), 0)</f>
        <v>0</v>
      </c>
      <c r="F19" s="314">
        <f>ROUND(N(data!T60), 2)</f>
        <v>16.77</v>
      </c>
      <c r="G19" s="198">
        <f>ROUND(N(data!T61), 0)</f>
        <v>2828519</v>
      </c>
      <c r="H19" s="198">
        <f>ROUND(N(data!T62), 0)</f>
        <v>654043</v>
      </c>
      <c r="I19" s="198">
        <f>ROUND(N(data!T63), 0)</f>
        <v>0</v>
      </c>
      <c r="J19" s="198">
        <f>ROUND(N(data!T64), 0)</f>
        <v>643225</v>
      </c>
      <c r="K19" s="198">
        <f>ROUND(N(data!T65), 0)</f>
        <v>1</v>
      </c>
      <c r="L19" s="198">
        <f>ROUND(N(data!T66), 0)</f>
        <v>40944</v>
      </c>
      <c r="M19" s="198">
        <f>ROUND(N(data!T67), 0)</f>
        <v>8706</v>
      </c>
      <c r="N19" s="198">
        <f>ROUND(N(data!T68), 0)</f>
        <v>37080</v>
      </c>
      <c r="O19" s="198">
        <f>ROUND(N(data!T69), 0)</f>
        <v>38575</v>
      </c>
      <c r="P19" s="198">
        <f>ROUND(N(data!T70), 0)</f>
        <v>0</v>
      </c>
      <c r="Q19" s="198">
        <f>ROUND(N(data!T71), 0)</f>
        <v>7728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1000</v>
      </c>
      <c r="AA19" s="198">
        <f>ROUND(N(data!T81), 0)</f>
        <v>29442</v>
      </c>
      <c r="AB19" s="198">
        <f>ROUND(N(data!T82), 0)</f>
        <v>0</v>
      </c>
      <c r="AC19" s="198">
        <f>ROUND(N(data!T83), 0)</f>
        <v>405</v>
      </c>
      <c r="AD19" s="198">
        <f>ROUND(N(data!T84), 0)</f>
        <v>0</v>
      </c>
      <c r="AE19" s="198">
        <f>ROUND(N(data!T89), 0)</f>
        <v>8117820</v>
      </c>
      <c r="AF19" s="198">
        <f>ROUND(N(data!T87), 0)</f>
        <v>7010427</v>
      </c>
      <c r="AG19" s="198">
        <f>ROUND(N(data!T90), 0)</f>
        <v>925</v>
      </c>
      <c r="AH19" s="198">
        <f>ROUND(N(data!T91), 0)</f>
        <v>0</v>
      </c>
      <c r="AI19" s="198">
        <f>ROUND(N(data!T92), 0)</f>
        <v>175</v>
      </c>
      <c r="AJ19" s="198">
        <f>ROUND(N(data!T93), 0)</f>
        <v>631</v>
      </c>
      <c r="AK19" s="314">
        <f>ROUND(N(data!T94), 2)</f>
        <v>16.73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010</v>
      </c>
      <c r="B20" s="200" t="str">
        <f>RIGHT(data!$C$96,4)</f>
        <v>2024</v>
      </c>
      <c r="C20" s="12" t="str">
        <f>data!U$55</f>
        <v>7070</v>
      </c>
      <c r="D20" s="12" t="s">
        <v>1155</v>
      </c>
      <c r="E20" s="198">
        <f>ROUND(N(data!U59), 0)</f>
        <v>2444363</v>
      </c>
      <c r="F20" s="314">
        <f>ROUND(N(data!U60), 2)</f>
        <v>149.04</v>
      </c>
      <c r="G20" s="198">
        <f>ROUND(N(data!U61), 0)</f>
        <v>17928136</v>
      </c>
      <c r="H20" s="198">
        <f>ROUND(N(data!U62), 0)</f>
        <v>3737421</v>
      </c>
      <c r="I20" s="198">
        <f>ROUND(N(data!U63), 0)</f>
        <v>0</v>
      </c>
      <c r="J20" s="198">
        <f>ROUND(N(data!U64), 0)</f>
        <v>10388497</v>
      </c>
      <c r="K20" s="198">
        <f>ROUND(N(data!U65), 0)</f>
        <v>1530</v>
      </c>
      <c r="L20" s="198">
        <f>ROUND(N(data!U66), 0)</f>
        <v>557862</v>
      </c>
      <c r="M20" s="198">
        <f>ROUND(N(data!U67), 0)</f>
        <v>233395</v>
      </c>
      <c r="N20" s="198">
        <f>ROUND(N(data!U68), 0)</f>
        <v>1615288</v>
      </c>
      <c r="O20" s="198">
        <f>ROUND(N(data!U69), 0)</f>
        <v>12897085</v>
      </c>
      <c r="P20" s="198">
        <f>ROUND(N(data!U70), 0)</f>
        <v>3402307</v>
      </c>
      <c r="Q20" s="198">
        <f>ROUND(N(data!U71), 0)</f>
        <v>35443</v>
      </c>
      <c r="R20" s="198">
        <f>ROUND(N(data!U72), 0)</f>
        <v>0</v>
      </c>
      <c r="S20" s="198">
        <f>ROUND(N(data!U73), 0)</f>
        <v>98198</v>
      </c>
      <c r="T20" s="198">
        <f>ROUND(N(data!U74), 0)</f>
        <v>0</v>
      </c>
      <c r="U20" s="198">
        <f>ROUND(N(data!U75), 0)</f>
        <v>0</v>
      </c>
      <c r="V20" s="198">
        <f>ROUND(N(data!U76), 0)</f>
        <v>7956587</v>
      </c>
      <c r="W20" s="198">
        <f>ROUND(N(data!U77), 0)</f>
        <v>246623</v>
      </c>
      <c r="X20" s="198">
        <f>ROUND(N(data!U78), 0)</f>
        <v>0</v>
      </c>
      <c r="Y20" s="198">
        <f>ROUND(N(data!U79), 0)</f>
        <v>9000</v>
      </c>
      <c r="Z20" s="198">
        <f>ROUND(N(data!U80), 0)</f>
        <v>9877</v>
      </c>
      <c r="AA20" s="198">
        <f>ROUND(N(data!U81), 0)</f>
        <v>933504</v>
      </c>
      <c r="AB20" s="198">
        <f>ROUND(N(data!U82), 0)</f>
        <v>0</v>
      </c>
      <c r="AC20" s="198">
        <f>ROUND(N(data!U83), 0)</f>
        <v>205546</v>
      </c>
      <c r="AD20" s="198">
        <f>ROUND(N(data!U84), 0)</f>
        <v>21175</v>
      </c>
      <c r="AE20" s="198">
        <f>ROUND(N(data!U89), 0)</f>
        <v>245932946</v>
      </c>
      <c r="AF20" s="198">
        <f>ROUND(N(data!U87), 0)</f>
        <v>63400848</v>
      </c>
      <c r="AG20" s="198">
        <f>ROUND(N(data!U90), 0)</f>
        <v>29792</v>
      </c>
      <c r="AH20" s="198">
        <f>ROUND(N(data!U91), 0)</f>
        <v>0</v>
      </c>
      <c r="AI20" s="198">
        <f>ROUND(N(data!U92), 0)</f>
        <v>5643</v>
      </c>
      <c r="AJ20" s="198">
        <f>ROUND(N(data!U93), 0)</f>
        <v>94336</v>
      </c>
      <c r="AK20" s="314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010</v>
      </c>
      <c r="B21" s="200" t="str">
        <f>RIGHT(data!$C$96,4)</f>
        <v>2024</v>
      </c>
      <c r="C21" s="12" t="str">
        <f>data!V$55</f>
        <v>7110</v>
      </c>
      <c r="D21" s="12" t="s">
        <v>1155</v>
      </c>
      <c r="E21" s="198">
        <f>ROUND(N(data!V59), 0)</f>
        <v>0</v>
      </c>
      <c r="F21" s="314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314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010</v>
      </c>
      <c r="B22" s="200" t="str">
        <f>RIGHT(data!$C$96,4)</f>
        <v>2024</v>
      </c>
      <c r="C22" s="12" t="str">
        <f>data!W$55</f>
        <v>7120</v>
      </c>
      <c r="D22" s="12" t="s">
        <v>1155</v>
      </c>
      <c r="E22" s="198">
        <f>ROUND(N(data!W59), 0)</f>
        <v>15434</v>
      </c>
      <c r="F22" s="314">
        <f>ROUND(N(data!W60), 2)</f>
        <v>8.82</v>
      </c>
      <c r="G22" s="198">
        <f>ROUND(N(data!W61), 0)</f>
        <v>1915679</v>
      </c>
      <c r="H22" s="198">
        <f>ROUND(N(data!W62), 0)</f>
        <v>394959</v>
      </c>
      <c r="I22" s="198">
        <f>ROUND(N(data!W63), 0)</f>
        <v>0</v>
      </c>
      <c r="J22" s="198">
        <f>ROUND(N(data!W64), 0)</f>
        <v>418834</v>
      </c>
      <c r="K22" s="198">
        <f>ROUND(N(data!W65), 0)</f>
        <v>2652</v>
      </c>
      <c r="L22" s="198">
        <f>ROUND(N(data!W66), 0)</f>
        <v>158158</v>
      </c>
      <c r="M22" s="198">
        <f>ROUND(N(data!W67), 0)</f>
        <v>1145695</v>
      </c>
      <c r="N22" s="198">
        <f>ROUND(N(data!W68), 0)</f>
        <v>158485</v>
      </c>
      <c r="O22" s="198">
        <f>ROUND(N(data!W69), 0)</f>
        <v>428119</v>
      </c>
      <c r="P22" s="198">
        <f>ROUND(N(data!W70), 0)</f>
        <v>0</v>
      </c>
      <c r="Q22" s="198">
        <f>ROUND(N(data!W71), 0)</f>
        <v>229660</v>
      </c>
      <c r="R22" s="198">
        <f>ROUND(N(data!W72), 0)</f>
        <v>0</v>
      </c>
      <c r="S22" s="198">
        <f>ROUND(N(data!W73), 0)</f>
        <v>11819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-8274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189747</v>
      </c>
      <c r="AB22" s="198">
        <f>ROUND(N(data!W82), 0)</f>
        <v>0</v>
      </c>
      <c r="AC22" s="198">
        <f>ROUND(N(data!W83), 0)</f>
        <v>5167</v>
      </c>
      <c r="AD22" s="198">
        <f>ROUND(N(data!W84), 0)</f>
        <v>0</v>
      </c>
      <c r="AE22" s="198">
        <f>ROUND(N(data!W89), 0)</f>
        <v>38005930</v>
      </c>
      <c r="AF22" s="198">
        <f>ROUND(N(data!W87), 0)</f>
        <v>4747020</v>
      </c>
      <c r="AG22" s="198">
        <f>ROUND(N(data!W90), 0)</f>
        <v>6697</v>
      </c>
      <c r="AH22" s="198">
        <f>ROUND(N(data!W91), 0)</f>
        <v>0</v>
      </c>
      <c r="AI22" s="198">
        <f>ROUND(N(data!W92), 0)</f>
        <v>1268</v>
      </c>
      <c r="AJ22" s="198">
        <f>ROUND(N(data!W93), 0)</f>
        <v>65080</v>
      </c>
      <c r="AK22" s="314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010</v>
      </c>
      <c r="B23" s="200" t="str">
        <f>RIGHT(data!$C$96,4)</f>
        <v>2024</v>
      </c>
      <c r="C23" s="12" t="str">
        <f>data!X$55</f>
        <v>7130</v>
      </c>
      <c r="D23" s="12" t="s">
        <v>1155</v>
      </c>
      <c r="E23" s="198">
        <f>ROUND(N(data!X59), 0)</f>
        <v>34527</v>
      </c>
      <c r="F23" s="314">
        <f>ROUND(N(data!X60), 2)</f>
        <v>16.47</v>
      </c>
      <c r="G23" s="198">
        <f>ROUND(N(data!X61), 0)</f>
        <v>3124567</v>
      </c>
      <c r="H23" s="198">
        <f>ROUND(N(data!X62), 0)</f>
        <v>650303</v>
      </c>
      <c r="I23" s="198">
        <f>ROUND(N(data!X63), 0)</f>
        <v>0</v>
      </c>
      <c r="J23" s="198">
        <f>ROUND(N(data!X64), 0)</f>
        <v>1907957</v>
      </c>
      <c r="K23" s="198">
        <f>ROUND(N(data!X65), 0)</f>
        <v>10</v>
      </c>
      <c r="L23" s="198">
        <f>ROUND(N(data!X66), 0)</f>
        <v>374753</v>
      </c>
      <c r="M23" s="198">
        <f>ROUND(N(data!X67), 0)</f>
        <v>139409</v>
      </c>
      <c r="N23" s="198">
        <f>ROUND(N(data!X68), 0)</f>
        <v>162440</v>
      </c>
      <c r="O23" s="198">
        <f>ROUND(N(data!X69), 0)</f>
        <v>1946135</v>
      </c>
      <c r="P23" s="198">
        <f>ROUND(N(data!X70), 0)</f>
        <v>0</v>
      </c>
      <c r="Q23" s="198">
        <f>ROUND(N(data!X71), 0)</f>
        <v>792381</v>
      </c>
      <c r="R23" s="198">
        <f>ROUND(N(data!X72), 0)</f>
        <v>0</v>
      </c>
      <c r="S23" s="198">
        <f>ROUND(N(data!X73), 0)</f>
        <v>9945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117776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1013225</v>
      </c>
      <c r="AB23" s="198">
        <f>ROUND(N(data!X82), 0)</f>
        <v>0</v>
      </c>
      <c r="AC23" s="198">
        <f>ROUND(N(data!X83), 0)</f>
        <v>12808</v>
      </c>
      <c r="AD23" s="198">
        <f>ROUND(N(data!X84), 0)</f>
        <v>0</v>
      </c>
      <c r="AE23" s="198">
        <f>ROUND(N(data!X89), 0)</f>
        <v>83460899</v>
      </c>
      <c r="AF23" s="198">
        <f>ROUND(N(data!X87), 0)</f>
        <v>22615326</v>
      </c>
      <c r="AG23" s="198">
        <f>ROUND(N(data!X90), 0)</f>
        <v>4023</v>
      </c>
      <c r="AH23" s="198">
        <f>ROUND(N(data!X91), 0)</f>
        <v>0</v>
      </c>
      <c r="AI23" s="198">
        <f>ROUND(N(data!X92), 0)</f>
        <v>762</v>
      </c>
      <c r="AJ23" s="198">
        <f>ROUND(N(data!X93), 0)</f>
        <v>109320</v>
      </c>
      <c r="AK23" s="314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010</v>
      </c>
      <c r="B24" s="200" t="str">
        <f>RIGHT(data!$C$96,4)</f>
        <v>2024</v>
      </c>
      <c r="C24" s="12" t="str">
        <f>data!Y$55</f>
        <v>7140</v>
      </c>
      <c r="D24" s="12" t="s">
        <v>1155</v>
      </c>
      <c r="E24" s="198">
        <f>ROUND(N(data!Y59), 0)</f>
        <v>57431</v>
      </c>
      <c r="F24" s="314">
        <f>ROUND(N(data!Y60), 2)</f>
        <v>91.95</v>
      </c>
      <c r="G24" s="198">
        <f>ROUND(N(data!Y61), 0)</f>
        <v>12882805</v>
      </c>
      <c r="H24" s="198">
        <f>ROUND(N(data!Y62), 0)</f>
        <v>2804354</v>
      </c>
      <c r="I24" s="198">
        <f>ROUND(N(data!Y63), 0)</f>
        <v>0</v>
      </c>
      <c r="J24" s="198">
        <f>ROUND(N(data!Y64), 0)</f>
        <v>5935100</v>
      </c>
      <c r="K24" s="198">
        <f>ROUND(N(data!Y65), 0)</f>
        <v>1437</v>
      </c>
      <c r="L24" s="198">
        <f>ROUND(N(data!Y66), 0)</f>
        <v>1370209</v>
      </c>
      <c r="M24" s="198">
        <f>ROUND(N(data!Y67), 0)</f>
        <v>1376363</v>
      </c>
      <c r="N24" s="198">
        <f>ROUND(N(data!Y68), 0)</f>
        <v>1380710</v>
      </c>
      <c r="O24" s="198">
        <f>ROUND(N(data!Y69), 0)</f>
        <v>5339551</v>
      </c>
      <c r="P24" s="198">
        <f>ROUND(N(data!Y70), 0)</f>
        <v>0</v>
      </c>
      <c r="Q24" s="198">
        <f>ROUND(N(data!Y71), 0)</f>
        <v>3726221</v>
      </c>
      <c r="R24" s="198">
        <f>ROUND(N(data!Y72), 0)</f>
        <v>0</v>
      </c>
      <c r="S24" s="198">
        <f>ROUND(N(data!Y73), 0)</f>
        <v>31058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963963</v>
      </c>
      <c r="X24" s="198">
        <f>ROUND(N(data!Y78), 0)</f>
        <v>0</v>
      </c>
      <c r="Y24" s="198">
        <f>ROUND(N(data!Y79), 0)</f>
        <v>0</v>
      </c>
      <c r="Z24" s="198">
        <f>ROUND(N(data!Y80), 0)</f>
        <v>1245</v>
      </c>
      <c r="AA24" s="198">
        <f>ROUND(N(data!Y81), 0)</f>
        <v>491394</v>
      </c>
      <c r="AB24" s="198">
        <f>ROUND(N(data!Y82), 0)</f>
        <v>0</v>
      </c>
      <c r="AC24" s="198">
        <f>ROUND(N(data!Y83), 0)</f>
        <v>125670</v>
      </c>
      <c r="AD24" s="198">
        <f>ROUND(N(data!Y84), 0)</f>
        <v>6793</v>
      </c>
      <c r="AE24" s="198">
        <f>ROUND(N(data!Y89), 0)</f>
        <v>129884757</v>
      </c>
      <c r="AF24" s="198">
        <f>ROUND(N(data!Y87), 0)</f>
        <v>50112058</v>
      </c>
      <c r="AG24" s="198">
        <f>ROUND(N(data!Y90), 0)</f>
        <v>34458</v>
      </c>
      <c r="AH24" s="198">
        <f>ROUND(N(data!Y91), 0)</f>
        <v>2</v>
      </c>
      <c r="AI24" s="198">
        <f>ROUND(N(data!Y92), 0)</f>
        <v>6526</v>
      </c>
      <c r="AJ24" s="198">
        <f>ROUND(N(data!Y93), 0)</f>
        <v>351795</v>
      </c>
      <c r="AK24" s="314">
        <f>ROUND(N(data!Y94), 2)</f>
        <v>12.78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010</v>
      </c>
      <c r="B25" s="200" t="str">
        <f>RIGHT(data!$C$96,4)</f>
        <v>2024</v>
      </c>
      <c r="C25" s="12" t="str">
        <f>data!Z$55</f>
        <v>7150</v>
      </c>
      <c r="D25" s="12" t="s">
        <v>1155</v>
      </c>
      <c r="E25" s="198">
        <f>ROUND(N(data!Z59), 0)</f>
        <v>402798</v>
      </c>
      <c r="F25" s="314">
        <f>ROUND(N(data!Z60), 2)</f>
        <v>53.68</v>
      </c>
      <c r="G25" s="198">
        <f>ROUND(N(data!Z61), 0)</f>
        <v>13092369</v>
      </c>
      <c r="H25" s="198">
        <f>ROUND(N(data!Z62), 0)</f>
        <v>2391621</v>
      </c>
      <c r="I25" s="198">
        <f>ROUND(N(data!Z63), 0)</f>
        <v>0</v>
      </c>
      <c r="J25" s="198">
        <f>ROUND(N(data!Z64), 0)</f>
        <v>410060</v>
      </c>
      <c r="K25" s="198">
        <f>ROUND(N(data!Z65), 0)</f>
        <v>404</v>
      </c>
      <c r="L25" s="198">
        <f>ROUND(N(data!Z66), 0)</f>
        <v>1260872</v>
      </c>
      <c r="M25" s="198">
        <f>ROUND(N(data!Z67), 0)</f>
        <v>209013</v>
      </c>
      <c r="N25" s="198">
        <f>ROUND(N(data!Z68), 0)</f>
        <v>452885</v>
      </c>
      <c r="O25" s="198">
        <f>ROUND(N(data!Z69), 0)</f>
        <v>924330</v>
      </c>
      <c r="P25" s="198">
        <f>ROUND(N(data!Z70), 0)</f>
        <v>0</v>
      </c>
      <c r="Q25" s="198">
        <f>ROUND(N(data!Z71), 0)</f>
        <v>112585</v>
      </c>
      <c r="R25" s="198">
        <f>ROUND(N(data!Z72), 0)</f>
        <v>0</v>
      </c>
      <c r="S25" s="198">
        <f>ROUND(N(data!Z73), 0)</f>
        <v>197427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381359</v>
      </c>
      <c r="X25" s="198">
        <f>ROUND(N(data!Z78), 0)</f>
        <v>0</v>
      </c>
      <c r="Y25" s="198">
        <f>ROUND(N(data!Z79), 0)</f>
        <v>145</v>
      </c>
      <c r="Z25" s="198">
        <f>ROUND(N(data!Z80), 0)</f>
        <v>4352</v>
      </c>
      <c r="AA25" s="198">
        <f>ROUND(N(data!Z81), 0)</f>
        <v>173595</v>
      </c>
      <c r="AB25" s="198">
        <f>ROUND(N(data!Z82), 0)</f>
        <v>0</v>
      </c>
      <c r="AC25" s="198">
        <f>ROUND(N(data!Z83), 0)</f>
        <v>54866</v>
      </c>
      <c r="AD25" s="198">
        <f>ROUND(N(data!Z84), 0)</f>
        <v>1852091</v>
      </c>
      <c r="AE25" s="198">
        <f>ROUND(N(data!Z89), 0)</f>
        <v>40698416</v>
      </c>
      <c r="AF25" s="198">
        <f>ROUND(N(data!Z87), 0)</f>
        <v>1699074</v>
      </c>
      <c r="AG25" s="198">
        <f>ROUND(N(data!Z90), 0)</f>
        <v>11295</v>
      </c>
      <c r="AH25" s="198">
        <f>ROUND(N(data!Z91), 0)</f>
        <v>0</v>
      </c>
      <c r="AI25" s="198">
        <f>ROUND(N(data!Z92), 0)</f>
        <v>2139</v>
      </c>
      <c r="AJ25" s="198">
        <f>ROUND(N(data!Z93), 0)</f>
        <v>26022</v>
      </c>
      <c r="AK25" s="314">
        <f>ROUND(N(data!Z94), 2)</f>
        <v>3.82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010</v>
      </c>
      <c r="B26" s="200" t="str">
        <f>RIGHT(data!$C$96,4)</f>
        <v>2024</v>
      </c>
      <c r="C26" s="12" t="str">
        <f>data!AA$55</f>
        <v>7160</v>
      </c>
      <c r="D26" s="12" t="s">
        <v>1155</v>
      </c>
      <c r="E26" s="198">
        <f>ROUND(N(data!AA59), 0)</f>
        <v>7102</v>
      </c>
      <c r="F26" s="314">
        <f>ROUND(N(data!AA60), 2)</f>
        <v>7.52</v>
      </c>
      <c r="G26" s="198">
        <f>ROUND(N(data!AA61), 0)</f>
        <v>1284510</v>
      </c>
      <c r="H26" s="198">
        <f>ROUND(N(data!AA62), 0)</f>
        <v>267408</v>
      </c>
      <c r="I26" s="198">
        <f>ROUND(N(data!AA63), 0)</f>
        <v>0</v>
      </c>
      <c r="J26" s="198">
        <f>ROUND(N(data!AA64), 0)</f>
        <v>2603546</v>
      </c>
      <c r="K26" s="198">
        <f>ROUND(N(data!AA65), 0)</f>
        <v>8</v>
      </c>
      <c r="L26" s="198">
        <f>ROUND(N(data!AA66), 0)</f>
        <v>1487729</v>
      </c>
      <c r="M26" s="198">
        <f>ROUND(N(data!AA67), 0)</f>
        <v>92054</v>
      </c>
      <c r="N26" s="198">
        <f>ROUND(N(data!AA68), 0)</f>
        <v>244332</v>
      </c>
      <c r="O26" s="198">
        <f>ROUND(N(data!AA69), 0)</f>
        <v>233081</v>
      </c>
      <c r="P26" s="198">
        <f>ROUND(N(data!AA70), 0)</f>
        <v>0</v>
      </c>
      <c r="Q26" s="198">
        <f>ROUND(N(data!AA71), 0)</f>
        <v>95348</v>
      </c>
      <c r="R26" s="198">
        <f>ROUND(N(data!AA72), 0)</f>
        <v>0</v>
      </c>
      <c r="S26" s="198">
        <f>ROUND(N(data!AA73), 0)</f>
        <v>6658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124364</v>
      </c>
      <c r="AB26" s="198">
        <f>ROUND(N(data!AA82), 0)</f>
        <v>0</v>
      </c>
      <c r="AC26" s="198">
        <f>ROUND(N(data!AA83), 0)</f>
        <v>6711</v>
      </c>
      <c r="AD26" s="198">
        <f>ROUND(N(data!AA84), 0)</f>
        <v>0</v>
      </c>
      <c r="AE26" s="198">
        <f>ROUND(N(data!AA89), 0)</f>
        <v>32349019</v>
      </c>
      <c r="AF26" s="198">
        <f>ROUND(N(data!AA87), 0)</f>
        <v>1254292</v>
      </c>
      <c r="AG26" s="198">
        <f>ROUND(N(data!AA90), 0)</f>
        <v>6082</v>
      </c>
      <c r="AH26" s="198">
        <f>ROUND(N(data!AA91), 0)</f>
        <v>0</v>
      </c>
      <c r="AI26" s="198">
        <f>ROUND(N(data!AA92), 0)</f>
        <v>1152</v>
      </c>
      <c r="AJ26" s="198">
        <f>ROUND(N(data!AA93), 0)</f>
        <v>0</v>
      </c>
      <c r="AK26" s="314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010</v>
      </c>
      <c r="B27" s="200" t="str">
        <f>RIGHT(data!$C$96,4)</f>
        <v>2024</v>
      </c>
      <c r="C27" s="12" t="str">
        <f>data!AB$55</f>
        <v>7170</v>
      </c>
      <c r="D27" s="12" t="s">
        <v>1155</v>
      </c>
      <c r="E27" s="198">
        <f>ROUND(N(data!AB59), 0)</f>
        <v>0</v>
      </c>
      <c r="F27" s="314">
        <f>ROUND(N(data!AB60), 2)</f>
        <v>77.569999999999993</v>
      </c>
      <c r="G27" s="198">
        <f>ROUND(N(data!AB61), 0)</f>
        <v>11312418</v>
      </c>
      <c r="H27" s="198">
        <f>ROUND(N(data!AB62), 0)</f>
        <v>2632249</v>
      </c>
      <c r="I27" s="198">
        <f>ROUND(N(data!AB63), 0)</f>
        <v>0</v>
      </c>
      <c r="J27" s="198">
        <f>ROUND(N(data!AB64), 0)</f>
        <v>15033016</v>
      </c>
      <c r="K27" s="198">
        <f>ROUND(N(data!AB65), 0)</f>
        <v>3799</v>
      </c>
      <c r="L27" s="198">
        <f>ROUND(N(data!AB66), 0)</f>
        <v>100382</v>
      </c>
      <c r="M27" s="198">
        <f>ROUND(N(data!AB67), 0)</f>
        <v>123854</v>
      </c>
      <c r="N27" s="198">
        <f>ROUND(N(data!AB68), 0)</f>
        <v>457746</v>
      </c>
      <c r="O27" s="198">
        <f>ROUND(N(data!AB69), 0)</f>
        <v>1069871</v>
      </c>
      <c r="P27" s="198">
        <f>ROUND(N(data!AB70), 0)</f>
        <v>0</v>
      </c>
      <c r="Q27" s="198">
        <f>ROUND(N(data!AB71), 0)</f>
        <v>3901</v>
      </c>
      <c r="R27" s="198">
        <f>ROUND(N(data!AB72), 0)</f>
        <v>0</v>
      </c>
      <c r="S27" s="198">
        <f>ROUND(N(data!AB73), 0)</f>
        <v>996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217600</v>
      </c>
      <c r="X27" s="198">
        <f>ROUND(N(data!AB78), 0)</f>
        <v>0</v>
      </c>
      <c r="Y27" s="198">
        <f>ROUND(N(data!AB79), 0)</f>
        <v>0</v>
      </c>
      <c r="Z27" s="198">
        <f>ROUND(N(data!AB80), 0)</f>
        <v>3762</v>
      </c>
      <c r="AA27" s="198">
        <f>ROUND(N(data!AB81), 0)</f>
        <v>273741</v>
      </c>
      <c r="AB27" s="198">
        <f>ROUND(N(data!AB82), 0)</f>
        <v>0</v>
      </c>
      <c r="AC27" s="198">
        <f>ROUND(N(data!AB83), 0)</f>
        <v>569870</v>
      </c>
      <c r="AD27" s="198">
        <f>ROUND(N(data!AB84), 0)</f>
        <v>2741119</v>
      </c>
      <c r="AE27" s="198">
        <f>ROUND(N(data!AB89), 0)</f>
        <v>77476548</v>
      </c>
      <c r="AF27" s="198">
        <f>ROUND(N(data!AB87), 0)</f>
        <v>63899152</v>
      </c>
      <c r="AG27" s="198">
        <f>ROUND(N(data!AB90), 0)</f>
        <v>9996</v>
      </c>
      <c r="AH27" s="198">
        <f>ROUND(N(data!AB91), 0)</f>
        <v>0</v>
      </c>
      <c r="AI27" s="198">
        <f>ROUND(N(data!AB92), 0)</f>
        <v>1893</v>
      </c>
      <c r="AJ27" s="198">
        <f>ROUND(N(data!AB93), 0)</f>
        <v>17703</v>
      </c>
      <c r="AK27" s="314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010</v>
      </c>
      <c r="B28" s="200" t="str">
        <f>RIGHT(data!$C$96,4)</f>
        <v>2024</v>
      </c>
      <c r="C28" s="12" t="str">
        <f>data!AC$55</f>
        <v>7180</v>
      </c>
      <c r="D28" s="12" t="s">
        <v>1155</v>
      </c>
      <c r="E28" s="198">
        <f>ROUND(N(data!AC59), 0)</f>
        <v>67315</v>
      </c>
      <c r="F28" s="314">
        <f>ROUND(N(data!AC60), 2)</f>
        <v>21.57</v>
      </c>
      <c r="G28" s="198">
        <f>ROUND(N(data!AC61), 0)</f>
        <v>2312940</v>
      </c>
      <c r="H28" s="198">
        <f>ROUND(N(data!AC62), 0)</f>
        <v>531253</v>
      </c>
      <c r="I28" s="198">
        <f>ROUND(N(data!AC63), 0)</f>
        <v>0</v>
      </c>
      <c r="J28" s="198">
        <f>ROUND(N(data!AC64), 0)</f>
        <v>502013</v>
      </c>
      <c r="K28" s="198">
        <f>ROUND(N(data!AC65), 0)</f>
        <v>5</v>
      </c>
      <c r="L28" s="198">
        <f>ROUND(N(data!AC66), 0)</f>
        <v>3474</v>
      </c>
      <c r="M28" s="198">
        <f>ROUND(N(data!AC67), 0)</f>
        <v>72839</v>
      </c>
      <c r="N28" s="198">
        <f>ROUND(N(data!AC68), 0)</f>
        <v>144756</v>
      </c>
      <c r="O28" s="198">
        <f>ROUND(N(data!AC69), 0)</f>
        <v>110493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2921</v>
      </c>
      <c r="AA28" s="198">
        <f>ROUND(N(data!AC81), 0)</f>
        <v>99652</v>
      </c>
      <c r="AB28" s="198">
        <f>ROUND(N(data!AC82), 0)</f>
        <v>0</v>
      </c>
      <c r="AC28" s="198">
        <f>ROUND(N(data!AC83), 0)</f>
        <v>7920</v>
      </c>
      <c r="AD28" s="198">
        <f>ROUND(N(data!AC84), 0)</f>
        <v>0</v>
      </c>
      <c r="AE28" s="198">
        <f>ROUND(N(data!AC89), 0)</f>
        <v>26426800</v>
      </c>
      <c r="AF28" s="198">
        <f>ROUND(N(data!AC87), 0)</f>
        <v>25911588</v>
      </c>
      <c r="AG28" s="198">
        <f>ROUND(N(data!AC90), 0)</f>
        <v>956</v>
      </c>
      <c r="AH28" s="198">
        <f>ROUND(N(data!AC91), 0)</f>
        <v>0</v>
      </c>
      <c r="AI28" s="198">
        <f>ROUND(N(data!AC92), 0)</f>
        <v>181</v>
      </c>
      <c r="AJ28" s="198">
        <f>ROUND(N(data!AC93), 0)</f>
        <v>13820</v>
      </c>
      <c r="AK28" s="314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010</v>
      </c>
      <c r="B29" s="200" t="str">
        <f>RIGHT(data!$C$96,4)</f>
        <v>2024</v>
      </c>
      <c r="C29" s="12" t="str">
        <f>data!AD$55</f>
        <v>7190</v>
      </c>
      <c r="D29" s="12" t="s">
        <v>1155</v>
      </c>
      <c r="E29" s="198">
        <f>ROUND(N(data!AD59), 0)</f>
        <v>19971</v>
      </c>
      <c r="F29" s="314">
        <f>ROUND(N(data!AD60), 2)</f>
        <v>0.08</v>
      </c>
      <c r="G29" s="198">
        <f>ROUND(N(data!AD61), 0)</f>
        <v>29369</v>
      </c>
      <c r="H29" s="198">
        <f>ROUND(N(data!AD62), 0)</f>
        <v>5315</v>
      </c>
      <c r="I29" s="198">
        <f>ROUND(N(data!AD63), 0)</f>
        <v>0</v>
      </c>
      <c r="J29" s="198">
        <f>ROUND(N(data!AD64), 0)</f>
        <v>51451</v>
      </c>
      <c r="K29" s="198">
        <f>ROUND(N(data!AD65), 0)</f>
        <v>0</v>
      </c>
      <c r="L29" s="198">
        <f>ROUND(N(data!AD66), 0)</f>
        <v>3423019</v>
      </c>
      <c r="M29" s="198">
        <f>ROUND(N(data!AD67), 0)</f>
        <v>0</v>
      </c>
      <c r="N29" s="198">
        <f>ROUND(N(data!AD68), 0)</f>
        <v>65984</v>
      </c>
      <c r="O29" s="198">
        <f>ROUND(N(data!AD69), 0)</f>
        <v>82788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694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82004</v>
      </c>
      <c r="AB29" s="198">
        <f>ROUND(N(data!AD82), 0)</f>
        <v>0</v>
      </c>
      <c r="AC29" s="198">
        <f>ROUND(N(data!AD83), 0)</f>
        <v>91</v>
      </c>
      <c r="AD29" s="198">
        <f>ROUND(N(data!AD84), 0)</f>
        <v>0</v>
      </c>
      <c r="AE29" s="198">
        <f>ROUND(N(data!AD89), 0)</f>
        <v>6394076</v>
      </c>
      <c r="AF29" s="198">
        <f>ROUND(N(data!AD87), 0)</f>
        <v>6143430</v>
      </c>
      <c r="AG29" s="198">
        <f>ROUND(N(data!AD90), 0)</f>
        <v>1582</v>
      </c>
      <c r="AH29" s="198">
        <f>ROUND(N(data!AD91), 0)</f>
        <v>0</v>
      </c>
      <c r="AI29" s="198">
        <f>ROUND(N(data!AD92), 0)</f>
        <v>300</v>
      </c>
      <c r="AJ29" s="198">
        <f>ROUND(N(data!AD93), 0)</f>
        <v>0</v>
      </c>
      <c r="AK29" s="314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010</v>
      </c>
      <c r="B30" s="200" t="str">
        <f>RIGHT(data!$C$96,4)</f>
        <v>2024</v>
      </c>
      <c r="C30" s="12" t="str">
        <f>data!AE$55</f>
        <v>7200</v>
      </c>
      <c r="D30" s="12" t="s">
        <v>1155</v>
      </c>
      <c r="E30" s="198">
        <f>ROUND(N(data!AE59), 0)</f>
        <v>218155</v>
      </c>
      <c r="F30" s="314">
        <f>ROUND(N(data!AE60), 2)</f>
        <v>57.53</v>
      </c>
      <c r="G30" s="198">
        <f>ROUND(N(data!AE61), 0)</f>
        <v>7101225</v>
      </c>
      <c r="H30" s="198">
        <f>ROUND(N(data!AE62), 0)</f>
        <v>1518638</v>
      </c>
      <c r="I30" s="198">
        <f>ROUND(N(data!AE63), 0)</f>
        <v>0</v>
      </c>
      <c r="J30" s="198">
        <f>ROUND(N(data!AE64), 0)</f>
        <v>1220425</v>
      </c>
      <c r="K30" s="198">
        <f>ROUND(N(data!AE65), 0)</f>
        <v>-106</v>
      </c>
      <c r="L30" s="198">
        <f>ROUND(N(data!AE66), 0)</f>
        <v>51694</v>
      </c>
      <c r="M30" s="198">
        <f>ROUND(N(data!AE67), 0)</f>
        <v>27544</v>
      </c>
      <c r="N30" s="198">
        <f>ROUND(N(data!AE68), 0)</f>
        <v>466332</v>
      </c>
      <c r="O30" s="198">
        <f>ROUND(N(data!AE69), 0)</f>
        <v>386282</v>
      </c>
      <c r="P30" s="198">
        <f>ROUND(N(data!AE70), 0)</f>
        <v>0</v>
      </c>
      <c r="Q30" s="198">
        <f>ROUND(N(data!AE71), 0)</f>
        <v>219866</v>
      </c>
      <c r="R30" s="198">
        <f>ROUND(N(data!AE72), 0)</f>
        <v>0</v>
      </c>
      <c r="S30" s="198">
        <f>ROUND(N(data!AE73), 0)</f>
        <v>31850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1397</v>
      </c>
      <c r="X30" s="198">
        <f>ROUND(N(data!AE78), 0)</f>
        <v>0</v>
      </c>
      <c r="Y30" s="198">
        <f>ROUND(N(data!AE79), 0)</f>
        <v>0</v>
      </c>
      <c r="Z30" s="198">
        <f>ROUND(N(data!AE80), 0)</f>
        <v>10842</v>
      </c>
      <c r="AA30" s="198">
        <f>ROUND(N(data!AE81), 0)</f>
        <v>97045</v>
      </c>
      <c r="AB30" s="198">
        <f>ROUND(N(data!AE82), 0)</f>
        <v>0</v>
      </c>
      <c r="AC30" s="198">
        <f>ROUND(N(data!AE83), 0)</f>
        <v>25282</v>
      </c>
      <c r="AD30" s="198">
        <f>ROUND(N(data!AE84), 0)</f>
        <v>0</v>
      </c>
      <c r="AE30" s="198">
        <f>ROUND(N(data!AE89), 0)</f>
        <v>25530719</v>
      </c>
      <c r="AF30" s="198">
        <f>ROUND(N(data!AE87), 0)</f>
        <v>10669669</v>
      </c>
      <c r="AG30" s="198">
        <f>ROUND(N(data!AE90), 0)</f>
        <v>11251</v>
      </c>
      <c r="AH30" s="198">
        <f>ROUND(N(data!AE91), 0)</f>
        <v>0</v>
      </c>
      <c r="AI30" s="198">
        <f>ROUND(N(data!AE92), 0)</f>
        <v>2131</v>
      </c>
      <c r="AJ30" s="198">
        <f>ROUND(N(data!AE93), 0)</f>
        <v>19621</v>
      </c>
      <c r="AK30" s="314">
        <f>ROUND(N(data!AE94), 2)</f>
        <v>1.85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010</v>
      </c>
      <c r="B31" s="200" t="str">
        <f>RIGHT(data!$C$96,4)</f>
        <v>2024</v>
      </c>
      <c r="C31" s="12" t="str">
        <f>data!AF$55</f>
        <v>7220</v>
      </c>
      <c r="D31" s="12" t="s">
        <v>1155</v>
      </c>
      <c r="E31" s="198">
        <f>ROUND(N(data!AF59), 0)</f>
        <v>1348</v>
      </c>
      <c r="F31" s="314">
        <f>ROUND(N(data!AF60), 2)</f>
        <v>5.01</v>
      </c>
      <c r="G31" s="198">
        <f>ROUND(N(data!AF61), 0)</f>
        <v>594501</v>
      </c>
      <c r="H31" s="198">
        <f>ROUND(N(data!AF62), 0)</f>
        <v>120099</v>
      </c>
      <c r="I31" s="198">
        <f>ROUND(N(data!AF63), 0)</f>
        <v>0</v>
      </c>
      <c r="J31" s="198">
        <f>ROUND(N(data!AF64), 0)</f>
        <v>3529</v>
      </c>
      <c r="K31" s="198">
        <f>ROUND(N(data!AF65), 0)</f>
        <v>0</v>
      </c>
      <c r="L31" s="198">
        <f>ROUND(N(data!AF66), 0)</f>
        <v>1936</v>
      </c>
      <c r="M31" s="198">
        <f>ROUND(N(data!AF67), 0)</f>
        <v>316</v>
      </c>
      <c r="N31" s="198">
        <f>ROUND(N(data!AF68), 0)</f>
        <v>21849</v>
      </c>
      <c r="O31" s="198">
        <f>ROUND(N(data!AF69), 0)</f>
        <v>10187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4992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1158</v>
      </c>
      <c r="AA31" s="198">
        <f>ROUND(N(data!AF81), 0)</f>
        <v>1812</v>
      </c>
      <c r="AB31" s="198">
        <f>ROUND(N(data!AF82), 0)</f>
        <v>0</v>
      </c>
      <c r="AC31" s="198">
        <f>ROUND(N(data!AF83), 0)</f>
        <v>2226</v>
      </c>
      <c r="AD31" s="198">
        <f>ROUND(N(data!AF84), 0)</f>
        <v>0</v>
      </c>
      <c r="AE31" s="198">
        <f>ROUND(N(data!AF89), 0)</f>
        <v>442870</v>
      </c>
      <c r="AF31" s="198">
        <f>ROUND(N(data!AF87), 0)</f>
        <v>0</v>
      </c>
      <c r="AG31" s="198">
        <f>ROUND(N(data!AF90), 0)</f>
        <v>1037</v>
      </c>
      <c r="AH31" s="198">
        <f>ROUND(N(data!AF91), 0)</f>
        <v>0</v>
      </c>
      <c r="AI31" s="198">
        <f>ROUND(N(data!AF92), 0)</f>
        <v>196</v>
      </c>
      <c r="AJ31" s="198">
        <f>ROUND(N(data!AF93), 0)</f>
        <v>0</v>
      </c>
      <c r="AK31" s="314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010</v>
      </c>
      <c r="B32" s="200" t="str">
        <f>RIGHT(data!$C$96,4)</f>
        <v>2024</v>
      </c>
      <c r="C32" s="12" t="str">
        <f>data!AG$55</f>
        <v>7230</v>
      </c>
      <c r="D32" s="12" t="s">
        <v>1155</v>
      </c>
      <c r="E32" s="198">
        <f>ROUND(N(data!AG59), 0)</f>
        <v>22719</v>
      </c>
      <c r="F32" s="314">
        <f>ROUND(N(data!AG60), 2)</f>
        <v>53.51</v>
      </c>
      <c r="G32" s="198">
        <f>ROUND(N(data!AG61), 0)</f>
        <v>10220168</v>
      </c>
      <c r="H32" s="198">
        <f>ROUND(N(data!AG62), 0)</f>
        <v>2051231</v>
      </c>
      <c r="I32" s="198">
        <f>ROUND(N(data!AG63), 0)</f>
        <v>0</v>
      </c>
      <c r="J32" s="198">
        <f>ROUND(N(data!AG64), 0)</f>
        <v>1190761</v>
      </c>
      <c r="K32" s="198">
        <f>ROUND(N(data!AG65), 0)</f>
        <v>3</v>
      </c>
      <c r="L32" s="198">
        <f>ROUND(N(data!AG66), 0)</f>
        <v>347375</v>
      </c>
      <c r="M32" s="198">
        <f>ROUND(N(data!AG67), 0)</f>
        <v>47635</v>
      </c>
      <c r="N32" s="198">
        <f>ROUND(N(data!AG68), 0)</f>
        <v>625860</v>
      </c>
      <c r="O32" s="198">
        <f>ROUND(N(data!AG69), 0)</f>
        <v>3175507</v>
      </c>
      <c r="P32" s="198">
        <f>ROUND(N(data!AG70), 0)</f>
        <v>0</v>
      </c>
      <c r="Q32" s="198">
        <f>ROUND(N(data!AG71), 0)</f>
        <v>2573927</v>
      </c>
      <c r="R32" s="198">
        <f>ROUND(N(data!AG72), 0)</f>
        <v>0</v>
      </c>
      <c r="S32" s="198">
        <f>ROUND(N(data!AG73), 0)</f>
        <v>254487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7160</v>
      </c>
      <c r="X32" s="198">
        <f>ROUND(N(data!AG78), 0)</f>
        <v>0</v>
      </c>
      <c r="Y32" s="198">
        <f>ROUND(N(data!AG79), 0)</f>
        <v>0</v>
      </c>
      <c r="Z32" s="198">
        <f>ROUND(N(data!AG80), 0)</f>
        <v>8198</v>
      </c>
      <c r="AA32" s="198">
        <f>ROUND(N(data!AG81), 0)</f>
        <v>309486</v>
      </c>
      <c r="AB32" s="198">
        <f>ROUND(N(data!AG82), 0)</f>
        <v>0</v>
      </c>
      <c r="AC32" s="198">
        <f>ROUND(N(data!AG83), 0)</f>
        <v>22249</v>
      </c>
      <c r="AD32" s="198">
        <f>ROUND(N(data!AG84), 0)</f>
        <v>0</v>
      </c>
      <c r="AE32" s="198">
        <f>ROUND(N(data!AG89), 0)</f>
        <v>81041769</v>
      </c>
      <c r="AF32" s="198">
        <f>ROUND(N(data!AG87), 0)</f>
        <v>18356522</v>
      </c>
      <c r="AG32" s="198">
        <f>ROUND(N(data!AG90), 0)</f>
        <v>15108</v>
      </c>
      <c r="AH32" s="198">
        <f>ROUND(N(data!AG91), 0)</f>
        <v>16625</v>
      </c>
      <c r="AI32" s="198">
        <f>ROUND(N(data!AG92), 0)</f>
        <v>2861</v>
      </c>
      <c r="AJ32" s="198">
        <f>ROUND(N(data!AG93), 0)</f>
        <v>15132</v>
      </c>
      <c r="AK32" s="314">
        <f>ROUND(N(data!AG94), 2)</f>
        <v>27.06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010</v>
      </c>
      <c r="B33" s="200" t="str">
        <f>RIGHT(data!$C$96,4)</f>
        <v>2024</v>
      </c>
      <c r="C33" s="12" t="str">
        <f>data!AH$55</f>
        <v>7240</v>
      </c>
      <c r="D33" s="12" t="s">
        <v>1155</v>
      </c>
      <c r="E33" s="198">
        <f>ROUND(N(data!AH59), 0)</f>
        <v>0</v>
      </c>
      <c r="F33" s="314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314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010</v>
      </c>
      <c r="B34" s="200" t="str">
        <f>RIGHT(data!$C$96,4)</f>
        <v>2024</v>
      </c>
      <c r="C34" s="12" t="str">
        <f>data!AI$55</f>
        <v>7250</v>
      </c>
      <c r="D34" s="12" t="s">
        <v>1155</v>
      </c>
      <c r="E34" s="198">
        <f>ROUND(N(data!AI59), 0)</f>
        <v>0</v>
      </c>
      <c r="F34" s="314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4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010</v>
      </c>
      <c r="B35" s="200" t="str">
        <f>RIGHT(data!$C$96,4)</f>
        <v>2024</v>
      </c>
      <c r="C35" s="12" t="str">
        <f>data!AJ$55</f>
        <v>7260</v>
      </c>
      <c r="D35" s="12" t="s">
        <v>1155</v>
      </c>
      <c r="E35" s="198">
        <f>ROUND(N(data!AJ59), 0)</f>
        <v>346826</v>
      </c>
      <c r="F35" s="314">
        <f>ROUND(N(data!AJ60), 2)</f>
        <v>858.6</v>
      </c>
      <c r="G35" s="198">
        <f>ROUND(N(data!AJ61), 0)</f>
        <v>165815874</v>
      </c>
      <c r="H35" s="198">
        <f>ROUND(N(data!AJ62), 0)</f>
        <v>30808431</v>
      </c>
      <c r="I35" s="198">
        <f>ROUND(N(data!AJ63), 0)</f>
        <v>8054166</v>
      </c>
      <c r="J35" s="198">
        <f>ROUND(N(data!AJ64), 0)</f>
        <v>81975310</v>
      </c>
      <c r="K35" s="198">
        <f>ROUND(N(data!AJ65), 0)</f>
        <v>133579</v>
      </c>
      <c r="L35" s="198">
        <f>ROUND(N(data!AJ66), 0)</f>
        <v>-17385451</v>
      </c>
      <c r="M35" s="198">
        <f>ROUND(N(data!AJ67), 0)</f>
        <v>2248100</v>
      </c>
      <c r="N35" s="198">
        <f>ROUND(N(data!AJ68), 0)</f>
        <v>8866887</v>
      </c>
      <c r="O35" s="198">
        <f>ROUND(N(data!AJ69), 0)</f>
        <v>27689290</v>
      </c>
      <c r="P35" s="198">
        <f>ROUND(N(data!AJ70), 0)</f>
        <v>0</v>
      </c>
      <c r="Q35" s="198">
        <f>ROUND(N(data!AJ71), 0)</f>
        <v>10645767</v>
      </c>
      <c r="R35" s="198">
        <f>ROUND(N(data!AJ72), 0)</f>
        <v>0</v>
      </c>
      <c r="S35" s="198">
        <f>ROUND(N(data!AJ73), 0)</f>
        <v>3023698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1046404</v>
      </c>
      <c r="X35" s="198">
        <f>ROUND(N(data!AJ78), 0)</f>
        <v>0</v>
      </c>
      <c r="Y35" s="198">
        <f>ROUND(N(data!AJ79), 0)</f>
        <v>0</v>
      </c>
      <c r="Z35" s="198">
        <f>ROUND(N(data!AJ80), 0)</f>
        <v>187483</v>
      </c>
      <c r="AA35" s="198">
        <f>ROUND(N(data!AJ81), 0)</f>
        <v>3686155</v>
      </c>
      <c r="AB35" s="198">
        <f>ROUND(N(data!AJ82), 0)</f>
        <v>0</v>
      </c>
      <c r="AC35" s="198">
        <f>ROUND(N(data!AJ83), 0)</f>
        <v>9099783</v>
      </c>
      <c r="AD35" s="198">
        <f>ROUND(N(data!AJ84), 0)</f>
        <v>15407581</v>
      </c>
      <c r="AE35" s="198">
        <f>ROUND(N(data!AJ89), 0)</f>
        <v>899779029</v>
      </c>
      <c r="AF35" s="198">
        <f>ROUND(N(data!AJ87), 0)</f>
        <v>64161729</v>
      </c>
      <c r="AG35" s="198">
        <f>ROUND(N(data!AJ90), 0)</f>
        <v>216475</v>
      </c>
      <c r="AH35" s="198">
        <f>ROUND(N(data!AJ91), 0)</f>
        <v>162</v>
      </c>
      <c r="AI35" s="198">
        <f>ROUND(N(data!AJ92), 0)</f>
        <v>41000</v>
      </c>
      <c r="AJ35" s="198">
        <f>ROUND(N(data!AJ93), 0)</f>
        <v>219648</v>
      </c>
      <c r="AK35" s="314">
        <f>ROUND(N(data!AJ94), 2)</f>
        <v>142.61000000000001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010</v>
      </c>
      <c r="B36" s="200" t="str">
        <f>RIGHT(data!$C$96,4)</f>
        <v>2024</v>
      </c>
      <c r="C36" s="12" t="str">
        <f>data!AK$55</f>
        <v>7310</v>
      </c>
      <c r="D36" s="12" t="s">
        <v>1155</v>
      </c>
      <c r="E36" s="198">
        <f>ROUND(N(data!AK59), 0)</f>
        <v>0</v>
      </c>
      <c r="F36" s="314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314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010</v>
      </c>
      <c r="B37" s="200" t="str">
        <f>RIGHT(data!$C$96,4)</f>
        <v>2024</v>
      </c>
      <c r="C37" s="12" t="str">
        <f>data!AL$55</f>
        <v>7320</v>
      </c>
      <c r="D37" s="12" t="s">
        <v>1155</v>
      </c>
      <c r="E37" s="198">
        <f>ROUND(N(data!AL59), 0)</f>
        <v>0</v>
      </c>
      <c r="F37" s="314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314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010</v>
      </c>
      <c r="B38" s="200" t="str">
        <f>RIGHT(data!$C$96,4)</f>
        <v>2024</v>
      </c>
      <c r="C38" s="12" t="str">
        <f>data!AM$55</f>
        <v>7330</v>
      </c>
      <c r="D38" s="12" t="s">
        <v>1155</v>
      </c>
      <c r="E38" s="198">
        <f>ROUND(N(data!AM59), 0)</f>
        <v>0</v>
      </c>
      <c r="F38" s="314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4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010</v>
      </c>
      <c r="B39" s="200" t="str">
        <f>RIGHT(data!$C$96,4)</f>
        <v>2024</v>
      </c>
      <c r="C39" s="12" t="str">
        <f>data!AN$55</f>
        <v>7340</v>
      </c>
      <c r="D39" s="12" t="s">
        <v>1155</v>
      </c>
      <c r="E39" s="198">
        <f>ROUND(N(data!AN59), 0)</f>
        <v>0</v>
      </c>
      <c r="F39" s="314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4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010</v>
      </c>
      <c r="B40" s="200" t="str">
        <f>RIGHT(data!$C$96,4)</f>
        <v>2024</v>
      </c>
      <c r="C40" s="12" t="str">
        <f>data!AO$55</f>
        <v>7350</v>
      </c>
      <c r="D40" s="12" t="s">
        <v>1155</v>
      </c>
      <c r="E40" s="198">
        <f>ROUND(N(data!AO59), 0)</f>
        <v>0</v>
      </c>
      <c r="F40" s="314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14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010</v>
      </c>
      <c r="B41" s="200" t="str">
        <f>RIGHT(data!$C$96,4)</f>
        <v>2024</v>
      </c>
      <c r="C41" s="12" t="str">
        <f>data!AP$55</f>
        <v>7380</v>
      </c>
      <c r="D41" s="12" t="s">
        <v>1155</v>
      </c>
      <c r="E41" s="198">
        <f>ROUND(N(data!AP59), 0)</f>
        <v>579507</v>
      </c>
      <c r="F41" s="314">
        <f>ROUND(N(data!AP60), 2)</f>
        <v>834.77</v>
      </c>
      <c r="G41" s="198">
        <f>ROUND(N(data!AP61), 0)</f>
        <v>124594938</v>
      </c>
      <c r="H41" s="198">
        <f>ROUND(N(data!AP62), 0)</f>
        <v>24695398</v>
      </c>
      <c r="I41" s="198">
        <f>ROUND(N(data!AP63), 0)</f>
        <v>0</v>
      </c>
      <c r="J41" s="198">
        <f>ROUND(N(data!AP64), 0)</f>
        <v>39763969</v>
      </c>
      <c r="K41" s="198">
        <f>ROUND(N(data!AP65), 0)</f>
        <v>1377075</v>
      </c>
      <c r="L41" s="198">
        <f>ROUND(N(data!AP66), 0)</f>
        <v>2749913</v>
      </c>
      <c r="M41" s="198">
        <f>ROUND(N(data!AP67), 0)</f>
        <v>3547897</v>
      </c>
      <c r="N41" s="198">
        <f>ROUND(N(data!AP68), 0)</f>
        <v>10340984</v>
      </c>
      <c r="O41" s="198">
        <f>ROUND(N(data!AP69), 0)</f>
        <v>16117779</v>
      </c>
      <c r="P41" s="198">
        <f>ROUND(N(data!AP70), 0)</f>
        <v>0</v>
      </c>
      <c r="Q41" s="198">
        <f>ROUND(N(data!AP71), 0)</f>
        <v>2913083</v>
      </c>
      <c r="R41" s="198">
        <f>ROUND(N(data!AP72), 0)</f>
        <v>0</v>
      </c>
      <c r="S41" s="198">
        <f>ROUND(N(data!AP73), 0)</f>
        <v>1518254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2672586</v>
      </c>
      <c r="X41" s="198">
        <f>ROUND(N(data!AP78), 0)</f>
        <v>0</v>
      </c>
      <c r="Y41" s="198">
        <f>ROUND(N(data!AP79), 0)</f>
        <v>25000</v>
      </c>
      <c r="Z41" s="198">
        <f>ROUND(N(data!AP80), 0)</f>
        <v>92751</v>
      </c>
      <c r="AA41" s="198">
        <f>ROUND(N(data!AP81), 0)</f>
        <v>2516357</v>
      </c>
      <c r="AB41" s="198">
        <f>ROUND(N(data!AP82), 0)</f>
        <v>0</v>
      </c>
      <c r="AC41" s="198">
        <f>ROUND(N(data!AP83), 0)</f>
        <v>6379749</v>
      </c>
      <c r="AD41" s="198">
        <f>ROUND(N(data!AP84), 0)</f>
        <v>11117111</v>
      </c>
      <c r="AE41" s="198">
        <f>ROUND(N(data!AP89), 0)</f>
        <v>595834742</v>
      </c>
      <c r="AF41" s="198">
        <f>ROUND(N(data!AP87), 0)</f>
        <v>7006</v>
      </c>
      <c r="AG41" s="198">
        <f>ROUND(N(data!AP90), 0)</f>
        <v>281395</v>
      </c>
      <c r="AH41" s="198">
        <f>ROUND(N(data!AP91), 0)</f>
        <v>0</v>
      </c>
      <c r="AI41" s="198">
        <f>ROUND(N(data!AP92), 0)</f>
        <v>53296</v>
      </c>
      <c r="AJ41" s="198">
        <f>ROUND(N(data!AP93), 0)</f>
        <v>404984</v>
      </c>
      <c r="AK41" s="314">
        <f>ROUND(N(data!AP94), 2)</f>
        <v>87.35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010</v>
      </c>
      <c r="B42" s="200" t="str">
        <f>RIGHT(data!$C$96,4)</f>
        <v>2024</v>
      </c>
      <c r="C42" s="12" t="str">
        <f>data!AQ$55</f>
        <v>7390</v>
      </c>
      <c r="D42" s="12" t="s">
        <v>1155</v>
      </c>
      <c r="E42" s="198">
        <f>ROUND(N(data!AQ59), 0)</f>
        <v>0</v>
      </c>
      <c r="F42" s="314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4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010</v>
      </c>
      <c r="B43" s="200" t="str">
        <f>RIGHT(data!$C$96,4)</f>
        <v>2024</v>
      </c>
      <c r="C43" s="12" t="str">
        <f>data!AR$55</f>
        <v>7400</v>
      </c>
      <c r="D43" s="12" t="s">
        <v>1155</v>
      </c>
      <c r="E43" s="198">
        <f>ROUND(N(data!AR59), 0)</f>
        <v>0</v>
      </c>
      <c r="F43" s="314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4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010</v>
      </c>
      <c r="B44" s="200" t="str">
        <f>RIGHT(data!$C$96,4)</f>
        <v>2024</v>
      </c>
      <c r="C44" s="12" t="str">
        <f>data!AS$55</f>
        <v>7410</v>
      </c>
      <c r="D44" s="12" t="s">
        <v>1155</v>
      </c>
      <c r="E44" s="198">
        <f>ROUND(N(data!AS59), 0)</f>
        <v>0</v>
      </c>
      <c r="F44" s="314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4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010</v>
      </c>
      <c r="B45" s="200" t="str">
        <f>RIGHT(data!$C$96,4)</f>
        <v>2024</v>
      </c>
      <c r="C45" s="12" t="str">
        <f>data!AT$55</f>
        <v>7420</v>
      </c>
      <c r="D45" s="12" t="s">
        <v>1155</v>
      </c>
      <c r="E45" s="198">
        <f>ROUND(N(data!AT59), 0)</f>
        <v>81</v>
      </c>
      <c r="F45" s="314">
        <f>ROUND(N(data!AT60), 2)</f>
        <v>19.39</v>
      </c>
      <c r="G45" s="198">
        <f>ROUND(N(data!AT61), 0)</f>
        <v>2504954</v>
      </c>
      <c r="H45" s="198">
        <f>ROUND(N(data!AT62), 0)</f>
        <v>548174</v>
      </c>
      <c r="I45" s="198">
        <f>ROUND(N(data!AT63), 0)</f>
        <v>0</v>
      </c>
      <c r="J45" s="198">
        <f>ROUND(N(data!AT64), 0)</f>
        <v>3789003</v>
      </c>
      <c r="K45" s="198">
        <f>ROUND(N(data!AT65), 0)</f>
        <v>0</v>
      </c>
      <c r="L45" s="198">
        <f>ROUND(N(data!AT66), 0)</f>
        <v>2207953</v>
      </c>
      <c r="M45" s="198">
        <f>ROUND(N(data!AT67), 0)</f>
        <v>0</v>
      </c>
      <c r="N45" s="198">
        <f>ROUND(N(data!AT68), 0)</f>
        <v>88490</v>
      </c>
      <c r="O45" s="198">
        <f>ROUND(N(data!AT69), 0)</f>
        <v>402447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11534</v>
      </c>
      <c r="T45" s="198">
        <f>ROUND(N(data!AT74), 0)</f>
        <v>0</v>
      </c>
      <c r="U45" s="198">
        <f>ROUND(N(data!AT75), 0)</f>
        <v>0</v>
      </c>
      <c r="V45" s="198">
        <f>ROUND(N(data!AT76), 0)</f>
        <v>49011</v>
      </c>
      <c r="W45" s="198">
        <f>ROUND(N(data!AT77), 0)</f>
        <v>196228</v>
      </c>
      <c r="X45" s="198">
        <f>ROUND(N(data!AT78), 0)</f>
        <v>0</v>
      </c>
      <c r="Y45" s="198">
        <f>ROUND(N(data!AT79), 0)</f>
        <v>0</v>
      </c>
      <c r="Z45" s="198">
        <f>ROUND(N(data!AT80), 0)</f>
        <v>1400</v>
      </c>
      <c r="AA45" s="198">
        <f>ROUND(N(data!AT81), 0)</f>
        <v>129802</v>
      </c>
      <c r="AB45" s="198">
        <f>ROUND(N(data!AT82), 0)</f>
        <v>0</v>
      </c>
      <c r="AC45" s="198">
        <f>ROUND(N(data!AT83), 0)</f>
        <v>14472</v>
      </c>
      <c r="AD45" s="198">
        <f>ROUND(N(data!AT84), 0)</f>
        <v>229453</v>
      </c>
      <c r="AE45" s="198">
        <f>ROUND(N(data!AT89), 0)</f>
        <v>10121000</v>
      </c>
      <c r="AF45" s="198">
        <f>ROUND(N(data!AT87), 0)</f>
        <v>10121000</v>
      </c>
      <c r="AG45" s="198">
        <f>ROUND(N(data!AT90), 0)</f>
        <v>2207</v>
      </c>
      <c r="AH45" s="198">
        <f>ROUND(N(data!AT91), 0)</f>
        <v>0</v>
      </c>
      <c r="AI45" s="198">
        <f>ROUND(N(data!AT92), 0)</f>
        <v>418</v>
      </c>
      <c r="AJ45" s="198">
        <f>ROUND(N(data!AT93), 0)</f>
        <v>0</v>
      </c>
      <c r="AK45" s="314">
        <f>ROUND(N(data!AT94), 2)</f>
        <v>7.45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010</v>
      </c>
      <c r="B46" s="200" t="str">
        <f>RIGHT(data!$C$96,4)</f>
        <v>2024</v>
      </c>
      <c r="C46" s="12" t="str">
        <f>data!AU$55</f>
        <v>7430</v>
      </c>
      <c r="D46" s="12" t="s">
        <v>1155</v>
      </c>
      <c r="E46" s="198">
        <f>ROUND(N(data!AU59), 0)</f>
        <v>0</v>
      </c>
      <c r="F46" s="314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14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010</v>
      </c>
      <c r="B47" s="200" t="str">
        <f>RIGHT(data!$C$96,4)</f>
        <v>2024</v>
      </c>
      <c r="C47" s="12" t="str">
        <f>data!AV$55</f>
        <v>7490</v>
      </c>
      <c r="D47" s="12" t="s">
        <v>1155</v>
      </c>
      <c r="E47" s="198">
        <f>ROUND(N(data!AV59), 0)</f>
        <v>0</v>
      </c>
      <c r="F47" s="314">
        <f>ROUND(N(data!AV60), 2)</f>
        <v>49.56</v>
      </c>
      <c r="G47" s="198">
        <f>ROUND(N(data!AV61), 0)</f>
        <v>8105933</v>
      </c>
      <c r="H47" s="198">
        <f>ROUND(N(data!AV62), 0)</f>
        <v>1674640</v>
      </c>
      <c r="I47" s="198">
        <f>ROUND(N(data!AV63), 0)</f>
        <v>0</v>
      </c>
      <c r="J47" s="198">
        <f>ROUND(N(data!AV64), 0)</f>
        <v>27652508</v>
      </c>
      <c r="K47" s="198">
        <f>ROUND(N(data!AV65), 0)</f>
        <v>3097</v>
      </c>
      <c r="L47" s="198">
        <f>ROUND(N(data!AV66), 0)</f>
        <v>206095</v>
      </c>
      <c r="M47" s="198">
        <f>ROUND(N(data!AV67), 0)</f>
        <v>382873</v>
      </c>
      <c r="N47" s="198">
        <f>ROUND(N(data!AV68), 0)</f>
        <v>903911</v>
      </c>
      <c r="O47" s="198">
        <f>ROUND(N(data!AV69), 0)</f>
        <v>2531984</v>
      </c>
      <c r="P47" s="198">
        <f>ROUND(N(data!AV70), 0)</f>
        <v>0</v>
      </c>
      <c r="Q47" s="198">
        <f>ROUND(N(data!AV71), 0)</f>
        <v>1270735</v>
      </c>
      <c r="R47" s="198">
        <f>ROUND(N(data!AV72), 0)</f>
        <v>0</v>
      </c>
      <c r="S47" s="198">
        <f>ROUND(N(data!AV73), 0)</f>
        <v>59980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196172</v>
      </c>
      <c r="X47" s="198">
        <f>ROUND(N(data!AV78), 0)</f>
        <v>0</v>
      </c>
      <c r="Y47" s="198">
        <f>ROUND(N(data!AV79), 0)</f>
        <v>0</v>
      </c>
      <c r="Z47" s="198">
        <f>ROUND(N(data!AV80), 0)</f>
        <v>19162</v>
      </c>
      <c r="AA47" s="198">
        <f>ROUND(N(data!AV81), 0)</f>
        <v>821021</v>
      </c>
      <c r="AB47" s="198">
        <f>ROUND(N(data!AV82), 0)</f>
        <v>0</v>
      </c>
      <c r="AC47" s="198">
        <f>ROUND(N(data!AV83), 0)</f>
        <v>164914</v>
      </c>
      <c r="AD47" s="198">
        <f>ROUND(N(data!AV84), 0)</f>
        <v>328563</v>
      </c>
      <c r="AE47" s="198">
        <f>ROUND(N(data!AV89), 0)</f>
        <v>166333122</v>
      </c>
      <c r="AF47" s="198">
        <f>ROUND(N(data!AV87), 0)</f>
        <v>100269905</v>
      </c>
      <c r="AG47" s="198">
        <f>ROUND(N(data!AV90), 0)</f>
        <v>21494</v>
      </c>
      <c r="AH47" s="198">
        <f>ROUND(N(data!AV91), 0)</f>
        <v>0</v>
      </c>
      <c r="AI47" s="198">
        <f>ROUND(N(data!AV92), 0)</f>
        <v>4071</v>
      </c>
      <c r="AJ47" s="198">
        <f>ROUND(N(data!AV93), 0)</f>
        <v>8995</v>
      </c>
      <c r="AK47" s="314">
        <f>ROUND(N(data!AV94), 2)</f>
        <v>57.9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010</v>
      </c>
      <c r="B48" s="200" t="str">
        <f>RIGHT(data!$C$96,4)</f>
        <v>2024</v>
      </c>
      <c r="C48" s="12" t="str">
        <f>data!AW$55</f>
        <v>8200</v>
      </c>
      <c r="D48" s="12" t="s">
        <v>1155</v>
      </c>
      <c r="E48" s="198">
        <f>ROUND(N(data!AW59), 0)</f>
        <v>0</v>
      </c>
      <c r="F48" s="314">
        <f>ROUND(N(data!AW60), 2)</f>
        <v>163.34</v>
      </c>
      <c r="G48" s="198">
        <f>ROUND(N(data!AW61), 0)</f>
        <v>15477976</v>
      </c>
      <c r="H48" s="198">
        <f>ROUND(N(data!AW62), 0)</f>
        <v>3510994</v>
      </c>
      <c r="I48" s="198">
        <f>ROUND(N(data!AW63), 0)</f>
        <v>0</v>
      </c>
      <c r="J48" s="198">
        <f>ROUND(N(data!AW64), 0)</f>
        <v>196320</v>
      </c>
      <c r="K48" s="198">
        <f>ROUND(N(data!AW65), 0)</f>
        <v>2035</v>
      </c>
      <c r="L48" s="198">
        <f>ROUND(N(data!AW66), 0)</f>
        <v>6524405</v>
      </c>
      <c r="M48" s="198">
        <f>ROUND(N(data!AW67), 0)</f>
        <v>17487</v>
      </c>
      <c r="N48" s="198">
        <f>ROUND(N(data!AW68), 0)</f>
        <v>318604</v>
      </c>
      <c r="O48" s="198">
        <f>ROUND(N(data!AW69), 0)</f>
        <v>1173225</v>
      </c>
      <c r="P48" s="198">
        <f>ROUND(N(data!AW70), 0)</f>
        <v>0</v>
      </c>
      <c r="Q48" s="198">
        <f>ROUND(N(data!AW71), 0)</f>
        <v>7500</v>
      </c>
      <c r="R48" s="198">
        <f>ROUND(N(data!AW72), 0)</f>
        <v>0</v>
      </c>
      <c r="S48" s="198">
        <f>ROUND(N(data!AW73), 0)</f>
        <v>137577</v>
      </c>
      <c r="T48" s="198">
        <f>ROUND(N(data!AW74), 0)</f>
        <v>397</v>
      </c>
      <c r="U48" s="198">
        <f>ROUND(N(data!AW75), 0)</f>
        <v>0</v>
      </c>
      <c r="V48" s="198">
        <f>ROUND(N(data!AW76), 0)</f>
        <v>0</v>
      </c>
      <c r="W48" s="198">
        <f>ROUND(N(data!AW77), 0)</f>
        <v>32319</v>
      </c>
      <c r="X48" s="198">
        <f>ROUND(N(data!AW78), 0)</f>
        <v>0</v>
      </c>
      <c r="Y48" s="198">
        <f>ROUND(N(data!AW79), 0)</f>
        <v>1024</v>
      </c>
      <c r="Z48" s="198">
        <f>ROUND(N(data!AW80), 0)</f>
        <v>107761</v>
      </c>
      <c r="AA48" s="198">
        <f>ROUND(N(data!AW81), 0)</f>
        <v>0</v>
      </c>
      <c r="AB48" s="198">
        <f>ROUND(N(data!AW82), 0)</f>
        <v>0</v>
      </c>
      <c r="AC48" s="198">
        <f>ROUND(N(data!AW83), 0)</f>
        <v>886648</v>
      </c>
      <c r="AD48" s="198">
        <f>ROUND(N(data!AW84), 0)</f>
        <v>6615</v>
      </c>
      <c r="AE48" s="198">
        <f>ROUND(N(data!AW89), 0)</f>
        <v>0</v>
      </c>
      <c r="AF48" s="198">
        <f>ROUND(N(data!AW87), 0)</f>
        <v>0</v>
      </c>
      <c r="AG48" s="198">
        <f>ROUND(N(data!AW90), 0)</f>
        <v>7915</v>
      </c>
      <c r="AH48" s="198">
        <f>ROUND(N(data!AW91), 0)</f>
        <v>0</v>
      </c>
      <c r="AI48" s="198">
        <f>ROUND(N(data!AW92), 0)</f>
        <v>1499</v>
      </c>
      <c r="AJ48" s="198">
        <f>ROUND(N(data!AW93), 0)</f>
        <v>0</v>
      </c>
      <c r="AK48" s="314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010</v>
      </c>
      <c r="B49" s="200" t="str">
        <f>RIGHT(data!$C$96,4)</f>
        <v>2024</v>
      </c>
      <c r="C49" s="12" t="str">
        <f>data!AX$55</f>
        <v>8310</v>
      </c>
      <c r="D49" s="12" t="s">
        <v>1155</v>
      </c>
      <c r="E49" s="198">
        <f>ROUND(N(data!AX59), 0)</f>
        <v>0</v>
      </c>
      <c r="F49" s="314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665</v>
      </c>
      <c r="K49" s="198">
        <f>ROUND(N(data!AX65), 0)</f>
        <v>11</v>
      </c>
      <c r="L49" s="198">
        <f>ROUND(N(data!AX66), 0)</f>
        <v>382251</v>
      </c>
      <c r="M49" s="198">
        <f>ROUND(N(data!AX67), 0)</f>
        <v>614</v>
      </c>
      <c r="N49" s="198">
        <f>ROUND(N(data!AX68), 0)</f>
        <v>138912</v>
      </c>
      <c r="O49" s="198">
        <f>ROUND(N(data!AX69), 0)</f>
        <v>163490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162547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944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3415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4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010</v>
      </c>
      <c r="B50" s="200" t="str">
        <f>RIGHT(data!$C$96,4)</f>
        <v>2024</v>
      </c>
      <c r="C50" s="12" t="str">
        <f>data!AY$55</f>
        <v>8320</v>
      </c>
      <c r="D50" s="12" t="s">
        <v>1155</v>
      </c>
      <c r="E50" s="198">
        <f>ROUND(N(data!AY59), 0)</f>
        <v>186918</v>
      </c>
      <c r="F50" s="314">
        <f>ROUND(N(data!AY60), 2)</f>
        <v>40.98</v>
      </c>
      <c r="G50" s="198">
        <f>ROUND(N(data!AY61), 0)</f>
        <v>3080453</v>
      </c>
      <c r="H50" s="198">
        <f>ROUND(N(data!AY62), 0)</f>
        <v>702921</v>
      </c>
      <c r="I50" s="198">
        <f>ROUND(N(data!AY63), 0)</f>
        <v>0</v>
      </c>
      <c r="J50" s="198">
        <f>ROUND(N(data!AY64), 0)</f>
        <v>70876</v>
      </c>
      <c r="K50" s="198">
        <f>ROUND(N(data!AY65), 0)</f>
        <v>0</v>
      </c>
      <c r="L50" s="198">
        <f>ROUND(N(data!AY66), 0)</f>
        <v>1793846</v>
      </c>
      <c r="M50" s="198">
        <f>ROUND(N(data!AY67), 0)</f>
        <v>7663</v>
      </c>
      <c r="N50" s="198">
        <f>ROUND(N(data!AY68), 0)</f>
        <v>220950</v>
      </c>
      <c r="O50" s="198">
        <f>ROUND(N(data!AY69), 0)</f>
        <v>248973</v>
      </c>
      <c r="P50" s="198">
        <f>ROUND(N(data!AY70), 0)</f>
        <v>0</v>
      </c>
      <c r="Q50" s="198">
        <f>ROUND(N(data!AY71), 0)</f>
        <v>207165</v>
      </c>
      <c r="R50" s="198">
        <f>ROUND(N(data!AY72), 0)</f>
        <v>0</v>
      </c>
      <c r="S50" s="198">
        <f>ROUND(N(data!AY73), 0)</f>
        <v>0</v>
      </c>
      <c r="T50" s="198">
        <f>ROUND(N(data!AY74), 0)</f>
        <v>1725</v>
      </c>
      <c r="U50" s="198">
        <f>ROUND(N(data!AY75), 0)</f>
        <v>0</v>
      </c>
      <c r="V50" s="198">
        <f>ROUND(N(data!AY76), 0)</f>
        <v>0</v>
      </c>
      <c r="W50" s="198">
        <f>ROUND(N(data!AY77), 0)</f>
        <v>2491</v>
      </c>
      <c r="X50" s="198">
        <f>ROUND(N(data!AY78), 0)</f>
        <v>0</v>
      </c>
      <c r="Y50" s="198">
        <f>ROUND(N(data!AY79), 0)</f>
        <v>0</v>
      </c>
      <c r="Z50" s="198">
        <f>ROUND(N(data!AY80), 0)</f>
        <v>4591</v>
      </c>
      <c r="AA50" s="198">
        <f>ROUND(N(data!AY81), 0)</f>
        <v>27080</v>
      </c>
      <c r="AB50" s="198">
        <f>ROUND(N(data!AY82), 0)</f>
        <v>0</v>
      </c>
      <c r="AC50" s="198">
        <f>ROUND(N(data!AY83), 0)</f>
        <v>5922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5511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4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010</v>
      </c>
      <c r="B51" s="200" t="str">
        <f>RIGHT(data!$C$96,4)</f>
        <v>2024</v>
      </c>
      <c r="C51" s="12" t="str">
        <f>data!AZ$55</f>
        <v>8330</v>
      </c>
      <c r="D51" s="12" t="s">
        <v>1155</v>
      </c>
      <c r="E51" s="198">
        <f>ROUND(N(data!AZ59), 0)</f>
        <v>351252</v>
      </c>
      <c r="F51" s="314">
        <f>ROUND(N(data!AZ60), 2)</f>
        <v>17.62</v>
      </c>
      <c r="G51" s="198">
        <f>ROUND(N(data!AZ61), 0)</f>
        <v>1220805</v>
      </c>
      <c r="H51" s="198">
        <f>ROUND(N(data!AZ62), 0)</f>
        <v>280009</v>
      </c>
      <c r="I51" s="198">
        <f>ROUND(N(data!AZ63), 0)</f>
        <v>0</v>
      </c>
      <c r="J51" s="198">
        <f>ROUND(N(data!AZ64), 0)</f>
        <v>56606</v>
      </c>
      <c r="K51" s="198">
        <f>ROUND(N(data!AZ65), 0)</f>
        <v>38358</v>
      </c>
      <c r="L51" s="198">
        <f>ROUND(N(data!AZ66), 0)</f>
        <v>3182762</v>
      </c>
      <c r="M51" s="198">
        <f>ROUND(N(data!AZ67), 0)</f>
        <v>122456</v>
      </c>
      <c r="N51" s="198">
        <f>ROUND(N(data!AZ68), 0)</f>
        <v>683390</v>
      </c>
      <c r="O51" s="198">
        <f>ROUND(N(data!AZ69), 0)</f>
        <v>649251</v>
      </c>
      <c r="P51" s="198">
        <f>ROUND(N(data!AZ70), 0)</f>
        <v>0</v>
      </c>
      <c r="Q51" s="198">
        <f>ROUND(N(data!AZ71), 0)</f>
        <v>456239</v>
      </c>
      <c r="R51" s="198">
        <f>ROUND(N(data!AZ72), 0)</f>
        <v>0</v>
      </c>
      <c r="S51" s="198">
        <f>ROUND(N(data!AZ73), 0)</f>
        <v>0</v>
      </c>
      <c r="T51" s="198">
        <f>ROUND(N(data!AZ74), 0)</f>
        <v>4330</v>
      </c>
      <c r="U51" s="198">
        <f>ROUND(N(data!AZ75), 0)</f>
        <v>0</v>
      </c>
      <c r="V51" s="198">
        <f>ROUND(N(data!AZ76), 0)</f>
        <v>0</v>
      </c>
      <c r="W51" s="198">
        <f>ROUND(N(data!AZ77), 0)</f>
        <v>20752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14477</v>
      </c>
      <c r="AB51" s="198">
        <f>ROUND(N(data!AZ82), 0)</f>
        <v>0</v>
      </c>
      <c r="AC51" s="198">
        <f>ROUND(N(data!AZ83), 0)</f>
        <v>153453</v>
      </c>
      <c r="AD51" s="198">
        <f>ROUND(N(data!AZ84), 0)</f>
        <v>2922756</v>
      </c>
      <c r="AE51" s="198">
        <f>ROUND(N(data!AZ89), 0)</f>
        <v>0</v>
      </c>
      <c r="AF51" s="198">
        <f>ROUND(N(data!AZ87), 0)</f>
        <v>0</v>
      </c>
      <c r="AG51" s="198">
        <f>ROUND(N(data!AZ90), 0)</f>
        <v>17044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14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010</v>
      </c>
      <c r="B52" s="200" t="str">
        <f>RIGHT(data!$C$96,4)</f>
        <v>2024</v>
      </c>
      <c r="C52" s="12" t="str">
        <f>data!BA$55</f>
        <v>8350</v>
      </c>
      <c r="D52" s="12" t="s">
        <v>1155</v>
      </c>
      <c r="E52" s="198">
        <f>ROUND(N(data!BA59), 0)</f>
        <v>0</v>
      </c>
      <c r="F52" s="314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1131</v>
      </c>
      <c r="M52" s="198">
        <f>ROUND(N(data!BA67), 0)</f>
        <v>0</v>
      </c>
      <c r="N52" s="198">
        <f>ROUND(N(data!BA68), 0)</f>
        <v>128010</v>
      </c>
      <c r="O52" s="198">
        <f>ROUND(N(data!BA69), 0)</f>
        <v>2309608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2309608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3193</v>
      </c>
      <c r="AH52" s="198">
        <f>ROUND(N(data!BA91), 0)</f>
        <v>0</v>
      </c>
      <c r="AI52" s="198">
        <f>ROUND(N(data!BA92), 0)</f>
        <v>605</v>
      </c>
      <c r="AJ52" s="198">
        <f>ROUND(N(data!BA93), 0)</f>
        <v>0</v>
      </c>
      <c r="AK52" s="314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010</v>
      </c>
      <c r="B53" s="200" t="str">
        <f>RIGHT(data!$C$96,4)</f>
        <v>2024</v>
      </c>
      <c r="C53" s="12" t="str">
        <f>data!BB$55</f>
        <v>8360</v>
      </c>
      <c r="D53" s="12" t="s">
        <v>1155</v>
      </c>
      <c r="E53" s="198">
        <f>ROUND(N(data!BB59), 0)</f>
        <v>0</v>
      </c>
      <c r="F53" s="314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301</v>
      </c>
      <c r="AH53" s="198">
        <f>ROUND(N(data!BB91), 0)</f>
        <v>0</v>
      </c>
      <c r="AI53" s="198">
        <f>ROUND(N(data!BB92), 0)</f>
        <v>57</v>
      </c>
      <c r="AJ53" s="198">
        <f>ROUND(N(data!BB93), 0)</f>
        <v>0</v>
      </c>
      <c r="AK53" s="314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010</v>
      </c>
      <c r="B54" s="200" t="str">
        <f>RIGHT(data!$C$96,4)</f>
        <v>2024</v>
      </c>
      <c r="C54" s="12" t="str">
        <f>data!BC$55</f>
        <v>8370</v>
      </c>
      <c r="D54" s="12" t="s">
        <v>1155</v>
      </c>
      <c r="E54" s="198">
        <f>ROUND(N(data!BC59), 0)</f>
        <v>0</v>
      </c>
      <c r="F54" s="314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129456</v>
      </c>
      <c r="K54" s="198">
        <f>ROUND(N(data!BC65), 0)</f>
        <v>0</v>
      </c>
      <c r="L54" s="198">
        <f>ROUND(N(data!BC66), 0)</f>
        <v>677549</v>
      </c>
      <c r="M54" s="198">
        <f>ROUND(N(data!BC67), 0)</f>
        <v>22809</v>
      </c>
      <c r="N54" s="198">
        <f>ROUND(N(data!BC68), 0)</f>
        <v>21230</v>
      </c>
      <c r="O54" s="198">
        <f>ROUND(N(data!BC69), 0)</f>
        <v>2249229</v>
      </c>
      <c r="P54" s="198">
        <f>ROUND(N(data!BC70), 0)</f>
        <v>0</v>
      </c>
      <c r="Q54" s="198">
        <f>ROUND(N(data!BC71), 0)</f>
        <v>2101323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147700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206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530</v>
      </c>
      <c r="AH54" s="198">
        <f>ROUND(N(data!BC91), 0)</f>
        <v>0</v>
      </c>
      <c r="AI54" s="198">
        <f>ROUND(N(data!BC92), 0)</f>
        <v>100</v>
      </c>
      <c r="AJ54" s="198">
        <f>ROUND(N(data!BC93), 0)</f>
        <v>0</v>
      </c>
      <c r="AK54" s="314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010</v>
      </c>
      <c r="B55" s="200" t="str">
        <f>RIGHT(data!$C$96,4)</f>
        <v>2024</v>
      </c>
      <c r="C55" s="12" t="str">
        <f>data!BD$55</f>
        <v>8420</v>
      </c>
      <c r="D55" s="12" t="s">
        <v>1155</v>
      </c>
      <c r="E55" s="198">
        <f>ROUND(N(data!BD59), 0)</f>
        <v>0</v>
      </c>
      <c r="F55" s="314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1195329</v>
      </c>
      <c r="K55" s="198">
        <f>ROUND(N(data!BD65), 0)</f>
        <v>1</v>
      </c>
      <c r="L55" s="198">
        <f>ROUND(N(data!BD66), 0)</f>
        <v>69403</v>
      </c>
      <c r="M55" s="198">
        <f>ROUND(N(data!BD67), 0)</f>
        <v>0</v>
      </c>
      <c r="N55" s="198">
        <f>ROUND(N(data!BD68), 0)</f>
        <v>0</v>
      </c>
      <c r="O55" s="198">
        <f>ROUND(N(data!BD69), 0)</f>
        <v>270369</v>
      </c>
      <c r="P55" s="198">
        <f>ROUND(N(data!BD70), 0)</f>
        <v>0</v>
      </c>
      <c r="Q55" s="198">
        <f>ROUND(N(data!BD71), 0)</f>
        <v>250126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32178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-11935</v>
      </c>
      <c r="AD55" s="198">
        <f>ROUND(N(data!BD84), 0)</f>
        <v>971</v>
      </c>
      <c r="AE55" s="198">
        <f>ROUND(N(data!BD89), 0)</f>
        <v>0</v>
      </c>
      <c r="AF55" s="198">
        <f>ROUND(N(data!BD87), 0)</f>
        <v>0</v>
      </c>
      <c r="AG55" s="198">
        <f>ROUND(N(data!BD90), 0)</f>
        <v>8677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4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010</v>
      </c>
      <c r="B56" s="200" t="str">
        <f>RIGHT(data!$C$96,4)</f>
        <v>2024</v>
      </c>
      <c r="C56" s="12" t="str">
        <f>data!BE$55</f>
        <v>8430</v>
      </c>
      <c r="D56" s="12" t="s">
        <v>1155</v>
      </c>
      <c r="E56" s="198">
        <f>ROUND(N(data!BE59), 0)</f>
        <v>1475211</v>
      </c>
      <c r="F56" s="314">
        <f>ROUND(N(data!BE60), 2)</f>
        <v>37.409999999999997</v>
      </c>
      <c r="G56" s="198">
        <f>ROUND(N(data!BE61), 0)</f>
        <v>2999966</v>
      </c>
      <c r="H56" s="198">
        <f>ROUND(N(data!BE62), 0)</f>
        <v>370203</v>
      </c>
      <c r="I56" s="198">
        <f>ROUND(N(data!BE63), 0)</f>
        <v>0</v>
      </c>
      <c r="J56" s="198">
        <f>ROUND(N(data!BE64), 0)</f>
        <v>1360010</v>
      </c>
      <c r="K56" s="198">
        <f>ROUND(N(data!BE65), 0)</f>
        <v>8276144</v>
      </c>
      <c r="L56" s="198">
        <f>ROUND(N(data!BE66), 0)</f>
        <v>1322452</v>
      </c>
      <c r="M56" s="198">
        <f>ROUND(N(data!BE67), 0)</f>
        <v>12631671</v>
      </c>
      <c r="N56" s="198">
        <f>ROUND(N(data!BE68), 0)</f>
        <v>510359</v>
      </c>
      <c r="O56" s="198">
        <f>ROUND(N(data!BE69), 0)</f>
        <v>9395453</v>
      </c>
      <c r="P56" s="198">
        <f>ROUND(N(data!BE70), 0)</f>
        <v>0</v>
      </c>
      <c r="Q56" s="198">
        <f>ROUND(N(data!BE71), 0)</f>
        <v>2089347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7386199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-80092</v>
      </c>
      <c r="AD56" s="198">
        <f>ROUND(N(data!BE84), 0)</f>
        <v>295177</v>
      </c>
      <c r="AE56" s="198">
        <f>ROUND(N(data!BE89), 0)</f>
        <v>0</v>
      </c>
      <c r="AF56" s="198">
        <f>ROUND(N(data!BE87), 0)</f>
        <v>0</v>
      </c>
      <c r="AG56" s="198">
        <f>ROUND(N(data!BE90), 0)</f>
        <v>363675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4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010</v>
      </c>
      <c r="B57" s="200" t="str">
        <f>RIGHT(data!$C$96,4)</f>
        <v>2024</v>
      </c>
      <c r="C57" s="12" t="str">
        <f>data!BF$55</f>
        <v>8460</v>
      </c>
      <c r="D57" s="12" t="s">
        <v>1155</v>
      </c>
      <c r="E57" s="198">
        <f>ROUND(N(data!BF59), 0)</f>
        <v>0</v>
      </c>
      <c r="F57" s="314">
        <f>ROUND(N(data!BF60), 2)</f>
        <v>93.24</v>
      </c>
      <c r="G57" s="198">
        <f>ROUND(N(data!BF61), 0)</f>
        <v>6006557</v>
      </c>
      <c r="H57" s="198">
        <f>ROUND(N(data!BF62), 0)</f>
        <v>1501639</v>
      </c>
      <c r="I57" s="198">
        <f>ROUND(N(data!BF63), 0)</f>
        <v>0</v>
      </c>
      <c r="J57" s="198">
        <f>ROUND(N(data!BF64), 0)</f>
        <v>603560</v>
      </c>
      <c r="K57" s="198">
        <f>ROUND(N(data!BF65), 0)</f>
        <v>1887266</v>
      </c>
      <c r="L57" s="198">
        <f>ROUND(N(data!BF66), 0)</f>
        <v>962056</v>
      </c>
      <c r="M57" s="198">
        <f>ROUND(N(data!BF67), 0)</f>
        <v>17810</v>
      </c>
      <c r="N57" s="198">
        <f>ROUND(N(data!BF68), 0)</f>
        <v>328123</v>
      </c>
      <c r="O57" s="198">
        <f>ROUND(N(data!BF69), 0)</f>
        <v>4252204</v>
      </c>
      <c r="P57" s="198">
        <f>ROUND(N(data!BF70), 0)</f>
        <v>0</v>
      </c>
      <c r="Q57" s="198">
        <f>ROUND(N(data!BF71), 0)</f>
        <v>3894480</v>
      </c>
      <c r="R57" s="198">
        <f>ROUND(N(data!BF72), 0)</f>
        <v>0</v>
      </c>
      <c r="S57" s="198">
        <f>ROUND(N(data!BF73), 0)</f>
        <v>0</v>
      </c>
      <c r="T57" s="198">
        <f>ROUND(N(data!BF74), 0)</f>
        <v>103157</v>
      </c>
      <c r="U57" s="198">
        <f>ROUND(N(data!BF75), 0)</f>
        <v>0</v>
      </c>
      <c r="V57" s="198">
        <f>ROUND(N(data!BF76), 0)</f>
        <v>0</v>
      </c>
      <c r="W57" s="198">
        <f>ROUND(N(data!BF77), 0)</f>
        <v>260471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-5904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8107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4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010</v>
      </c>
      <c r="B58" s="200" t="str">
        <f>RIGHT(data!$C$96,4)</f>
        <v>2024</v>
      </c>
      <c r="C58" s="12" t="str">
        <f>data!BG$55</f>
        <v>8470</v>
      </c>
      <c r="D58" s="12" t="s">
        <v>1155</v>
      </c>
      <c r="E58" s="198">
        <f>ROUND(N(data!BG59), 0)</f>
        <v>0</v>
      </c>
      <c r="F58" s="314">
        <f>ROUND(N(data!BG60), 2)</f>
        <v>164.12</v>
      </c>
      <c r="G58" s="198">
        <f>ROUND(N(data!BG61), 0)</f>
        <v>10108566</v>
      </c>
      <c r="H58" s="198">
        <f>ROUND(N(data!BG62), 0)</f>
        <v>2329115</v>
      </c>
      <c r="I58" s="198">
        <f>ROUND(N(data!BG63), 0)</f>
        <v>0</v>
      </c>
      <c r="J58" s="198">
        <f>ROUND(N(data!BG64), 0)</f>
        <v>3370</v>
      </c>
      <c r="K58" s="198">
        <f>ROUND(N(data!BG65), 0)</f>
        <v>-520</v>
      </c>
      <c r="L58" s="198">
        <f>ROUND(N(data!BG66), 0)</f>
        <v>17509</v>
      </c>
      <c r="M58" s="198">
        <f>ROUND(N(data!BG67), 0)</f>
        <v>10777</v>
      </c>
      <c r="N58" s="198">
        <f>ROUND(N(data!BG68), 0)</f>
        <v>401062</v>
      </c>
      <c r="O58" s="198">
        <f>ROUND(N(data!BG69), 0)</f>
        <v>226615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225395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1220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11091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4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010</v>
      </c>
      <c r="B59" s="200" t="str">
        <f>RIGHT(data!$C$96,4)</f>
        <v>2024</v>
      </c>
      <c r="C59" s="12" t="str">
        <f>data!BH$55</f>
        <v>8480</v>
      </c>
      <c r="D59" s="12" t="s">
        <v>1155</v>
      </c>
      <c r="E59" s="198">
        <f>ROUND(N(data!BH59), 0)</f>
        <v>0</v>
      </c>
      <c r="F59" s="314">
        <f>ROUND(N(data!BH60), 2)</f>
        <v>20.76</v>
      </c>
      <c r="G59" s="198">
        <f>ROUND(N(data!BH61), 0)</f>
        <v>2287426</v>
      </c>
      <c r="H59" s="198">
        <f>ROUND(N(data!BH62), 0)</f>
        <v>497676</v>
      </c>
      <c r="I59" s="198">
        <f>ROUND(N(data!BH63), 0)</f>
        <v>0</v>
      </c>
      <c r="J59" s="198">
        <f>ROUND(N(data!BH64), 0)</f>
        <v>970844</v>
      </c>
      <c r="K59" s="198">
        <f>ROUND(N(data!BH65), 0)</f>
        <v>2534817</v>
      </c>
      <c r="L59" s="198">
        <f>ROUND(N(data!BH66), 0)</f>
        <v>9467977</v>
      </c>
      <c r="M59" s="198">
        <f>ROUND(N(data!BH67), 0)</f>
        <v>2098160</v>
      </c>
      <c r="N59" s="198">
        <f>ROUND(N(data!BH68), 0)</f>
        <v>2088104</v>
      </c>
      <c r="O59" s="198">
        <f>ROUND(N(data!BH69), 0)</f>
        <v>12358286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8980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12259897</v>
      </c>
      <c r="X59" s="198">
        <f>ROUND(N(data!BH78), 0)</f>
        <v>0</v>
      </c>
      <c r="Y59" s="198">
        <f>ROUND(N(data!BH79), 0)</f>
        <v>0</v>
      </c>
      <c r="Z59" s="198">
        <f>ROUND(N(data!BH80), 0)</f>
        <v>8926</v>
      </c>
      <c r="AA59" s="198">
        <f>ROUND(N(data!BH81), 0)</f>
        <v>0</v>
      </c>
      <c r="AB59" s="198">
        <f>ROUND(N(data!BH82), 0)</f>
        <v>0</v>
      </c>
      <c r="AC59" s="198">
        <f>ROUND(N(data!BH83), 0)</f>
        <v>80483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18972</v>
      </c>
      <c r="AH59" s="198">
        <f>ROUND(N(data!BH91), 0)</f>
        <v>0</v>
      </c>
      <c r="AI59" s="198">
        <f>ROUND(N(data!BH92), 0)</f>
        <v>3593</v>
      </c>
      <c r="AJ59" s="198">
        <f>ROUND(N(data!BH93), 0)</f>
        <v>0</v>
      </c>
      <c r="AK59" s="314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010</v>
      </c>
      <c r="B60" s="200" t="str">
        <f>RIGHT(data!$C$96,4)</f>
        <v>2024</v>
      </c>
      <c r="C60" s="12" t="str">
        <f>data!BI$55</f>
        <v>8490</v>
      </c>
      <c r="D60" s="12" t="s">
        <v>1155</v>
      </c>
      <c r="E60" s="198">
        <f>ROUND(N(data!BI59), 0)</f>
        <v>0</v>
      </c>
      <c r="F60" s="314">
        <f>ROUND(N(data!BI60), 2)</f>
        <v>1</v>
      </c>
      <c r="G60" s="198">
        <f>ROUND(N(data!BI61), 0)</f>
        <v>175034</v>
      </c>
      <c r="H60" s="198">
        <f>ROUND(N(data!BI62), 0)</f>
        <v>40151</v>
      </c>
      <c r="I60" s="198">
        <f>ROUND(N(data!BI63), 0)</f>
        <v>0</v>
      </c>
      <c r="J60" s="198">
        <f>ROUND(N(data!BI64), 0)</f>
        <v>527406</v>
      </c>
      <c r="K60" s="198">
        <f>ROUND(N(data!BI65), 0)</f>
        <v>10</v>
      </c>
      <c r="L60" s="198">
        <f>ROUND(N(data!BI66), 0)</f>
        <v>9586972</v>
      </c>
      <c r="M60" s="198">
        <f>ROUND(N(data!BI67), 0)</f>
        <v>23350</v>
      </c>
      <c r="N60" s="198">
        <f>ROUND(N(data!BI68), 0)</f>
        <v>288676</v>
      </c>
      <c r="O60" s="198">
        <f>ROUND(N(data!BI69), 0)</f>
        <v>550863</v>
      </c>
      <c r="P60" s="198">
        <f>ROUND(N(data!BI70), 0)</f>
        <v>0</v>
      </c>
      <c r="Q60" s="198">
        <f>ROUND(N(data!BI71), 0)</f>
        <v>2250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136683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411930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7131</v>
      </c>
      <c r="AH60" s="198">
        <f>ROUND(N(data!BI91), 0)</f>
        <v>0</v>
      </c>
      <c r="AI60" s="198">
        <f>ROUND(N(data!BI92), 0)</f>
        <v>1351</v>
      </c>
      <c r="AJ60" s="198">
        <f>ROUND(N(data!BI93), 0)</f>
        <v>0</v>
      </c>
      <c r="AK60" s="314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010</v>
      </c>
      <c r="B61" s="200" t="str">
        <f>RIGHT(data!$C$96,4)</f>
        <v>2024</v>
      </c>
      <c r="C61" s="12" t="str">
        <f>data!BJ$55</f>
        <v>8510</v>
      </c>
      <c r="D61" s="12" t="s">
        <v>1155</v>
      </c>
      <c r="E61" s="198">
        <f>ROUND(N(data!BJ59), 0)</f>
        <v>0</v>
      </c>
      <c r="F61" s="314">
        <f>ROUND(N(data!BJ60), 2)</f>
        <v>2.98</v>
      </c>
      <c r="G61" s="198">
        <f>ROUND(N(data!BJ61), 0)</f>
        <v>300412</v>
      </c>
      <c r="H61" s="198">
        <f>ROUND(N(data!BJ62), 0)</f>
        <v>41473</v>
      </c>
      <c r="I61" s="198">
        <f>ROUND(N(data!BJ63), 0)</f>
        <v>0</v>
      </c>
      <c r="J61" s="198">
        <f>ROUND(N(data!BJ64), 0)</f>
        <v>12966</v>
      </c>
      <c r="K61" s="198">
        <f>ROUND(N(data!BJ65), 0)</f>
        <v>1</v>
      </c>
      <c r="L61" s="198">
        <f>ROUND(N(data!BJ66), 0)</f>
        <v>516077</v>
      </c>
      <c r="M61" s="198">
        <f>ROUND(N(data!BJ67), 0)</f>
        <v>0</v>
      </c>
      <c r="N61" s="198">
        <f>ROUND(N(data!BJ68), 0)</f>
        <v>141906</v>
      </c>
      <c r="O61" s="198">
        <f>ROUND(N(data!BJ69), 0)</f>
        <v>255215</v>
      </c>
      <c r="P61" s="198">
        <f>ROUND(N(data!BJ70), 0)</f>
        <v>0</v>
      </c>
      <c r="Q61" s="198">
        <f>ROUND(N(data!BJ71), 0)</f>
        <v>242533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1672</v>
      </c>
      <c r="X61" s="198">
        <f>ROUND(N(data!BJ78), 0)</f>
        <v>0</v>
      </c>
      <c r="Y61" s="198">
        <f>ROUND(N(data!BJ79), 0)</f>
        <v>0</v>
      </c>
      <c r="Z61" s="198">
        <f>ROUND(N(data!BJ80), 0)</f>
        <v>1900</v>
      </c>
      <c r="AA61" s="198">
        <f>ROUND(N(data!BJ81), 0)</f>
        <v>0</v>
      </c>
      <c r="AB61" s="198">
        <f>ROUND(N(data!BJ82), 0)</f>
        <v>0</v>
      </c>
      <c r="AC61" s="198">
        <f>ROUND(N(data!BJ83), 0)</f>
        <v>9110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2226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4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010</v>
      </c>
      <c r="B62" s="200" t="str">
        <f>RIGHT(data!$C$96,4)</f>
        <v>2024</v>
      </c>
      <c r="C62" s="12" t="str">
        <f>data!BK$55</f>
        <v>8530</v>
      </c>
      <c r="D62" s="12" t="s">
        <v>1155</v>
      </c>
      <c r="E62" s="198">
        <f>ROUND(N(data!BK59), 0)</f>
        <v>0</v>
      </c>
      <c r="F62" s="314">
        <f>ROUND(N(data!BK60), 2)</f>
        <v>178.3</v>
      </c>
      <c r="G62" s="198">
        <f>ROUND(N(data!BK61), 0)</f>
        <v>14347318</v>
      </c>
      <c r="H62" s="198">
        <f>ROUND(N(data!BK62), 0)</f>
        <v>3217293</v>
      </c>
      <c r="I62" s="198">
        <f>ROUND(N(data!BK63), 0)</f>
        <v>0</v>
      </c>
      <c r="J62" s="198">
        <f>ROUND(N(data!BK64), 0)</f>
        <v>442809</v>
      </c>
      <c r="K62" s="198">
        <f>ROUND(N(data!BK65), 0)</f>
        <v>200</v>
      </c>
      <c r="L62" s="198">
        <f>ROUND(N(data!BK66), 0)</f>
        <v>2092138</v>
      </c>
      <c r="M62" s="198">
        <f>ROUND(N(data!BK67), 0)</f>
        <v>18502</v>
      </c>
      <c r="N62" s="198">
        <f>ROUND(N(data!BK68), 0)</f>
        <v>91201</v>
      </c>
      <c r="O62" s="198">
        <f>ROUND(N(data!BK69), 0)</f>
        <v>1283901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18571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1143047</v>
      </c>
      <c r="X62" s="198">
        <f>ROUND(N(data!BK78), 0)</f>
        <v>0</v>
      </c>
      <c r="Y62" s="198">
        <f>ROUND(N(data!BK79), 0)</f>
        <v>0</v>
      </c>
      <c r="Z62" s="198">
        <f>ROUND(N(data!BK80), 0)</f>
        <v>10050</v>
      </c>
      <c r="AA62" s="198">
        <f>ROUND(N(data!BK81), 0)</f>
        <v>0</v>
      </c>
      <c r="AB62" s="198">
        <f>ROUND(N(data!BK82), 0)</f>
        <v>0</v>
      </c>
      <c r="AC62" s="198">
        <f>ROUND(N(data!BK83), 0)</f>
        <v>112233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2187</v>
      </c>
      <c r="AH62" s="198">
        <f>ROUND(N(data!BK91), 0)</f>
        <v>0</v>
      </c>
      <c r="AI62" s="198">
        <f>ROUND(N(data!BK92), 0)</f>
        <v>414</v>
      </c>
      <c r="AJ62" s="198">
        <f>ROUND(N(data!BK93), 0)</f>
        <v>0</v>
      </c>
      <c r="AK62" s="314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010</v>
      </c>
      <c r="B63" s="200" t="str">
        <f>RIGHT(data!$C$96,4)</f>
        <v>2024</v>
      </c>
      <c r="C63" s="12" t="str">
        <f>data!BL$55</f>
        <v>8560</v>
      </c>
      <c r="D63" s="12" t="s">
        <v>1155</v>
      </c>
      <c r="E63" s="198">
        <f>ROUND(N(data!BL59), 0)</f>
        <v>0</v>
      </c>
      <c r="F63" s="314">
        <f>ROUND(N(data!BL60), 2)</f>
        <v>67.73</v>
      </c>
      <c r="G63" s="198">
        <f>ROUND(N(data!BL61), 0)</f>
        <v>5881894</v>
      </c>
      <c r="H63" s="198">
        <f>ROUND(N(data!BL62), 0)</f>
        <v>1348726</v>
      </c>
      <c r="I63" s="198">
        <f>ROUND(N(data!BL63), 0)</f>
        <v>0</v>
      </c>
      <c r="J63" s="198">
        <f>ROUND(N(data!BL64), 0)</f>
        <v>23486</v>
      </c>
      <c r="K63" s="198">
        <f>ROUND(N(data!BL65), 0)</f>
        <v>16</v>
      </c>
      <c r="L63" s="198">
        <f>ROUND(N(data!BL66), 0)</f>
        <v>8348</v>
      </c>
      <c r="M63" s="198">
        <f>ROUND(N(data!BL67), 0)</f>
        <v>877</v>
      </c>
      <c r="N63" s="198">
        <f>ROUND(N(data!BL68), 0)</f>
        <v>350522</v>
      </c>
      <c r="O63" s="198">
        <f>ROUND(N(data!BL69), 0)</f>
        <v>377039</v>
      </c>
      <c r="P63" s="198">
        <f>ROUND(N(data!BL70), 0)</f>
        <v>0</v>
      </c>
      <c r="Q63" s="198">
        <f>ROUND(N(data!BL71), 0)</f>
        <v>351680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25359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8109</v>
      </c>
      <c r="AH63" s="198">
        <f>ROUND(N(data!BL91), 0)</f>
        <v>0</v>
      </c>
      <c r="AI63" s="198">
        <f>ROUND(N(data!BL92), 0)</f>
        <v>1536</v>
      </c>
      <c r="AJ63" s="198">
        <f>ROUND(N(data!BL93), 0)</f>
        <v>0</v>
      </c>
      <c r="AK63" s="314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010</v>
      </c>
      <c r="B64" s="200" t="str">
        <f>RIGHT(data!$C$96,4)</f>
        <v>2024</v>
      </c>
      <c r="C64" s="12" t="str">
        <f>data!BM$55</f>
        <v>8590</v>
      </c>
      <c r="D64" s="12" t="s">
        <v>1155</v>
      </c>
      <c r="E64" s="198">
        <f>ROUND(N(data!BM59), 0)</f>
        <v>0</v>
      </c>
      <c r="F64" s="314">
        <f>ROUND(N(data!BM60), 2)</f>
        <v>5.0999999999999996</v>
      </c>
      <c r="G64" s="198">
        <f>ROUND(N(data!BM61), 0)</f>
        <v>676409</v>
      </c>
      <c r="H64" s="198">
        <f>ROUND(N(data!BM62), 0)</f>
        <v>153616</v>
      </c>
      <c r="I64" s="198">
        <f>ROUND(N(data!BM63), 0)</f>
        <v>0</v>
      </c>
      <c r="J64" s="198">
        <f>ROUND(N(data!BM64), 0)</f>
        <v>781</v>
      </c>
      <c r="K64" s="198">
        <f>ROUND(N(data!BM65), 0)</f>
        <v>1</v>
      </c>
      <c r="L64" s="198">
        <f>ROUND(N(data!BM66), 0)</f>
        <v>1707005</v>
      </c>
      <c r="M64" s="198">
        <f>ROUND(N(data!BM67), 0)</f>
        <v>3755</v>
      </c>
      <c r="N64" s="198">
        <f>ROUND(N(data!BM68), 0)</f>
        <v>31095</v>
      </c>
      <c r="O64" s="198">
        <f>ROUND(N(data!BM69), 0)</f>
        <v>185613</v>
      </c>
      <c r="P64" s="198">
        <f>ROUND(N(data!BM70), 0)</f>
        <v>0</v>
      </c>
      <c r="Q64" s="198">
        <f>ROUND(N(data!BM71), 0)</f>
        <v>184800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813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2405</v>
      </c>
      <c r="AH64" s="198">
        <f>ROUND(N(data!BM91), 0)</f>
        <v>0</v>
      </c>
      <c r="AI64" s="198">
        <f>ROUND(N(data!BM92), 0)</f>
        <v>456</v>
      </c>
      <c r="AJ64" s="198">
        <f>ROUND(N(data!BM93), 0)</f>
        <v>0</v>
      </c>
      <c r="AK64" s="314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010</v>
      </c>
      <c r="B65" s="200" t="str">
        <f>RIGHT(data!$C$96,4)</f>
        <v>2024</v>
      </c>
      <c r="C65" s="12" t="str">
        <f>data!BN$55</f>
        <v>8610</v>
      </c>
      <c r="D65" s="12" t="s">
        <v>1155</v>
      </c>
      <c r="E65" s="198">
        <f>ROUND(N(data!BN59), 0)</f>
        <v>0</v>
      </c>
      <c r="F65" s="314">
        <f>ROUND(N(data!BN60), 2)</f>
        <v>6.98</v>
      </c>
      <c r="G65" s="198">
        <f>ROUND(N(data!BN61), 0)</f>
        <v>1850995</v>
      </c>
      <c r="H65" s="198">
        <f>ROUND(N(data!BN62), 0)</f>
        <v>489677</v>
      </c>
      <c r="I65" s="198">
        <f>ROUND(N(data!BN63), 0)</f>
        <v>0</v>
      </c>
      <c r="J65" s="198">
        <f>ROUND(N(data!BN64), 0)</f>
        <v>86491</v>
      </c>
      <c r="K65" s="198">
        <f>ROUND(N(data!BN65), 0)</f>
        <v>-61</v>
      </c>
      <c r="L65" s="198">
        <f>ROUND(N(data!BN66), 0)</f>
        <v>336086</v>
      </c>
      <c r="M65" s="198">
        <f>ROUND(N(data!BN67), 0)</f>
        <v>22633</v>
      </c>
      <c r="N65" s="198">
        <f>ROUND(N(data!BN68), 0)</f>
        <v>629350</v>
      </c>
      <c r="O65" s="198">
        <f>ROUND(N(data!BN69), 0)</f>
        <v>2119071</v>
      </c>
      <c r="P65" s="198">
        <f>ROUND(N(data!BN70), 0)</f>
        <v>0</v>
      </c>
      <c r="Q65" s="198">
        <f>ROUND(N(data!BN71), 0)</f>
        <v>25563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2327</v>
      </c>
      <c r="X65" s="198">
        <f>ROUND(N(data!BN78), 0)</f>
        <v>0</v>
      </c>
      <c r="Y65" s="198">
        <f>ROUND(N(data!BN79), 0)</f>
        <v>0</v>
      </c>
      <c r="Z65" s="198">
        <f>ROUND(N(data!BN80), 0)</f>
        <v>3980</v>
      </c>
      <c r="AA65" s="198">
        <f>ROUND(N(data!BN81), 0)</f>
        <v>0</v>
      </c>
      <c r="AB65" s="198">
        <f>ROUND(N(data!BN82), 0)</f>
        <v>0</v>
      </c>
      <c r="AC65" s="198">
        <f>ROUND(N(data!BN83), 0)</f>
        <v>2087200</v>
      </c>
      <c r="AD65" s="198">
        <f>ROUND(N(data!BN84), 0)</f>
        <v>15273873</v>
      </c>
      <c r="AE65" s="198">
        <f>ROUND(N(data!BN89), 0)</f>
        <v>0</v>
      </c>
      <c r="AF65" s="198">
        <f>ROUND(N(data!BN87), 0)</f>
        <v>0</v>
      </c>
      <c r="AG65" s="198">
        <f>ROUND(N(data!BN90), 0)</f>
        <v>15630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4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010</v>
      </c>
      <c r="B66" s="200" t="str">
        <f>RIGHT(data!$C$96,4)</f>
        <v>2024</v>
      </c>
      <c r="C66" s="12" t="str">
        <f>data!BO$55</f>
        <v>8620</v>
      </c>
      <c r="D66" s="12" t="s">
        <v>1155</v>
      </c>
      <c r="E66" s="198">
        <f>ROUND(N(data!BO59), 0)</f>
        <v>0</v>
      </c>
      <c r="F66" s="314">
        <f>ROUND(N(data!BO60), 2)</f>
        <v>1.04</v>
      </c>
      <c r="G66" s="198">
        <f>ROUND(N(data!BO61), 0)</f>
        <v>117554</v>
      </c>
      <c r="H66" s="198">
        <f>ROUND(N(data!BO62), 0)</f>
        <v>27870</v>
      </c>
      <c r="I66" s="198">
        <f>ROUND(N(data!BO63), 0)</f>
        <v>0</v>
      </c>
      <c r="J66" s="198">
        <f>ROUND(N(data!BO64), 0)</f>
        <v>356077</v>
      </c>
      <c r="K66" s="198">
        <f>ROUND(N(data!BO65), 0)</f>
        <v>10</v>
      </c>
      <c r="L66" s="198">
        <f>ROUND(N(data!BO66), 0)</f>
        <v>6458</v>
      </c>
      <c r="M66" s="198">
        <f>ROUND(N(data!BO67), 0)</f>
        <v>2093</v>
      </c>
      <c r="N66" s="198">
        <f>ROUND(N(data!BO68), 0)</f>
        <v>41940</v>
      </c>
      <c r="O66" s="198">
        <f>ROUND(N(data!BO69), 0)</f>
        <v>2274</v>
      </c>
      <c r="P66" s="198">
        <f>ROUND(N(data!BO70), 0)</f>
        <v>0</v>
      </c>
      <c r="Q66" s="198">
        <f>ROUND(N(data!BO71), 0)</f>
        <v>575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888</v>
      </c>
      <c r="AB66" s="198">
        <f>ROUND(N(data!BO82), 0)</f>
        <v>0</v>
      </c>
      <c r="AC66" s="198">
        <f>ROUND(N(data!BO83), 0)</f>
        <v>811</v>
      </c>
      <c r="AD66" s="198">
        <f>ROUND(N(data!BO84), 0)</f>
        <v>16385</v>
      </c>
      <c r="AE66" s="198">
        <f>ROUND(N(data!BO89), 0)</f>
        <v>0</v>
      </c>
      <c r="AF66" s="198">
        <f>ROUND(N(data!BO87), 0)</f>
        <v>0</v>
      </c>
      <c r="AG66" s="198">
        <f>ROUND(N(data!BO90), 0)</f>
        <v>1046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4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010</v>
      </c>
      <c r="B67" s="200" t="str">
        <f>RIGHT(data!$C$96,4)</f>
        <v>2024</v>
      </c>
      <c r="C67" s="12" t="str">
        <f>data!BP$55</f>
        <v>8630</v>
      </c>
      <c r="D67" s="12" t="s">
        <v>1155</v>
      </c>
      <c r="E67" s="198">
        <f>ROUND(N(data!BP59), 0)</f>
        <v>0</v>
      </c>
      <c r="F67" s="314">
        <f>ROUND(N(data!BP60), 2)</f>
        <v>5.9</v>
      </c>
      <c r="G67" s="198">
        <f>ROUND(N(data!BP61), 0)</f>
        <v>676881</v>
      </c>
      <c r="H67" s="198">
        <f>ROUND(N(data!BP62), 0)</f>
        <v>153164</v>
      </c>
      <c r="I67" s="198">
        <f>ROUND(N(data!BP63), 0)</f>
        <v>0</v>
      </c>
      <c r="J67" s="198">
        <f>ROUND(N(data!BP64), 0)</f>
        <v>3998</v>
      </c>
      <c r="K67" s="198">
        <f>ROUND(N(data!BP65), 0)</f>
        <v>4</v>
      </c>
      <c r="L67" s="198">
        <f>ROUND(N(data!BP66), 0)</f>
        <v>51631</v>
      </c>
      <c r="M67" s="198">
        <f>ROUND(N(data!BP67), 0)</f>
        <v>1433828</v>
      </c>
      <c r="N67" s="198">
        <f>ROUND(N(data!BP68), 0)</f>
        <v>138340</v>
      </c>
      <c r="O67" s="198">
        <f>ROUND(N(data!BP69), 0)</f>
        <v>68761</v>
      </c>
      <c r="P67" s="198">
        <f>ROUND(N(data!BP70), 0)</f>
        <v>0</v>
      </c>
      <c r="Q67" s="198">
        <f>ROUND(N(data!BP71), 0)</f>
        <v>39211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77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29472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4606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4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010</v>
      </c>
      <c r="B68" s="200" t="str">
        <f>RIGHT(data!$C$96,4)</f>
        <v>2024</v>
      </c>
      <c r="C68" s="12" t="str">
        <f>data!BQ$55</f>
        <v>8640</v>
      </c>
      <c r="D68" s="12" t="s">
        <v>1155</v>
      </c>
      <c r="E68" s="198">
        <f>ROUND(N(data!BQ59), 0)</f>
        <v>0</v>
      </c>
      <c r="F68" s="314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4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010</v>
      </c>
      <c r="B69" s="200" t="str">
        <f>RIGHT(data!$C$96,4)</f>
        <v>2024</v>
      </c>
      <c r="C69" s="12" t="str">
        <f>data!BR$55</f>
        <v>8650</v>
      </c>
      <c r="D69" s="12" t="s">
        <v>1155</v>
      </c>
      <c r="E69" s="198">
        <f>ROUND(N(data!BR59), 0)</f>
        <v>0</v>
      </c>
      <c r="F69" s="314">
        <f>ROUND(N(data!BR60), 2)</f>
        <v>0.45</v>
      </c>
      <c r="G69" s="198">
        <f>ROUND(N(data!BR61), 0)</f>
        <v>32041</v>
      </c>
      <c r="H69" s="198">
        <f>ROUND(N(data!BR62), 0)</f>
        <v>293509</v>
      </c>
      <c r="I69" s="198">
        <f>ROUND(N(data!BR63), 0)</f>
        <v>0</v>
      </c>
      <c r="J69" s="198">
        <f>ROUND(N(data!BR64), 0)</f>
        <v>817</v>
      </c>
      <c r="K69" s="198">
        <f>ROUND(N(data!BR65), 0)</f>
        <v>0</v>
      </c>
      <c r="L69" s="198">
        <f>ROUND(N(data!BR66), 0)</f>
        <v>112612</v>
      </c>
      <c r="M69" s="198">
        <f>ROUND(N(data!BR67), 0)</f>
        <v>0</v>
      </c>
      <c r="N69" s="198">
        <f>ROUND(N(data!BR68), 0)</f>
        <v>0</v>
      </c>
      <c r="O69" s="198">
        <f>ROUND(N(data!BR69), 0)</f>
        <v>28194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283</v>
      </c>
      <c r="X69" s="198">
        <f>ROUND(N(data!BR78), 0)</f>
        <v>0</v>
      </c>
      <c r="Y69" s="198">
        <f>ROUND(N(data!BR79), 0)</f>
        <v>7025</v>
      </c>
      <c r="Z69" s="198">
        <f>ROUND(N(data!BR80), 0)</f>
        <v>481</v>
      </c>
      <c r="AA69" s="198">
        <f>ROUND(N(data!BR81), 0)</f>
        <v>0</v>
      </c>
      <c r="AB69" s="198">
        <f>ROUND(N(data!BR82), 0)</f>
        <v>0</v>
      </c>
      <c r="AC69" s="198">
        <f>ROUND(N(data!BR83), 0)</f>
        <v>20406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4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010</v>
      </c>
      <c r="B70" s="200" t="str">
        <f>RIGHT(data!$C$96,4)</f>
        <v>2024</v>
      </c>
      <c r="C70" s="12" t="str">
        <f>data!BS$55</f>
        <v>8660</v>
      </c>
      <c r="D70" s="12" t="s">
        <v>1155</v>
      </c>
      <c r="E70" s="198">
        <f>ROUND(N(data!BS59), 0)</f>
        <v>0</v>
      </c>
      <c r="F70" s="314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14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010</v>
      </c>
      <c r="B71" s="200" t="str">
        <f>RIGHT(data!$C$96,4)</f>
        <v>2024</v>
      </c>
      <c r="C71" s="12" t="str">
        <f>data!BT$55</f>
        <v>8670</v>
      </c>
      <c r="D71" s="12" t="s">
        <v>1155</v>
      </c>
      <c r="E71" s="198">
        <f>ROUND(N(data!BT59), 0)</f>
        <v>0</v>
      </c>
      <c r="F71" s="314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87</v>
      </c>
      <c r="N71" s="198">
        <f>ROUND(N(data!BT68), 0)</f>
        <v>33890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845</v>
      </c>
      <c r="AH71" s="198">
        <f>ROUND(N(data!BT91), 0)</f>
        <v>0</v>
      </c>
      <c r="AI71" s="198">
        <f>ROUND(N(data!BT92), 0)</f>
        <v>160</v>
      </c>
      <c r="AJ71" s="198">
        <f>ROUND(N(data!BT93), 0)</f>
        <v>0</v>
      </c>
      <c r="AK71" s="314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010</v>
      </c>
      <c r="B72" s="200" t="str">
        <f>RIGHT(data!$C$96,4)</f>
        <v>2024</v>
      </c>
      <c r="C72" s="12" t="str">
        <f>data!BU$55</f>
        <v>8680</v>
      </c>
      <c r="D72" s="12" t="s">
        <v>1155</v>
      </c>
      <c r="E72" s="198">
        <f>ROUND(N(data!BU59), 0)</f>
        <v>0</v>
      </c>
      <c r="F72" s="314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5027</v>
      </c>
      <c r="K72" s="198">
        <f>ROUND(N(data!BU65), 0)</f>
        <v>0</v>
      </c>
      <c r="L72" s="198">
        <f>ROUND(N(data!BU66), 0)</f>
        <v>42</v>
      </c>
      <c r="M72" s="198">
        <f>ROUND(N(data!BU67), 0)</f>
        <v>66570</v>
      </c>
      <c r="N72" s="198">
        <f>ROUND(N(data!BU68), 0)</f>
        <v>135200</v>
      </c>
      <c r="O72" s="198">
        <f>ROUND(N(data!BU69), 0)</f>
        <v>384440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1727</v>
      </c>
      <c r="X72" s="198">
        <f>ROUND(N(data!BU78), 0)</f>
        <v>0</v>
      </c>
      <c r="Y72" s="198">
        <f>ROUND(N(data!BU79), 0)</f>
        <v>0</v>
      </c>
      <c r="Z72" s="198">
        <f>ROUND(N(data!BU80), 0)</f>
        <v>815</v>
      </c>
      <c r="AA72" s="198">
        <f>ROUND(N(data!BU81), 0)</f>
        <v>0</v>
      </c>
      <c r="AB72" s="198">
        <f>ROUND(N(data!BU82), 0)</f>
        <v>0</v>
      </c>
      <c r="AC72" s="198">
        <f>ROUND(N(data!BU83), 0)</f>
        <v>381898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3372</v>
      </c>
      <c r="AH72" s="198">
        <f>ROUND(N(data!BU91), 0)</f>
        <v>0</v>
      </c>
      <c r="AI72" s="198">
        <f>ROUND(N(data!BU92), 0)</f>
        <v>639</v>
      </c>
      <c r="AJ72" s="198">
        <f>ROUND(N(data!BU93), 0)</f>
        <v>0</v>
      </c>
      <c r="AK72" s="314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010</v>
      </c>
      <c r="B73" s="200" t="str">
        <f>RIGHT(data!$C$96,4)</f>
        <v>2024</v>
      </c>
      <c r="C73" s="12" t="str">
        <f>data!BV$55</f>
        <v>8690</v>
      </c>
      <c r="D73" s="12" t="s">
        <v>1155</v>
      </c>
      <c r="E73" s="198">
        <f>ROUND(N(data!BV59), 0)</f>
        <v>0</v>
      </c>
      <c r="F73" s="314">
        <f>ROUND(N(data!BV60), 2)</f>
        <v>47.71</v>
      </c>
      <c r="G73" s="198">
        <f>ROUND(N(data!BV61), 0)</f>
        <v>3620865</v>
      </c>
      <c r="H73" s="198">
        <f>ROUND(N(data!BV62), 0)</f>
        <v>854003</v>
      </c>
      <c r="I73" s="198">
        <f>ROUND(N(data!BV63), 0)</f>
        <v>0</v>
      </c>
      <c r="J73" s="198">
        <f>ROUND(N(data!BV64), 0)</f>
        <v>17309</v>
      </c>
      <c r="K73" s="198">
        <f>ROUND(N(data!BV65), 0)</f>
        <v>25886</v>
      </c>
      <c r="L73" s="198">
        <f>ROUND(N(data!BV66), 0)</f>
        <v>1448730</v>
      </c>
      <c r="M73" s="198">
        <f>ROUND(N(data!BV67), 0)</f>
        <v>68592</v>
      </c>
      <c r="N73" s="198">
        <f>ROUND(N(data!BV68), 0)</f>
        <v>292768</v>
      </c>
      <c r="O73" s="198">
        <f>ROUND(N(data!BV69), 0)</f>
        <v>607797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591773</v>
      </c>
      <c r="X73" s="198">
        <f>ROUND(N(data!BV78), 0)</f>
        <v>0</v>
      </c>
      <c r="Y73" s="198">
        <f>ROUND(N(data!BV79), 0)</f>
        <v>0</v>
      </c>
      <c r="Z73" s="198">
        <f>ROUND(N(data!BV80), 0)</f>
        <v>13843</v>
      </c>
      <c r="AA73" s="198">
        <f>ROUND(N(data!BV81), 0)</f>
        <v>0</v>
      </c>
      <c r="AB73" s="198">
        <f>ROUND(N(data!BV82), 0)</f>
        <v>0</v>
      </c>
      <c r="AC73" s="198">
        <f>ROUND(N(data!BV83), 0)</f>
        <v>2182</v>
      </c>
      <c r="AD73" s="198">
        <f>ROUND(N(data!BV84), 0)</f>
        <v>137467</v>
      </c>
      <c r="AE73" s="198">
        <f>ROUND(N(data!BV89), 0)</f>
        <v>0</v>
      </c>
      <c r="AF73" s="198">
        <f>ROUND(N(data!BV87), 0)</f>
        <v>0</v>
      </c>
      <c r="AG73" s="198">
        <f>ROUND(N(data!BV90), 0)</f>
        <v>13818</v>
      </c>
      <c r="AH73" s="198">
        <f>ROUND(N(data!BV91), 0)</f>
        <v>0</v>
      </c>
      <c r="AI73" s="198">
        <f>ROUND(N(data!BV92), 0)</f>
        <v>2617</v>
      </c>
      <c r="AJ73" s="198">
        <f>ROUND(N(data!BV93), 0)</f>
        <v>0</v>
      </c>
      <c r="AK73" s="314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010</v>
      </c>
      <c r="B74" s="200" t="str">
        <f>RIGHT(data!$C$96,4)</f>
        <v>2024</v>
      </c>
      <c r="C74" s="12" t="str">
        <f>data!BW$55</f>
        <v>8700</v>
      </c>
      <c r="D74" s="12" t="s">
        <v>1155</v>
      </c>
      <c r="E74" s="198">
        <f>ROUND(N(data!BW59), 0)</f>
        <v>0</v>
      </c>
      <c r="F74" s="314">
        <f>ROUND(N(data!BW60), 2)</f>
        <v>3.9</v>
      </c>
      <c r="G74" s="198">
        <f>ROUND(N(data!BW61), 0)</f>
        <v>2872576</v>
      </c>
      <c r="H74" s="198">
        <f>ROUND(N(data!BW62), 0)</f>
        <v>-15742499</v>
      </c>
      <c r="I74" s="198">
        <f>ROUND(N(data!BW63), 0)</f>
        <v>0</v>
      </c>
      <c r="J74" s="198">
        <f>ROUND(N(data!BW64), 0)</f>
        <v>931</v>
      </c>
      <c r="K74" s="198">
        <f>ROUND(N(data!BW65), 0)</f>
        <v>0</v>
      </c>
      <c r="L74" s="198">
        <f>ROUND(N(data!BW66), 0)</f>
        <v>330687</v>
      </c>
      <c r="M74" s="198">
        <f>ROUND(N(data!BW67), 0)</f>
        <v>0</v>
      </c>
      <c r="N74" s="198">
        <f>ROUND(N(data!BW68), 0)</f>
        <v>0</v>
      </c>
      <c r="O74" s="198">
        <f>ROUND(N(data!BW69), 0)</f>
        <v>1726247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59682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296688</v>
      </c>
      <c r="AA74" s="198">
        <f>ROUND(N(data!BW81), 0)</f>
        <v>0</v>
      </c>
      <c r="AB74" s="198">
        <f>ROUND(N(data!BW82), 0)</f>
        <v>0</v>
      </c>
      <c r="AC74" s="198">
        <f>ROUND(N(data!BW83), 0)</f>
        <v>1369877</v>
      </c>
      <c r="AD74" s="198">
        <f>ROUND(N(data!BW84), 0)</f>
        <v>3461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14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010</v>
      </c>
      <c r="B75" s="200" t="str">
        <f>RIGHT(data!$C$96,4)</f>
        <v>2024</v>
      </c>
      <c r="C75" s="12" t="str">
        <f>data!BX$55</f>
        <v>8710</v>
      </c>
      <c r="D75" s="12" t="s">
        <v>1155</v>
      </c>
      <c r="E75" s="198">
        <f>ROUND(N(data!BX59), 0)</f>
        <v>0</v>
      </c>
      <c r="F75" s="314">
        <f>ROUND(N(data!BX60), 2)</f>
        <v>11.42</v>
      </c>
      <c r="G75" s="198">
        <f>ROUND(N(data!BX61), 0)</f>
        <v>1435588</v>
      </c>
      <c r="H75" s="198">
        <f>ROUND(N(data!BX62), 0)</f>
        <v>328039</v>
      </c>
      <c r="I75" s="198">
        <f>ROUND(N(data!BX63), 0)</f>
        <v>0</v>
      </c>
      <c r="J75" s="198">
        <f>ROUND(N(data!BX64), 0)</f>
        <v>25713</v>
      </c>
      <c r="K75" s="198">
        <f>ROUND(N(data!BX65), 0)</f>
        <v>40</v>
      </c>
      <c r="L75" s="198">
        <f>ROUND(N(data!BX66), 0)</f>
        <v>1904558</v>
      </c>
      <c r="M75" s="198">
        <f>ROUND(N(data!BX67), 0)</f>
        <v>17657</v>
      </c>
      <c r="N75" s="198">
        <f>ROUND(N(data!BX68), 0)</f>
        <v>478252</v>
      </c>
      <c r="O75" s="198">
        <f>ROUND(N(data!BX69), 0)</f>
        <v>102587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897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1013</v>
      </c>
      <c r="AA75" s="198">
        <f>ROUND(N(data!BX81), 0)</f>
        <v>0</v>
      </c>
      <c r="AB75" s="198">
        <f>ROUND(N(data!BX82), 0)</f>
        <v>0</v>
      </c>
      <c r="AC75" s="198">
        <f>ROUND(N(data!BX83), 0)</f>
        <v>100677</v>
      </c>
      <c r="AD75" s="198">
        <f>ROUND(N(data!BX84), 0)</f>
        <v>196766</v>
      </c>
      <c r="AE75" s="198">
        <f>ROUND(N(data!BX89), 0)</f>
        <v>0</v>
      </c>
      <c r="AF75" s="198">
        <f>ROUND(N(data!BX87), 0)</f>
        <v>0</v>
      </c>
      <c r="AG75" s="198">
        <f>ROUND(N(data!BX90), 0)</f>
        <v>12095</v>
      </c>
      <c r="AH75" s="198">
        <f>ROUND(N(data!BX91), 0)</f>
        <v>0</v>
      </c>
      <c r="AI75" s="198">
        <f>ROUND(N(data!BX92), 0)</f>
        <v>2291</v>
      </c>
      <c r="AJ75" s="198">
        <f>ROUND(N(data!BX93), 0)</f>
        <v>0</v>
      </c>
      <c r="AK75" s="314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010</v>
      </c>
      <c r="B76" s="200" t="str">
        <f>RIGHT(data!$C$96,4)</f>
        <v>2024</v>
      </c>
      <c r="C76" s="12" t="str">
        <f>data!BY$55</f>
        <v>8720</v>
      </c>
      <c r="D76" s="12" t="s">
        <v>1155</v>
      </c>
      <c r="E76" s="198">
        <f>ROUND(N(data!BY59), 0)</f>
        <v>0</v>
      </c>
      <c r="F76" s="314">
        <f>ROUND(N(data!BY60), 2)</f>
        <v>32.43</v>
      </c>
      <c r="G76" s="198">
        <f>ROUND(N(data!BY61), 0)</f>
        <v>3951541</v>
      </c>
      <c r="H76" s="198">
        <f>ROUND(N(data!BY62), 0)</f>
        <v>754074</v>
      </c>
      <c r="I76" s="198">
        <f>ROUND(N(data!BY63), 0)</f>
        <v>0</v>
      </c>
      <c r="J76" s="198">
        <f>ROUND(N(data!BY64), 0)</f>
        <v>275441</v>
      </c>
      <c r="K76" s="198">
        <f>ROUND(N(data!BY65), 0)</f>
        <v>45</v>
      </c>
      <c r="L76" s="198">
        <f>ROUND(N(data!BY66), 0)</f>
        <v>238268</v>
      </c>
      <c r="M76" s="198">
        <f>ROUND(N(data!BY67), 0)</f>
        <v>160624</v>
      </c>
      <c r="N76" s="198">
        <f>ROUND(N(data!BY68), 0)</f>
        <v>265805</v>
      </c>
      <c r="O76" s="198">
        <f>ROUND(N(data!BY69), 0)</f>
        <v>1106105</v>
      </c>
      <c r="P76" s="198">
        <f>ROUND(N(data!BY70), 0)</f>
        <v>0</v>
      </c>
      <c r="Q76" s="198">
        <f>ROUND(N(data!BY71), 0)</f>
        <v>505359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111105</v>
      </c>
      <c r="X76" s="198">
        <f>ROUND(N(data!BY78), 0)</f>
        <v>0</v>
      </c>
      <c r="Y76" s="198">
        <f>ROUND(N(data!BY79), 0)</f>
        <v>0</v>
      </c>
      <c r="Z76" s="198">
        <f>ROUND(N(data!BY80), 0)</f>
        <v>75592</v>
      </c>
      <c r="AA76" s="198">
        <f>ROUND(N(data!BY81), 0)</f>
        <v>0</v>
      </c>
      <c r="AB76" s="198">
        <f>ROUND(N(data!BY82), 0)</f>
        <v>0</v>
      </c>
      <c r="AC76" s="198">
        <f>ROUND(N(data!BY83), 0)</f>
        <v>414049</v>
      </c>
      <c r="AD76" s="198">
        <f>ROUND(N(data!BY84), 0)</f>
        <v>8774</v>
      </c>
      <c r="AE76" s="198">
        <f>ROUND(N(data!BY89), 0)</f>
        <v>0</v>
      </c>
      <c r="AF76" s="198">
        <f>ROUND(N(data!BY87), 0)</f>
        <v>0</v>
      </c>
      <c r="AG76" s="198">
        <f>ROUND(N(data!BY90), 0)</f>
        <v>6485</v>
      </c>
      <c r="AH76" s="198">
        <f>ROUND(N(data!BY91), 0)</f>
        <v>0</v>
      </c>
      <c r="AI76" s="198">
        <f>ROUND(N(data!BY92), 0)</f>
        <v>1228</v>
      </c>
      <c r="AJ76" s="198">
        <f>ROUND(N(data!BY93), 0)</f>
        <v>0</v>
      </c>
      <c r="AK76" s="314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010</v>
      </c>
      <c r="B77" s="200" t="str">
        <f>RIGHT(data!$C$96,4)</f>
        <v>2024</v>
      </c>
      <c r="C77" s="12" t="str">
        <f>data!BZ$55</f>
        <v>8730</v>
      </c>
      <c r="D77" s="12" t="s">
        <v>1155</v>
      </c>
      <c r="E77" s="198">
        <f>ROUND(N(data!BZ59), 0)</f>
        <v>0</v>
      </c>
      <c r="F77" s="314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14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010</v>
      </c>
      <c r="B78" s="200" t="str">
        <f>RIGHT(data!$C$96,4)</f>
        <v>2024</v>
      </c>
      <c r="C78" s="12" t="str">
        <f>data!CA$55</f>
        <v>8740</v>
      </c>
      <c r="D78" s="12" t="s">
        <v>1155</v>
      </c>
      <c r="E78" s="198">
        <f>ROUND(N(data!CA59), 0)</f>
        <v>0</v>
      </c>
      <c r="F78" s="314">
        <f>ROUND(N(data!CA60), 2)</f>
        <v>11.94</v>
      </c>
      <c r="G78" s="198">
        <f>ROUND(N(data!CA61), 0)</f>
        <v>1683022</v>
      </c>
      <c r="H78" s="198">
        <f>ROUND(N(data!CA62), 0)</f>
        <v>392128</v>
      </c>
      <c r="I78" s="198">
        <f>ROUND(N(data!CA63), 0)</f>
        <v>0</v>
      </c>
      <c r="J78" s="198">
        <f>ROUND(N(data!CA64), 0)</f>
        <v>7661</v>
      </c>
      <c r="K78" s="198">
        <f>ROUND(N(data!CA65), 0)</f>
        <v>0</v>
      </c>
      <c r="L78" s="198">
        <f>ROUND(N(data!CA66), 0)</f>
        <v>57204</v>
      </c>
      <c r="M78" s="198">
        <f>ROUND(N(data!CA67), 0)</f>
        <v>6437</v>
      </c>
      <c r="N78" s="198">
        <f>ROUND(N(data!CA68), 0)</f>
        <v>145530</v>
      </c>
      <c r="O78" s="198">
        <f>ROUND(N(data!CA69), 0)</f>
        <v>111535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2674</v>
      </c>
      <c r="AA78" s="198">
        <f>ROUND(N(data!CA81), 0)</f>
        <v>0</v>
      </c>
      <c r="AB78" s="198">
        <f>ROUND(N(data!CA82), 0)</f>
        <v>0</v>
      </c>
      <c r="AC78" s="198">
        <f>ROUND(N(data!CA83), 0)</f>
        <v>108860</v>
      </c>
      <c r="AD78" s="198">
        <f>ROUND(N(data!CA84), 0)</f>
        <v>70965</v>
      </c>
      <c r="AE78" s="198">
        <f>ROUND(N(data!CA89), 0)</f>
        <v>0</v>
      </c>
      <c r="AF78" s="198">
        <f>ROUND(N(data!CA87), 0)</f>
        <v>0</v>
      </c>
      <c r="AG78" s="198">
        <f>ROUND(N(data!CA90), 0)</f>
        <v>3630</v>
      </c>
      <c r="AH78" s="198">
        <f>ROUND(N(data!CA91), 0)</f>
        <v>0</v>
      </c>
      <c r="AI78" s="198">
        <f>ROUND(N(data!CA92), 0)</f>
        <v>688</v>
      </c>
      <c r="AJ78" s="198">
        <f>ROUND(N(data!CA93), 0)</f>
        <v>0</v>
      </c>
      <c r="AK78" s="314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010</v>
      </c>
      <c r="B79" s="200" t="str">
        <f>RIGHT(data!$C$96,4)</f>
        <v>2024</v>
      </c>
      <c r="C79" s="12" t="str">
        <f>data!CB$55</f>
        <v>8770</v>
      </c>
      <c r="D79" s="12" t="s">
        <v>1155</v>
      </c>
      <c r="E79" s="198">
        <f>ROUND(N(data!CB59), 0)</f>
        <v>0</v>
      </c>
      <c r="F79" s="314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14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010</v>
      </c>
      <c r="B80" s="200" t="str">
        <f>RIGHT(data!$C$96,4)</f>
        <v>2024</v>
      </c>
      <c r="C80" s="12" t="str">
        <f>data!CC$55</f>
        <v>8790</v>
      </c>
      <c r="D80" s="12" t="s">
        <v>1155</v>
      </c>
      <c r="E80" s="198">
        <f>ROUND(N(data!CC59), 0)</f>
        <v>0</v>
      </c>
      <c r="F80" s="314">
        <f>ROUND(N(data!CC60), 2)</f>
        <v>8.43</v>
      </c>
      <c r="G80" s="198">
        <f>ROUND(N(data!CC61), 0)</f>
        <v>1793883</v>
      </c>
      <c r="H80" s="198">
        <f>ROUND(N(data!CC62), 0)</f>
        <v>-21428099</v>
      </c>
      <c r="I80" s="198">
        <f>ROUND(N(data!CC63), 0)</f>
        <v>0</v>
      </c>
      <c r="J80" s="198">
        <f>ROUND(N(data!CC64), 0)</f>
        <v>60813</v>
      </c>
      <c r="K80" s="198">
        <f>ROUND(N(data!CC65), 0)</f>
        <v>210622</v>
      </c>
      <c r="L80" s="198">
        <f>ROUND(N(data!CC66), 0)</f>
        <v>14211756</v>
      </c>
      <c r="M80" s="198">
        <f>ROUND(N(data!CC67), 0)</f>
        <v>513564</v>
      </c>
      <c r="N80" s="198">
        <f>ROUND(N(data!CC68), 0)</f>
        <v>-30881934</v>
      </c>
      <c r="O80" s="198">
        <f>ROUND(N(data!CC69), 0)</f>
        <v>2563437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11444</v>
      </c>
      <c r="U80" s="198">
        <f>ROUND(N(data!CC75), 0)</f>
        <v>1760272</v>
      </c>
      <c r="V80" s="198">
        <f>ROUND(N(data!CC76), 0)</f>
        <v>0</v>
      </c>
      <c r="W80" s="198">
        <f>ROUND(N(data!CC77), 0)</f>
        <v>382487</v>
      </c>
      <c r="X80" s="198">
        <f>ROUND(N(data!CC78), 0)</f>
        <v>0</v>
      </c>
      <c r="Y80" s="198">
        <f>ROUND(N(data!CC79), 0)</f>
        <v>43231</v>
      </c>
      <c r="Z80" s="198">
        <f>ROUND(N(data!CC80), 0)</f>
        <v>0</v>
      </c>
      <c r="AA80" s="198">
        <f>ROUND(N(data!CC81), 0)</f>
        <v>157051</v>
      </c>
      <c r="AB80" s="198">
        <f>ROUND(N(data!CC82), 0)</f>
        <v>0</v>
      </c>
      <c r="AC80" s="198">
        <f>ROUND(N(data!CC83), 0)</f>
        <v>208953</v>
      </c>
      <c r="AD80" s="198">
        <f>ROUND(N(data!CC84), 0)</f>
        <v>6500409</v>
      </c>
      <c r="AE80" s="198">
        <f>ROUND(N(data!CC89), 0)</f>
        <v>0</v>
      </c>
      <c r="AF80" s="198">
        <f>ROUND(N(data!CC87), 0)</f>
        <v>0</v>
      </c>
      <c r="AG80" s="198">
        <f>ROUND(N(data!CC90), 0)</f>
        <v>7419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4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4" t="s">
        <v>699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700</v>
      </c>
      <c r="G3" s="10"/>
      <c r="J3" s="99"/>
    </row>
    <row r="4" spans="2:10" x14ac:dyDescent="0.25">
      <c r="B4" s="98"/>
      <c r="F4" s="10" t="s">
        <v>701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702</v>
      </c>
      <c r="G8" s="10"/>
      <c r="J8" s="99"/>
    </row>
    <row r="9" spans="2:10" x14ac:dyDescent="0.2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25">
      <c r="B10" s="98"/>
      <c r="F10" s="10" t="s">
        <v>704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705</v>
      </c>
      <c r="G12" s="10"/>
      <c r="J12" s="99"/>
    </row>
    <row r="13" spans="2:10" x14ac:dyDescent="0.25">
      <c r="B13" s="98"/>
      <c r="F13" s="10" t="s">
        <v>706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707</v>
      </c>
      <c r="J16" s="99"/>
    </row>
    <row r="17" spans="2:10" x14ac:dyDescent="0.25">
      <c r="B17" s="95"/>
      <c r="C17" s="104" t="s">
        <v>708</v>
      </c>
      <c r="D17" s="104"/>
      <c r="E17" s="96" t="str">
        <f>+data!C98</f>
        <v>Virginia Mason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709</v>
      </c>
      <c r="D18" s="53"/>
      <c r="E18" s="11" t="str">
        <f>+"H-"&amp;data!C97</f>
        <v>H-010</v>
      </c>
      <c r="F18" s="10"/>
      <c r="G18" s="10"/>
      <c r="J18" s="99"/>
    </row>
    <row r="19" spans="2:10" x14ac:dyDescent="0.25">
      <c r="B19" s="98"/>
      <c r="C19" s="53" t="s">
        <v>710</v>
      </c>
      <c r="D19" s="53"/>
      <c r="E19" s="11" t="str">
        <f>+data!C99</f>
        <v>PO Box 900</v>
      </c>
      <c r="F19" s="10"/>
      <c r="G19" s="10"/>
      <c r="J19" s="99"/>
    </row>
    <row r="20" spans="2:10" x14ac:dyDescent="0.25">
      <c r="B20" s="98"/>
      <c r="C20" s="53" t="s">
        <v>711</v>
      </c>
      <c r="D20" s="53"/>
      <c r="E20" s="11" t="str">
        <f>+data!C100</f>
        <v>Seattle</v>
      </c>
      <c r="F20" s="10"/>
      <c r="G20" s="10"/>
      <c r="J20" s="99"/>
    </row>
    <row r="21" spans="2:10" x14ac:dyDescent="0.25">
      <c r="B21" s="98"/>
      <c r="C21" s="53" t="s">
        <v>712</v>
      </c>
      <c r="D21" s="53"/>
      <c r="E21" s="11" t="str">
        <f>+data!C101</f>
        <v>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2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06/30/2024.</v>
      </c>
      <c r="J28" s="99"/>
    </row>
    <row r="29" spans="2:10" x14ac:dyDescent="0.25">
      <c r="B29" s="98" t="s">
        <v>715</v>
      </c>
      <c r="J29" s="99"/>
    </row>
    <row r="30" spans="2:10" x14ac:dyDescent="0.2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718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718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h//ID6qHPdeD/yoe2XLLu3CX9u/hmIJgbq7wmRpTl2pek+ayWoa8lpyoFaBMbj41LLmS+5Ukxeg/ell8+FcCAg==" saltValue="j66o3S7BeRjqk1D/qgU4L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zoomScaleNormal="100" workbookViewId="0">
      <pane ySplit="14" topLeftCell="A15" activePane="bottomLeft" state="frozen"/>
      <selection pane="bottomLeft" activeCell="I44" sqref="I44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721</v>
      </c>
    </row>
    <row r="3" spans="1:13" x14ac:dyDescent="0.25">
      <c r="A3" s="54"/>
    </row>
    <row r="4" spans="1:13" x14ac:dyDescent="0.25">
      <c r="A4" s="149" t="s">
        <v>722</v>
      </c>
    </row>
    <row r="5" spans="1:13" x14ac:dyDescent="0.25">
      <c r="A5" s="149" t="s">
        <v>723</v>
      </c>
    </row>
    <row r="6" spans="1:13" x14ac:dyDescent="0.25">
      <c r="A6" s="149" t="s">
        <v>724</v>
      </c>
    </row>
    <row r="7" spans="1:13" x14ac:dyDescent="0.25">
      <c r="A7" s="149"/>
    </row>
    <row r="8" spans="1:13" x14ac:dyDescent="0.25">
      <c r="A8" s="2" t="s">
        <v>725</v>
      </c>
    </row>
    <row r="9" spans="1:13" x14ac:dyDescent="0.25">
      <c r="A9" s="149" t="s">
        <v>27</v>
      </c>
    </row>
    <row r="12" spans="1:13" x14ac:dyDescent="0.25">
      <c r="A12" s="1" t="str">
        <f>data!C97</f>
        <v>010</v>
      </c>
      <c r="B12" s="258" t="str">
        <f>RIGHT('Prior Year'!C96,4)</f>
        <v>2023</v>
      </c>
      <c r="C12" s="258" t="str">
        <f>RIGHT(data!C96,4)</f>
        <v>2024</v>
      </c>
      <c r="D12" s="4" t="str">
        <f>RIGHT('Prior Year'!C96,4)</f>
        <v>2023</v>
      </c>
      <c r="E12" s="258" t="str">
        <f>RIGHT(data!C96,4)</f>
        <v>2024</v>
      </c>
      <c r="F12" s="4" t="str">
        <f>RIGHT('Prior Year'!C96,4)</f>
        <v>2023</v>
      </c>
      <c r="G12" s="258" t="str">
        <f>RIGHT(data!C96,4)</f>
        <v>2024</v>
      </c>
      <c r="H12" s="3"/>
    </row>
    <row r="13" spans="1:13" x14ac:dyDescent="0.25">
      <c r="A13" s="2"/>
      <c r="B13" s="227" t="s">
        <v>726</v>
      </c>
      <c r="C13" s="227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25">
      <c r="A14" s="1" t="s">
        <v>730</v>
      </c>
      <c r="B14" s="227" t="s">
        <v>365</v>
      </c>
      <c r="C14" s="227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55" t="s">
        <v>735</v>
      </c>
    </row>
    <row r="15" spans="1:13" x14ac:dyDescent="0.25">
      <c r="A15" s="1" t="s">
        <v>736</v>
      </c>
      <c r="B15" s="227">
        <f>ROUND(N('Prior Year'!C85), 0)</f>
        <v>19472888</v>
      </c>
      <c r="C15" s="227">
        <f>data!C85</f>
        <v>22466613.949999999</v>
      </c>
      <c r="D15" s="227">
        <f>ROUND(N('Prior Year'!C59), 0)</f>
        <v>5776</v>
      </c>
      <c r="E15" s="1">
        <f>data!C59</f>
        <v>6847</v>
      </c>
      <c r="F15" s="205">
        <f t="shared" ref="F15:F59" si="0">IF(B15=0,"",IF(D15=0,"",B15/D15))</f>
        <v>3371.3448753462603</v>
      </c>
      <c r="G15" s="205">
        <f t="shared" ref="G15:G29" si="1">IF(C15=0,"",IF(E15=0,"",C15/E15))</f>
        <v>3281.2346940265807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7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737</v>
      </c>
      <c r="B16" s="227">
        <f>ROUND(N('Prior Year'!D85), 0)</f>
        <v>0</v>
      </c>
      <c r="C16" s="227">
        <f>data!D85</f>
        <v>0</v>
      </c>
      <c r="D16" s="227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7" t="str">
        <f t="shared" si="3"/>
        <v/>
      </c>
      <c r="M16" s="7"/>
    </row>
    <row r="17" spans="1:13" x14ac:dyDescent="0.25">
      <c r="A17" s="1" t="s">
        <v>738</v>
      </c>
      <c r="B17" s="227">
        <f>ROUND(N('Prior Year'!E85), 0)</f>
        <v>76713319</v>
      </c>
      <c r="C17" s="227">
        <f>data!E85</f>
        <v>89691745.939999998</v>
      </c>
      <c r="D17" s="227">
        <f>ROUND(N('Prior Year'!E59), 0)</f>
        <v>54957</v>
      </c>
      <c r="E17" s="1">
        <f>data!E59</f>
        <v>54379</v>
      </c>
      <c r="F17" s="205">
        <f t="shared" si="0"/>
        <v>1395.8789417180706</v>
      </c>
      <c r="G17" s="205">
        <f t="shared" si="1"/>
        <v>1649.3820397579948</v>
      </c>
      <c r="H17" s="6" t="str">
        <f t="shared" si="2"/>
        <v/>
      </c>
      <c r="I17" s="227" t="str">
        <f t="shared" si="3"/>
        <v/>
      </c>
      <c r="M17" s="7"/>
    </row>
    <row r="18" spans="1:13" x14ac:dyDescent="0.25">
      <c r="A18" s="1" t="s">
        <v>739</v>
      </c>
      <c r="B18" s="227">
        <f>ROUND(N('Prior Year'!F85), 0)</f>
        <v>6683526</v>
      </c>
      <c r="C18" s="227">
        <f>data!F85</f>
        <v>7244699</v>
      </c>
      <c r="D18" s="227">
        <f>ROUND(N('Prior Year'!F59), 0)</f>
        <v>2036</v>
      </c>
      <c r="E18" s="1">
        <f>data!F59</f>
        <v>2062</v>
      </c>
      <c r="F18" s="205">
        <f t="shared" si="0"/>
        <v>3282.6748526522592</v>
      </c>
      <c r="G18" s="205">
        <f t="shared" si="1"/>
        <v>3513.4330746847722</v>
      </c>
      <c r="H18" s="6" t="str">
        <f t="shared" si="2"/>
        <v/>
      </c>
      <c r="I18" s="259" t="str">
        <f t="shared" si="3"/>
        <v/>
      </c>
      <c r="M18" s="7"/>
    </row>
    <row r="19" spans="1:13" x14ac:dyDescent="0.25">
      <c r="A19" s="1" t="s">
        <v>740</v>
      </c>
      <c r="B19" s="227">
        <f>ROUND(N('Prior Year'!G85), 0)</f>
        <v>0</v>
      </c>
      <c r="C19" s="227">
        <f>data!G85</f>
        <v>0</v>
      </c>
      <c r="D19" s="227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7" t="str">
        <f t="shared" si="3"/>
        <v/>
      </c>
      <c r="M19" s="7"/>
    </row>
    <row r="20" spans="1:13" x14ac:dyDescent="0.25">
      <c r="A20" s="1" t="s">
        <v>741</v>
      </c>
      <c r="B20" s="227">
        <f>ROUND(N('Prior Year'!H85), 0)</f>
        <v>0</v>
      </c>
      <c r="C20" s="227">
        <f>data!H85</f>
        <v>0</v>
      </c>
      <c r="D20" s="227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7" t="str">
        <f t="shared" si="3"/>
        <v/>
      </c>
      <c r="M20" s="7"/>
    </row>
    <row r="21" spans="1:13" x14ac:dyDescent="0.25">
      <c r="A21" s="1" t="s">
        <v>742</v>
      </c>
      <c r="B21" s="227">
        <f>ROUND(N('Prior Year'!I85), 0)</f>
        <v>0</v>
      </c>
      <c r="C21" s="227">
        <f>data!I85</f>
        <v>0</v>
      </c>
      <c r="D21" s="227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7" t="str">
        <f t="shared" si="3"/>
        <v/>
      </c>
      <c r="M21" s="7"/>
    </row>
    <row r="22" spans="1:13" x14ac:dyDescent="0.25">
      <c r="A22" s="1" t="s">
        <v>743</v>
      </c>
      <c r="B22" s="227">
        <f>ROUND(N('Prior Year'!J85), 0)</f>
        <v>1314407</v>
      </c>
      <c r="C22" s="227">
        <f>data!J85</f>
        <v>1276674.75</v>
      </c>
      <c r="D22" s="227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7" t="str">
        <f t="shared" si="3"/>
        <v/>
      </c>
      <c r="M22" s="7"/>
    </row>
    <row r="23" spans="1:13" x14ac:dyDescent="0.25">
      <c r="A23" s="1" t="s">
        <v>744</v>
      </c>
      <c r="B23" s="227">
        <f>ROUND(N('Prior Year'!K85), 0)</f>
        <v>11322147</v>
      </c>
      <c r="C23" s="227">
        <f>data!K85</f>
        <v>13770202.610000007</v>
      </c>
      <c r="D23" s="227">
        <f>ROUND(N('Prior Year'!K59), 0)</f>
        <v>11117</v>
      </c>
      <c r="E23" s="1">
        <f>data!K59</f>
        <v>10617</v>
      </c>
      <c r="F23" s="205">
        <f t="shared" si="0"/>
        <v>1018.453449671674</v>
      </c>
      <c r="G23" s="205">
        <f t="shared" si="1"/>
        <v>1296.9956305924468</v>
      </c>
      <c r="H23" s="6">
        <f t="shared" si="2"/>
        <v>0.27349525008783515</v>
      </c>
      <c r="I23" s="227" t="s">
        <v>1386</v>
      </c>
      <c r="M23" s="7"/>
    </row>
    <row r="24" spans="1:13" x14ac:dyDescent="0.25">
      <c r="A24" s="1" t="s">
        <v>745</v>
      </c>
      <c r="B24" s="227">
        <f>ROUND(N('Prior Year'!L85), 0)</f>
        <v>0</v>
      </c>
      <c r="C24" s="227">
        <f>data!L85</f>
        <v>0</v>
      </c>
      <c r="D24" s="227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7" t="str">
        <f t="shared" si="3"/>
        <v/>
      </c>
      <c r="M24" s="7"/>
    </row>
    <row r="25" spans="1:13" x14ac:dyDescent="0.25">
      <c r="A25" s="1" t="s">
        <v>746</v>
      </c>
      <c r="B25" s="227">
        <f>ROUND(N('Prior Year'!M85), 0)</f>
        <v>0</v>
      </c>
      <c r="C25" s="227">
        <f>data!M85</f>
        <v>0</v>
      </c>
      <c r="D25" s="227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7" t="str">
        <f t="shared" si="3"/>
        <v/>
      </c>
      <c r="M25" s="7"/>
    </row>
    <row r="26" spans="1:13" x14ac:dyDescent="0.25">
      <c r="A26" s="1" t="s">
        <v>747</v>
      </c>
      <c r="B26" s="1">
        <f>ROUND(N('Prior Year'!N85), 0)</f>
        <v>30</v>
      </c>
      <c r="C26" s="227">
        <f>data!N85</f>
        <v>-100.80999999999949</v>
      </c>
      <c r="D26" s="227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7" t="str">
        <f t="shared" si="3"/>
        <v/>
      </c>
      <c r="M26" s="7"/>
    </row>
    <row r="27" spans="1:13" x14ac:dyDescent="0.25">
      <c r="A27" s="1" t="s">
        <v>748</v>
      </c>
      <c r="B27" s="227">
        <f>ROUND(N('Prior Year'!O85), 0)</f>
        <v>0</v>
      </c>
      <c r="C27" s="227">
        <f>data!O85</f>
        <v>0</v>
      </c>
      <c r="D27" s="227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7" t="str">
        <f t="shared" si="3"/>
        <v/>
      </c>
      <c r="M27" s="7"/>
    </row>
    <row r="28" spans="1:13" x14ac:dyDescent="0.25">
      <c r="A28" s="1" t="s">
        <v>749</v>
      </c>
      <c r="B28" s="227">
        <f>ROUND(N('Prior Year'!P85), 0)</f>
        <v>82944528</v>
      </c>
      <c r="C28" s="227">
        <f>data!P85</f>
        <v>89673380.670000002</v>
      </c>
      <c r="D28" s="227">
        <f>ROUND(N('Prior Year'!P59), 0)</f>
        <v>2103990</v>
      </c>
      <c r="E28" s="1">
        <f>data!P59</f>
        <v>2283052</v>
      </c>
      <c r="F28" s="205">
        <f t="shared" si="0"/>
        <v>39.42249155176593</v>
      </c>
      <c r="G28" s="205">
        <f t="shared" si="1"/>
        <v>39.277852922316271</v>
      </c>
      <c r="H28" s="6" t="str">
        <f t="shared" si="2"/>
        <v/>
      </c>
      <c r="I28" s="227" t="str">
        <f t="shared" si="3"/>
        <v/>
      </c>
      <c r="M28" s="7"/>
    </row>
    <row r="29" spans="1:13" x14ac:dyDescent="0.25">
      <c r="A29" s="1" t="s">
        <v>750</v>
      </c>
      <c r="B29" s="227">
        <f>ROUND(N('Prior Year'!Q85), 0)</f>
        <v>15614882</v>
      </c>
      <c r="C29" s="227">
        <f>data!Q85</f>
        <v>17691144.650000002</v>
      </c>
      <c r="D29" s="227">
        <f>ROUND(N('Prior Year'!Q59), 0)</f>
        <v>2136048</v>
      </c>
      <c r="E29" s="1">
        <f>data!Q59</f>
        <v>2173536</v>
      </c>
      <c r="F29" s="205">
        <f t="shared" si="0"/>
        <v>7.3101737414140509</v>
      </c>
      <c r="G29" s="205">
        <f t="shared" si="1"/>
        <v>8.1393382258218878</v>
      </c>
      <c r="H29" s="6" t="str">
        <f t="shared" si="2"/>
        <v/>
      </c>
      <c r="I29" s="259" t="str">
        <f t="shared" si="3"/>
        <v/>
      </c>
      <c r="M29" s="7"/>
    </row>
    <row r="30" spans="1:13" x14ac:dyDescent="0.25">
      <c r="A30" s="1" t="s">
        <v>751</v>
      </c>
      <c r="B30" s="227">
        <f>ROUND(N('Prior Year'!R85), 0)</f>
        <v>37586926</v>
      </c>
      <c r="C30" s="227">
        <f>data!R85</f>
        <v>40461372.540000007</v>
      </c>
      <c r="D30" s="227">
        <f>ROUND(N('Prior Year'!R59), 0)</f>
        <v>2472058</v>
      </c>
      <c r="E30" s="1">
        <f>data!R59</f>
        <v>2674452</v>
      </c>
      <c r="F30" s="205">
        <f t="shared" si="0"/>
        <v>15.204710407280087</v>
      </c>
      <c r="G30" s="205">
        <f>IFERROR(IF(C30=0,"",IF(E30=0,"",C30/E30)),"")</f>
        <v>15.128846036496451</v>
      </c>
      <c r="H30" s="6" t="str">
        <f t="shared" si="2"/>
        <v/>
      </c>
      <c r="I30" s="227" t="str">
        <f t="shared" si="3"/>
        <v/>
      </c>
      <c r="M30" s="7"/>
    </row>
    <row r="31" spans="1:13" x14ac:dyDescent="0.25">
      <c r="A31" s="1" t="s">
        <v>752</v>
      </c>
      <c r="B31" s="227">
        <f>ROUND(N('Prior Year'!S85), 0)</f>
        <v>14145387</v>
      </c>
      <c r="C31" s="227">
        <f>data!S85</f>
        <v>17976194.130000003</v>
      </c>
      <c r="D31" s="227" t="s">
        <v>753</v>
      </c>
      <c r="E31" s="4" t="s">
        <v>753</v>
      </c>
      <c r="F31" s="205" t="s">
        <v>5</v>
      </c>
      <c r="G31" s="205" t="str">
        <f t="shared" ref="G31:G32" si="4">IFERROR(IF(C31=0,"",IF(E31=0,"",C31/E31)),"")</f>
        <v/>
      </c>
      <c r="H31" s="6" t="s">
        <v>5</v>
      </c>
      <c r="I31" s="227" t="str">
        <f t="shared" si="3"/>
        <v/>
      </c>
      <c r="M31" s="7"/>
    </row>
    <row r="32" spans="1:13" x14ac:dyDescent="0.25">
      <c r="A32" s="1" t="s">
        <v>754</v>
      </c>
      <c r="B32" s="227">
        <f>ROUND(N('Prior Year'!T85), 0)</f>
        <v>3929834</v>
      </c>
      <c r="C32" s="227">
        <f>data!T85</f>
        <v>4251092.8100000005</v>
      </c>
      <c r="D32" s="227" t="s">
        <v>753</v>
      </c>
      <c r="E32" s="4" t="s">
        <v>753</v>
      </c>
      <c r="F32" s="205" t="s">
        <v>5</v>
      </c>
      <c r="G32" s="205" t="str">
        <f t="shared" si="4"/>
        <v/>
      </c>
      <c r="H32" s="6" t="s">
        <v>5</v>
      </c>
      <c r="I32" s="227" t="str">
        <f t="shared" si="3"/>
        <v/>
      </c>
      <c r="M32" s="7"/>
    </row>
    <row r="33" spans="1:13" x14ac:dyDescent="0.25">
      <c r="A33" s="1" t="s">
        <v>755</v>
      </c>
      <c r="B33" s="227">
        <f>ROUND(N('Prior Year'!U85), 0)</f>
        <v>48368602</v>
      </c>
      <c r="C33" s="227">
        <f>data!U85</f>
        <v>47338038.230000004</v>
      </c>
      <c r="D33" s="227">
        <f>ROUND(N('Prior Year'!U59), 0)</f>
        <v>2386892</v>
      </c>
      <c r="E33" s="1">
        <f>data!U59</f>
        <v>2444363</v>
      </c>
      <c r="F33" s="205">
        <f t="shared" si="0"/>
        <v>20.264260804426844</v>
      </c>
      <c r="G33" s="205">
        <f t="shared" ref="G33:G69" si="5">IF(C33=0,"",IF(E33=0,"",C33/E33))</f>
        <v>19.366206340874903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7" t="str">
        <f t="shared" si="3"/>
        <v/>
      </c>
      <c r="M33" s="7"/>
    </row>
    <row r="34" spans="1:13" x14ac:dyDescent="0.25">
      <c r="A34" s="1" t="s">
        <v>756</v>
      </c>
      <c r="B34" s="227">
        <f>ROUND(N('Prior Year'!V85), 0)</f>
        <v>0</v>
      </c>
      <c r="C34" s="227">
        <f>data!V85</f>
        <v>0</v>
      </c>
      <c r="D34" s="227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5"/>
        <v/>
      </c>
      <c r="H34" s="6" t="str">
        <f t="shared" si="6"/>
        <v/>
      </c>
      <c r="I34" s="227" t="str">
        <f t="shared" si="3"/>
        <v/>
      </c>
      <c r="M34" s="7"/>
    </row>
    <row r="35" spans="1:13" x14ac:dyDescent="0.25">
      <c r="A35" s="1" t="s">
        <v>757</v>
      </c>
      <c r="B35" s="227">
        <f>ROUND(N('Prior Year'!W85), 0)</f>
        <v>4724734</v>
      </c>
      <c r="C35" s="227">
        <f>data!W85</f>
        <v>4622579.8800000008</v>
      </c>
      <c r="D35" s="227">
        <f>ROUND(N('Prior Year'!W59), 0)</f>
        <v>76244</v>
      </c>
      <c r="E35" s="1">
        <f>data!W59</f>
        <v>15434.22</v>
      </c>
      <c r="F35" s="205">
        <f t="shared" si="0"/>
        <v>61.968600807932425</v>
      </c>
      <c r="G35" s="205">
        <f t="shared" si="5"/>
        <v>299.50200787600545</v>
      </c>
      <c r="H35" s="6">
        <f t="shared" si="6"/>
        <v>3.8331252274727339</v>
      </c>
      <c r="I35" s="259" t="s">
        <v>1384</v>
      </c>
      <c r="M35" s="7"/>
    </row>
    <row r="36" spans="1:13" x14ac:dyDescent="0.25">
      <c r="A36" s="1" t="s">
        <v>758</v>
      </c>
      <c r="B36" s="227">
        <f>ROUND(N('Prior Year'!X85), 0)</f>
        <v>6765391</v>
      </c>
      <c r="C36" s="227">
        <f>data!X85</f>
        <v>8305574.2700000005</v>
      </c>
      <c r="D36" s="227">
        <f>ROUND(N('Prior Year'!X59), 0)</f>
        <v>133955</v>
      </c>
      <c r="E36" s="1">
        <f>data!X59</f>
        <v>34526.75</v>
      </c>
      <c r="F36" s="205">
        <f t="shared" si="0"/>
        <v>50.50495315591057</v>
      </c>
      <c r="G36" s="205">
        <f t="shared" si="5"/>
        <v>240.55476608716432</v>
      </c>
      <c r="H36" s="6">
        <f t="shared" si="6"/>
        <v>3.7629935492576996</v>
      </c>
      <c r="I36" s="259" t="s">
        <v>1384</v>
      </c>
      <c r="M36" s="7"/>
    </row>
    <row r="37" spans="1:13" x14ac:dyDescent="0.25">
      <c r="A37" s="1" t="s">
        <v>759</v>
      </c>
      <c r="B37" s="227">
        <f>ROUND(N('Prior Year'!Y85), 0)</f>
        <v>30754913</v>
      </c>
      <c r="C37" s="227">
        <f>data!Y85</f>
        <v>31083735.680000003</v>
      </c>
      <c r="D37" s="227">
        <f>ROUND(N('Prior Year'!Y59), 0)</f>
        <v>132373</v>
      </c>
      <c r="E37" s="1">
        <f>data!Y59</f>
        <v>57431.31</v>
      </c>
      <c r="F37" s="205">
        <f t="shared" si="0"/>
        <v>232.33524208108904</v>
      </c>
      <c r="G37" s="205">
        <f t="shared" si="5"/>
        <v>541.23326944832013</v>
      </c>
      <c r="H37" s="6">
        <f t="shared" si="6"/>
        <v>1.3295358233230079</v>
      </c>
      <c r="I37" s="227" t="s">
        <v>1384</v>
      </c>
      <c r="M37" s="7"/>
    </row>
    <row r="38" spans="1:13" x14ac:dyDescent="0.25">
      <c r="A38" s="1" t="s">
        <v>760</v>
      </c>
      <c r="B38" s="227">
        <f>ROUND(N('Prior Year'!Z85), 0)</f>
        <v>12990265</v>
      </c>
      <c r="C38" s="227">
        <f>data!Z85</f>
        <v>16889462.129999999</v>
      </c>
      <c r="D38" s="227">
        <f>ROUND(N('Prior Year'!Z59), 0)</f>
        <v>362805</v>
      </c>
      <c r="E38" s="1">
        <f>data!Z59</f>
        <v>402797.88000000006</v>
      </c>
      <c r="F38" s="205">
        <f t="shared" si="0"/>
        <v>35.805088132743485</v>
      </c>
      <c r="G38" s="205">
        <f t="shared" si="5"/>
        <v>41.930365000927999</v>
      </c>
      <c r="H38" s="6" t="str">
        <f t="shared" si="6"/>
        <v/>
      </c>
      <c r="I38" s="227" t="s">
        <v>5</v>
      </c>
      <c r="M38" s="7"/>
    </row>
    <row r="39" spans="1:13" x14ac:dyDescent="0.25">
      <c r="A39" s="1" t="s">
        <v>761</v>
      </c>
      <c r="B39" s="227">
        <f>ROUND(N('Prior Year'!AA85), 0)</f>
        <v>5989948</v>
      </c>
      <c r="C39" s="227">
        <f>data!AA85</f>
        <v>6212667.8799999999</v>
      </c>
      <c r="D39" s="227">
        <f>ROUND(N('Prior Year'!AA59), 0)</f>
        <v>20594</v>
      </c>
      <c r="E39" s="1">
        <f>data!AA59</f>
        <v>7102.42</v>
      </c>
      <c r="F39" s="205">
        <f t="shared" si="0"/>
        <v>290.85889093910851</v>
      </c>
      <c r="G39" s="205">
        <f t="shared" si="5"/>
        <v>874.72549919604864</v>
      </c>
      <c r="H39" s="6">
        <f t="shared" si="6"/>
        <v>2.0073878655446467</v>
      </c>
      <c r="I39" s="259" t="s">
        <v>1384</v>
      </c>
      <c r="M39" s="7"/>
    </row>
    <row r="40" spans="1:13" x14ac:dyDescent="0.25">
      <c r="A40" s="1" t="s">
        <v>762</v>
      </c>
      <c r="B40" s="227">
        <f>ROUND(N('Prior Year'!AB85), 0)</f>
        <v>15663845</v>
      </c>
      <c r="C40" s="227">
        <f>data!AB85</f>
        <v>27992215.23</v>
      </c>
      <c r="D40" s="227" t="s">
        <v>753</v>
      </c>
      <c r="E40" s="4" t="s">
        <v>753</v>
      </c>
      <c r="F40" s="205" t="s">
        <v>5</v>
      </c>
      <c r="G40" s="205" t="str">
        <f>IFERROR(IF(C40=0,"",IF(E40=0,"",C40/E40)),"")</f>
        <v/>
      </c>
      <c r="H40" s="6" t="s">
        <v>5</v>
      </c>
      <c r="I40" s="227" t="str">
        <f t="shared" si="3"/>
        <v/>
      </c>
      <c r="M40" s="7"/>
    </row>
    <row r="41" spans="1:13" x14ac:dyDescent="0.25">
      <c r="A41" s="1" t="s">
        <v>763</v>
      </c>
      <c r="B41" s="227">
        <f>ROUND(N('Prior Year'!AC85), 0)</f>
        <v>3258910</v>
      </c>
      <c r="C41" s="227">
        <f>data!AC85</f>
        <v>3677773.33</v>
      </c>
      <c r="D41" s="227">
        <f>ROUND(N('Prior Year'!AC59), 0)</f>
        <v>76730</v>
      </c>
      <c r="E41" s="1">
        <f>data!AC59</f>
        <v>67315</v>
      </c>
      <c r="F41" s="205">
        <f t="shared" si="0"/>
        <v>42.472435813892872</v>
      </c>
      <c r="G41" s="205">
        <f t="shared" si="5"/>
        <v>54.635271930476122</v>
      </c>
      <c r="H41" s="6">
        <f t="shared" ref="H41:H59" si="7">IF(B41 = 0, "", IF(C41 = 0, "", IF(D41 = 0, "", IF(E41 = 0, "", IF(G41 / F41 - 1 &lt; -0.25, G41 / F41 - 1, IF(G41 / F41 - 1 &gt; 0.25, G41 / F41 - 1, ""))))))</f>
        <v>0.28637011001391044</v>
      </c>
      <c r="I41" s="227" t="s">
        <v>1387</v>
      </c>
      <c r="M41" s="7"/>
    </row>
    <row r="42" spans="1:13" x14ac:dyDescent="0.25">
      <c r="A42" s="1" t="s">
        <v>764</v>
      </c>
      <c r="B42" s="227">
        <f>ROUND(N('Prior Year'!AD85), 0)</f>
        <v>2892237</v>
      </c>
      <c r="C42" s="227">
        <f>data!AD85</f>
        <v>3657927.6</v>
      </c>
      <c r="D42" s="227">
        <f>ROUND(N('Prior Year'!AD59), 0)</f>
        <v>22566</v>
      </c>
      <c r="E42" s="1">
        <f>data!AD59</f>
        <v>19971</v>
      </c>
      <c r="F42" s="205">
        <f t="shared" si="0"/>
        <v>128.16790747141718</v>
      </c>
      <c r="G42" s="205">
        <f t="shared" si="5"/>
        <v>183.16196484903111</v>
      </c>
      <c r="H42" s="6">
        <f t="shared" si="7"/>
        <v>0.42907821827299619</v>
      </c>
      <c r="I42" s="227" t="s">
        <v>1387</v>
      </c>
      <c r="M42" s="7"/>
    </row>
    <row r="43" spans="1:13" x14ac:dyDescent="0.25">
      <c r="A43" s="1" t="s">
        <v>765</v>
      </c>
      <c r="B43" s="227">
        <f>ROUND(N('Prior Year'!AE85), 0)</f>
        <v>11596477</v>
      </c>
      <c r="C43" s="227">
        <f>data!AE85</f>
        <v>10772034.930000002</v>
      </c>
      <c r="D43" s="227">
        <f>ROUND(N('Prior Year'!AE59), 0)</f>
        <v>215705</v>
      </c>
      <c r="E43" s="1">
        <f>data!AE59</f>
        <v>218155</v>
      </c>
      <c r="F43" s="205">
        <f t="shared" si="0"/>
        <v>53.760816856354744</v>
      </c>
      <c r="G43" s="205">
        <f t="shared" si="5"/>
        <v>49.377896128899181</v>
      </c>
      <c r="H43" s="6" t="str">
        <f t="shared" si="7"/>
        <v/>
      </c>
      <c r="I43" s="227" t="str">
        <f t="shared" si="3"/>
        <v/>
      </c>
      <c r="M43" s="7"/>
    </row>
    <row r="44" spans="1:13" x14ac:dyDescent="0.25">
      <c r="A44" s="1" t="s">
        <v>766</v>
      </c>
      <c r="B44" s="227">
        <f>ROUND(N('Prior Year'!AF85), 0)</f>
        <v>760936</v>
      </c>
      <c r="C44" s="227">
        <f>data!AF85</f>
        <v>752417.13</v>
      </c>
      <c r="D44" s="227">
        <f>ROUND(N('Prior Year'!AF59), 0)</f>
        <v>1474</v>
      </c>
      <c r="E44" s="1">
        <f>data!AF59</f>
        <v>1348</v>
      </c>
      <c r="F44" s="205">
        <f t="shared" si="0"/>
        <v>516.2388059701492</v>
      </c>
      <c r="G44" s="205">
        <f t="shared" si="5"/>
        <v>558.17294510385761</v>
      </c>
      <c r="H44" s="6" t="str">
        <f t="shared" si="7"/>
        <v/>
      </c>
      <c r="I44" s="259" t="str">
        <f t="shared" si="3"/>
        <v/>
      </c>
      <c r="M44" s="7"/>
    </row>
    <row r="45" spans="1:13" x14ac:dyDescent="0.25">
      <c r="A45" s="1" t="s">
        <v>767</v>
      </c>
      <c r="B45" s="227">
        <f>ROUND(N('Prior Year'!AG85), 0)</f>
        <v>18563660</v>
      </c>
      <c r="C45" s="227">
        <f>data!AG85</f>
        <v>17658540.210000001</v>
      </c>
      <c r="D45" s="227">
        <f>ROUND(N('Prior Year'!AG59), 0)</f>
        <v>23249</v>
      </c>
      <c r="E45" s="1">
        <f>data!AG59</f>
        <v>22719</v>
      </c>
      <c r="F45" s="205">
        <f t="shared" si="0"/>
        <v>798.4713321003054</v>
      </c>
      <c r="G45" s="205">
        <f t="shared" si="5"/>
        <v>777.25869140367092</v>
      </c>
      <c r="H45" s="6" t="str">
        <f t="shared" si="7"/>
        <v/>
      </c>
      <c r="I45" s="227" t="str">
        <f t="shared" si="3"/>
        <v/>
      </c>
      <c r="M45" s="7"/>
    </row>
    <row r="46" spans="1:13" x14ac:dyDescent="0.25">
      <c r="A46" s="1" t="s">
        <v>768</v>
      </c>
      <c r="B46" s="227">
        <f>ROUND(N('Prior Year'!AH85), 0)</f>
        <v>0</v>
      </c>
      <c r="C46" s="227">
        <f>data!AH85</f>
        <v>0</v>
      </c>
      <c r="D46" s="227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5"/>
        <v/>
      </c>
      <c r="H46" s="6" t="str">
        <f t="shared" si="7"/>
        <v/>
      </c>
      <c r="I46" s="227" t="str">
        <f t="shared" si="3"/>
        <v/>
      </c>
      <c r="M46" s="7"/>
    </row>
    <row r="47" spans="1:13" x14ac:dyDescent="0.25">
      <c r="A47" s="1" t="s">
        <v>769</v>
      </c>
      <c r="B47" s="227">
        <f>ROUND(N('Prior Year'!AI85), 0)</f>
        <v>0</v>
      </c>
      <c r="C47" s="227">
        <f>data!AI85</f>
        <v>0</v>
      </c>
      <c r="D47" s="227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5"/>
        <v/>
      </c>
      <c r="H47" s="6" t="str">
        <f t="shared" si="7"/>
        <v/>
      </c>
      <c r="I47" s="227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770</v>
      </c>
      <c r="B48" s="227">
        <f>ROUND(N('Prior Year'!AJ85), 0)</f>
        <v>281964070</v>
      </c>
      <c r="C48" s="227">
        <f>data!AJ85</f>
        <v>292798604.8599999</v>
      </c>
      <c r="D48" s="227">
        <f>ROUND(N('Prior Year'!AJ59), 0)</f>
        <v>337042</v>
      </c>
      <c r="E48" s="1">
        <f>data!AJ59</f>
        <v>346826</v>
      </c>
      <c r="F48" s="205">
        <f t="shared" si="0"/>
        <v>836.58437227407865</v>
      </c>
      <c r="G48" s="205">
        <f t="shared" si="5"/>
        <v>844.223342136979</v>
      </c>
      <c r="H48" s="6" t="str">
        <f t="shared" si="7"/>
        <v/>
      </c>
      <c r="I48" s="227" t="str">
        <f t="shared" si="8"/>
        <v/>
      </c>
      <c r="M48" s="7"/>
    </row>
    <row r="49" spans="1:13" x14ac:dyDescent="0.25">
      <c r="A49" s="1" t="s">
        <v>771</v>
      </c>
      <c r="B49" s="227">
        <f>ROUND(N('Prior Year'!AK85), 0)</f>
        <v>0</v>
      </c>
      <c r="C49" s="227">
        <f>data!AK85</f>
        <v>0</v>
      </c>
      <c r="D49" s="227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5"/>
        <v/>
      </c>
      <c r="H49" s="6" t="str">
        <f t="shared" si="7"/>
        <v/>
      </c>
      <c r="I49" s="227" t="str">
        <f t="shared" si="8"/>
        <v/>
      </c>
      <c r="M49" s="7"/>
    </row>
    <row r="50" spans="1:13" x14ac:dyDescent="0.25">
      <c r="A50" s="1" t="s">
        <v>772</v>
      </c>
      <c r="B50" s="227">
        <f>ROUND(N('Prior Year'!AL85), 0)</f>
        <v>0</v>
      </c>
      <c r="C50" s="227">
        <f>data!AL85</f>
        <v>0</v>
      </c>
      <c r="D50" s="227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5"/>
        <v/>
      </c>
      <c r="H50" s="6" t="str">
        <f t="shared" si="7"/>
        <v/>
      </c>
      <c r="I50" s="227" t="str">
        <f t="shared" si="8"/>
        <v/>
      </c>
      <c r="M50" s="7"/>
    </row>
    <row r="51" spans="1:13" x14ac:dyDescent="0.25">
      <c r="A51" s="1" t="s">
        <v>773</v>
      </c>
      <c r="B51" s="227">
        <f>ROUND(N('Prior Year'!AM85), 0)</f>
        <v>0</v>
      </c>
      <c r="C51" s="227">
        <f>data!AM85</f>
        <v>0</v>
      </c>
      <c r="D51" s="227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5"/>
        <v/>
      </c>
      <c r="H51" s="6" t="str">
        <f t="shared" si="7"/>
        <v/>
      </c>
      <c r="I51" s="227" t="str">
        <f t="shared" si="8"/>
        <v/>
      </c>
      <c r="M51" s="7"/>
    </row>
    <row r="52" spans="1:13" x14ac:dyDescent="0.25">
      <c r="A52" s="1" t="s">
        <v>774</v>
      </c>
      <c r="B52" s="227">
        <f>ROUND(N('Prior Year'!AN85), 0)</f>
        <v>0</v>
      </c>
      <c r="C52" s="227">
        <f>data!AN85</f>
        <v>0</v>
      </c>
      <c r="D52" s="227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5"/>
        <v/>
      </c>
      <c r="H52" s="6" t="str">
        <f t="shared" si="7"/>
        <v/>
      </c>
      <c r="I52" s="227" t="str">
        <f t="shared" si="8"/>
        <v/>
      </c>
      <c r="M52" s="7"/>
    </row>
    <row r="53" spans="1:13" x14ac:dyDescent="0.25">
      <c r="A53" s="1" t="s">
        <v>775</v>
      </c>
      <c r="B53" s="227">
        <f>ROUND(N('Prior Year'!AO85), 0)</f>
        <v>0</v>
      </c>
      <c r="C53" s="227">
        <f>data!AO85</f>
        <v>0</v>
      </c>
      <c r="D53" s="227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5"/>
        <v/>
      </c>
      <c r="H53" s="6" t="str">
        <f t="shared" si="7"/>
        <v/>
      </c>
      <c r="I53" s="227" t="str">
        <f t="shared" si="8"/>
        <v/>
      </c>
      <c r="M53" s="7"/>
    </row>
    <row r="54" spans="1:13" x14ac:dyDescent="0.25">
      <c r="A54" s="1" t="s">
        <v>776</v>
      </c>
      <c r="B54" s="227">
        <f>ROUND(N('Prior Year'!AP85), 0)</f>
        <v>206107612</v>
      </c>
      <c r="C54" s="227">
        <f>data!AP85</f>
        <v>212070841.22999981</v>
      </c>
      <c r="D54" s="227">
        <f>ROUND(N('Prior Year'!AP59), 0)</f>
        <v>552539</v>
      </c>
      <c r="E54" s="1">
        <f>data!AP59</f>
        <v>579507</v>
      </c>
      <c r="F54" s="205">
        <f t="shared" si="0"/>
        <v>373.01912082224061</v>
      </c>
      <c r="G54" s="205">
        <f t="shared" si="5"/>
        <v>365.95043930444291</v>
      </c>
      <c r="H54" s="6" t="str">
        <f t="shared" si="7"/>
        <v/>
      </c>
      <c r="I54" s="227" t="str">
        <f t="shared" si="8"/>
        <v/>
      </c>
      <c r="M54" s="7"/>
    </row>
    <row r="55" spans="1:13" x14ac:dyDescent="0.25">
      <c r="A55" s="1" t="s">
        <v>777</v>
      </c>
      <c r="B55" s="227">
        <f>ROUND(N('Prior Year'!AQ85), 0)</f>
        <v>0</v>
      </c>
      <c r="C55" s="227">
        <f>data!AQ85</f>
        <v>0</v>
      </c>
      <c r="D55" s="227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5"/>
        <v/>
      </c>
      <c r="H55" s="6" t="str">
        <f t="shared" si="7"/>
        <v/>
      </c>
      <c r="I55" s="227" t="str">
        <f t="shared" si="8"/>
        <v/>
      </c>
      <c r="M55" s="7"/>
    </row>
    <row r="56" spans="1:13" x14ac:dyDescent="0.25">
      <c r="A56" s="1" t="s">
        <v>778</v>
      </c>
      <c r="B56" s="227">
        <f>ROUND(N('Prior Year'!AR85), 0)</f>
        <v>0</v>
      </c>
      <c r="C56" s="227">
        <f>data!AR85</f>
        <v>0</v>
      </c>
      <c r="D56" s="227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5"/>
        <v/>
      </c>
      <c r="H56" s="6" t="str">
        <f t="shared" si="7"/>
        <v/>
      </c>
      <c r="I56" s="227" t="str">
        <f t="shared" si="8"/>
        <v/>
      </c>
      <c r="M56" s="7"/>
    </row>
    <row r="57" spans="1:13" x14ac:dyDescent="0.25">
      <c r="A57" s="1" t="s">
        <v>779</v>
      </c>
      <c r="B57" s="227">
        <f>ROUND(N('Prior Year'!AS85), 0)</f>
        <v>0</v>
      </c>
      <c r="C57" s="227">
        <f>data!AS85</f>
        <v>0</v>
      </c>
      <c r="D57" s="227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5"/>
        <v/>
      </c>
      <c r="H57" s="6" t="str">
        <f t="shared" si="7"/>
        <v/>
      </c>
      <c r="I57" s="227" t="str">
        <f t="shared" si="8"/>
        <v/>
      </c>
      <c r="M57" s="7"/>
    </row>
    <row r="58" spans="1:13" x14ac:dyDescent="0.25">
      <c r="A58" s="1" t="s">
        <v>780</v>
      </c>
      <c r="B58" s="227">
        <f>ROUND(N('Prior Year'!AT85), 0)</f>
        <v>9182332</v>
      </c>
      <c r="C58" s="227">
        <f>data!AT85</f>
        <v>9311567.3800000008</v>
      </c>
      <c r="D58" s="227">
        <f>ROUND(N('Prior Year'!AT59), 0)</f>
        <v>89</v>
      </c>
      <c r="E58" s="1">
        <f>data!AT59</f>
        <v>81</v>
      </c>
      <c r="F58" s="205">
        <f t="shared" si="0"/>
        <v>103172.26966292135</v>
      </c>
      <c r="G58" s="205">
        <f t="shared" si="5"/>
        <v>114957.62197530865</v>
      </c>
      <c r="H58" s="6" t="str">
        <f t="shared" si="7"/>
        <v/>
      </c>
      <c r="I58" s="259" t="str">
        <f t="shared" si="8"/>
        <v/>
      </c>
      <c r="M58" s="7"/>
    </row>
    <row r="59" spans="1:13" x14ac:dyDescent="0.25">
      <c r="A59" s="1" t="s">
        <v>781</v>
      </c>
      <c r="B59" s="227">
        <f>ROUND(N('Prior Year'!AU85), 0)</f>
        <v>0</v>
      </c>
      <c r="C59" s="227">
        <f>data!AU85</f>
        <v>0</v>
      </c>
      <c r="D59" s="227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5"/>
        <v/>
      </c>
      <c r="H59" s="6" t="str">
        <f t="shared" si="7"/>
        <v/>
      </c>
      <c r="I59" s="227" t="str">
        <f t="shared" si="8"/>
        <v/>
      </c>
      <c r="M59" s="7"/>
    </row>
    <row r="60" spans="1:13" x14ac:dyDescent="0.25">
      <c r="A60" s="1" t="s">
        <v>782</v>
      </c>
      <c r="B60" s="227">
        <f>ROUND(N('Prior Year'!AV85), 0)</f>
        <v>34095125</v>
      </c>
      <c r="C60" s="227">
        <f>data!AV85</f>
        <v>41132478.840000018</v>
      </c>
      <c r="D60" s="227" t="s">
        <v>753</v>
      </c>
      <c r="E60" s="4" t="s">
        <v>753</v>
      </c>
      <c r="F60" s="205" t="s">
        <v>5</v>
      </c>
      <c r="G60" s="205"/>
      <c r="H60" s="6" t="s">
        <v>5</v>
      </c>
      <c r="I60" s="227" t="str">
        <f t="shared" si="8"/>
        <v/>
      </c>
      <c r="M60" s="7"/>
    </row>
    <row r="61" spans="1:13" x14ac:dyDescent="0.25">
      <c r="A61" s="1" t="s">
        <v>783</v>
      </c>
      <c r="B61" s="227">
        <f>ROUND(N('Prior Year'!AW85), 0)</f>
        <v>22402063</v>
      </c>
      <c r="C61" s="227">
        <f>data!AW85</f>
        <v>27214430.859999996</v>
      </c>
      <c r="D61" s="227" t="s">
        <v>753</v>
      </c>
      <c r="E61" s="4" t="s">
        <v>753</v>
      </c>
      <c r="F61" s="205" t="s">
        <v>5</v>
      </c>
      <c r="G61" s="205"/>
      <c r="H61" s="6" t="s">
        <v>5</v>
      </c>
      <c r="I61" s="227" t="str">
        <f t="shared" si="8"/>
        <v/>
      </c>
      <c r="M61" s="7"/>
    </row>
    <row r="62" spans="1:13" x14ac:dyDescent="0.25">
      <c r="A62" s="1" t="s">
        <v>784</v>
      </c>
      <c r="B62" s="227">
        <f>ROUND(N('Prior Year'!AX85), 0)</f>
        <v>893732</v>
      </c>
      <c r="C62" s="227">
        <f>data!AX85</f>
        <v>685944.03</v>
      </c>
      <c r="D62" s="227" t="s">
        <v>753</v>
      </c>
      <c r="E62" s="4" t="s">
        <v>753</v>
      </c>
      <c r="F62" s="205" t="s">
        <v>5</v>
      </c>
      <c r="G62" s="205"/>
      <c r="H62" s="6" t="s">
        <v>5</v>
      </c>
      <c r="I62" s="227" t="str">
        <f t="shared" si="8"/>
        <v/>
      </c>
      <c r="M62" s="7"/>
    </row>
    <row r="63" spans="1:13" x14ac:dyDescent="0.25">
      <c r="A63" s="1" t="s">
        <v>785</v>
      </c>
      <c r="B63" s="227">
        <f>ROUND(N('Prior Year'!AY85), 0)</f>
        <v>5501424</v>
      </c>
      <c r="C63" s="227">
        <f>data!AY85</f>
        <v>6125682.209999999</v>
      </c>
      <c r="D63" s="227">
        <f>ROUND(N('Prior Year'!AY59), 0)</f>
        <v>253513</v>
      </c>
      <c r="E63" s="1">
        <f>data!AY59</f>
        <v>186918</v>
      </c>
      <c r="F63" s="205">
        <f>IF(B63=0,"",IF(D63=0,"",B63/D63))</f>
        <v>21.700756963153765</v>
      </c>
      <c r="G63" s="205">
        <f t="shared" si="5"/>
        <v>32.772029499566649</v>
      </c>
      <c r="H63" s="6">
        <f>IF(B63 = 0, "", IF(C63 = 0, "", IF(D63 = 0, "", IF(E63 = 0, "", IF(G63 / F63 - 1 &lt; -0.25, G63 / F63 - 1, IF(G63 / F63 - 1 &gt; 0.25, G63 / F63 - 1, ""))))))</f>
        <v>0.51017909445329779</v>
      </c>
      <c r="I63" s="259" t="s">
        <v>1385</v>
      </c>
      <c r="M63" s="7"/>
    </row>
    <row r="64" spans="1:13" x14ac:dyDescent="0.25">
      <c r="A64" s="1" t="s">
        <v>786</v>
      </c>
      <c r="B64" s="227">
        <f>ROUND(N('Prior Year'!AZ85), 0)</f>
        <v>2933219</v>
      </c>
      <c r="C64" s="227">
        <f>data!AZ85</f>
        <v>3310881.5100000007</v>
      </c>
      <c r="D64" s="227">
        <f>ROUND(N('Prior Year'!AZ59), 0)</f>
        <v>239787</v>
      </c>
      <c r="E64" s="1">
        <f>data!AZ59</f>
        <v>351252</v>
      </c>
      <c r="F64" s="205">
        <f>IF(B64=0,"",IF(D64=0,"",B64/D64))</f>
        <v>12.232602267846048</v>
      </c>
      <c r="G64" s="205">
        <f t="shared" si="5"/>
        <v>9.4259435106419343</v>
      </c>
      <c r="H64" s="6" t="str">
        <f>IF(B64 = 0, "", IF(C64 = 0, "", IF(D64 = 0, "", IF(E64 = 0, "", IF(G64 / F64 - 1 &lt; -0.25, G64 / F64 - 1, IF(G64 / F64 - 1 &gt; 0.25, G64 / F64 - 1, ""))))))</f>
        <v/>
      </c>
      <c r="I64" s="259" t="str">
        <f t="shared" si="8"/>
        <v/>
      </c>
      <c r="M64" s="7"/>
    </row>
    <row r="65" spans="1:13" x14ac:dyDescent="0.25">
      <c r="A65" s="1" t="s">
        <v>787</v>
      </c>
      <c r="B65" s="227">
        <f>ROUND(N('Prior Year'!BA85), 0)</f>
        <v>2234114</v>
      </c>
      <c r="C65" s="227">
        <f>data!BA85</f>
        <v>2438749.71</v>
      </c>
      <c r="D65" s="227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7" t="str">
        <f t="shared" si="8"/>
        <v/>
      </c>
      <c r="M65" s="7"/>
    </row>
    <row r="66" spans="1:13" x14ac:dyDescent="0.25">
      <c r="A66" s="1" t="s">
        <v>788</v>
      </c>
      <c r="B66" s="227">
        <f>ROUND(N('Prior Year'!BB85), 0)</f>
        <v>0</v>
      </c>
      <c r="C66" s="227">
        <f>data!BB85</f>
        <v>0</v>
      </c>
      <c r="D66" s="227" t="s">
        <v>753</v>
      </c>
      <c r="E66" s="4" t="s">
        <v>753</v>
      </c>
      <c r="F66" s="205" t="s">
        <v>5</v>
      </c>
      <c r="G66" s="205" t="str">
        <f t="shared" ref="G66:G68" si="9">IFERROR(IF(C66=0,"",IF(E66=0,"",C66/E66)),"")</f>
        <v/>
      </c>
      <c r="H66" s="6" t="s">
        <v>5</v>
      </c>
      <c r="I66" s="227" t="str">
        <f t="shared" si="8"/>
        <v/>
      </c>
      <c r="M66" s="7"/>
    </row>
    <row r="67" spans="1:13" x14ac:dyDescent="0.25">
      <c r="A67" s="1" t="s">
        <v>789</v>
      </c>
      <c r="B67" s="227">
        <f>ROUND(N('Prior Year'!BC85), 0)</f>
        <v>5058702</v>
      </c>
      <c r="C67" s="227">
        <f>data!BC85</f>
        <v>3100272.5900000003</v>
      </c>
      <c r="D67" s="227" t="s">
        <v>753</v>
      </c>
      <c r="E67" s="4" t="s">
        <v>753</v>
      </c>
      <c r="F67" s="205" t="s">
        <v>5</v>
      </c>
      <c r="G67" s="205" t="str">
        <f t="shared" si="9"/>
        <v/>
      </c>
      <c r="H67" s="6" t="s">
        <v>5</v>
      </c>
      <c r="I67" s="227" t="str">
        <f t="shared" si="8"/>
        <v/>
      </c>
      <c r="M67" s="7"/>
    </row>
    <row r="68" spans="1:13" x14ac:dyDescent="0.25">
      <c r="A68" s="1" t="s">
        <v>790</v>
      </c>
      <c r="B68" s="227">
        <f>ROUND(N('Prior Year'!BD85), 0)</f>
        <v>1179735</v>
      </c>
      <c r="C68" s="227">
        <f>data!BD85</f>
        <v>1534132.06</v>
      </c>
      <c r="D68" s="227" t="s">
        <v>753</v>
      </c>
      <c r="E68" s="4" t="s">
        <v>753</v>
      </c>
      <c r="F68" s="205" t="s">
        <v>5</v>
      </c>
      <c r="G68" s="205" t="str">
        <f t="shared" si="9"/>
        <v/>
      </c>
      <c r="H68" s="6" t="s">
        <v>5</v>
      </c>
      <c r="I68" s="227" t="str">
        <f t="shared" si="8"/>
        <v/>
      </c>
      <c r="M68" s="7"/>
    </row>
    <row r="69" spans="1:13" x14ac:dyDescent="0.25">
      <c r="A69" s="1" t="s">
        <v>791</v>
      </c>
      <c r="B69" s="227">
        <f>ROUND(N('Prior Year'!BE85), 0)</f>
        <v>34600794</v>
      </c>
      <c r="C69" s="227">
        <f>data!BE85</f>
        <v>36571082.100000001</v>
      </c>
      <c r="D69" s="227">
        <f>ROUND(N('Prior Year'!BE59), 0)</f>
        <v>1475211</v>
      </c>
      <c r="E69" s="1">
        <f>data!BE59</f>
        <v>1475211</v>
      </c>
      <c r="F69" s="205">
        <f>IF(B69=0,"",IF(D69=0,"",B69/D69))</f>
        <v>23.45481019325371</v>
      </c>
      <c r="G69" s="205">
        <f t="shared" si="5"/>
        <v>24.79040767727464</v>
      </c>
      <c r="H69" s="6" t="str">
        <f>IF(B69 = 0, "", IF(C69 = 0, "", IF(D69 = 0, "", IF(E69 = 0, "", IF(G69 / F69 - 1 &lt; -0.25, G69 / F69 - 1, IF(G69 / F69 - 1 &gt; 0.25, G69 / F69 - 1, ""))))))</f>
        <v/>
      </c>
      <c r="I69" s="227" t="str">
        <f t="shared" si="8"/>
        <v/>
      </c>
      <c r="M69" s="7"/>
    </row>
    <row r="70" spans="1:13" x14ac:dyDescent="0.25">
      <c r="A70" s="1" t="s">
        <v>792</v>
      </c>
      <c r="B70" s="227">
        <f>ROUND(N('Prior Year'!BF85), 0)</f>
        <v>12476757</v>
      </c>
      <c r="C70" s="227">
        <f>data!BF85</f>
        <v>15559214.32</v>
      </c>
      <c r="D70" s="227" t="s">
        <v>753</v>
      </c>
      <c r="E70" s="4" t="s">
        <v>753</v>
      </c>
      <c r="F70" s="205" t="s">
        <v>5</v>
      </c>
      <c r="G70" s="205" t="str">
        <f t="shared" ref="G70:G94" si="10">IFERROR(IF(C70=0,"",IF(E70=0,"",C70/E70)),"")</f>
        <v/>
      </c>
      <c r="H70" s="6" t="s">
        <v>5</v>
      </c>
      <c r="I70" s="227" t="str">
        <f t="shared" si="8"/>
        <v/>
      </c>
      <c r="M70" s="7"/>
    </row>
    <row r="71" spans="1:13" x14ac:dyDescent="0.25">
      <c r="A71" s="1" t="s">
        <v>793</v>
      </c>
      <c r="B71" s="227">
        <f>ROUND(N('Prior Year'!BG85), 0)</f>
        <v>11929357</v>
      </c>
      <c r="C71" s="227">
        <f>data!BG85</f>
        <v>13096493.669999998</v>
      </c>
      <c r="D71" s="227" t="s">
        <v>753</v>
      </c>
      <c r="E71" s="4" t="s">
        <v>753</v>
      </c>
      <c r="F71" s="205" t="s">
        <v>5</v>
      </c>
      <c r="G71" s="205" t="str">
        <f t="shared" si="10"/>
        <v/>
      </c>
      <c r="H71" s="6" t="s">
        <v>5</v>
      </c>
      <c r="I71" s="227" t="str">
        <f t="shared" si="8"/>
        <v/>
      </c>
      <c r="M71" s="7"/>
    </row>
    <row r="72" spans="1:13" x14ac:dyDescent="0.25">
      <c r="A72" s="1" t="s">
        <v>794</v>
      </c>
      <c r="B72" s="227">
        <f>ROUND(N('Prior Year'!BH85), 0)</f>
        <v>40266681</v>
      </c>
      <c r="C72" s="227">
        <f>data!BH85</f>
        <v>32303289.390000001</v>
      </c>
      <c r="D72" s="227" t="s">
        <v>753</v>
      </c>
      <c r="E72" s="4" t="s">
        <v>753</v>
      </c>
      <c r="F72" s="205" t="s">
        <v>5</v>
      </c>
      <c r="G72" s="205" t="str">
        <f t="shared" si="10"/>
        <v/>
      </c>
      <c r="H72" s="6" t="s">
        <v>5</v>
      </c>
      <c r="I72" s="227" t="str">
        <f t="shared" si="8"/>
        <v/>
      </c>
      <c r="M72" s="7"/>
    </row>
    <row r="73" spans="1:13" x14ac:dyDescent="0.25">
      <c r="A73" s="1" t="s">
        <v>795</v>
      </c>
      <c r="B73" s="227">
        <f>ROUND(N('Prior Year'!BI85), 0)</f>
        <v>4860024</v>
      </c>
      <c r="C73" s="227">
        <f>data!BI85</f>
        <v>11192462.620000001</v>
      </c>
      <c r="D73" s="227" t="s">
        <v>753</v>
      </c>
      <c r="E73" s="4" t="s">
        <v>753</v>
      </c>
      <c r="F73" s="205" t="s">
        <v>5</v>
      </c>
      <c r="G73" s="205" t="str">
        <f t="shared" si="10"/>
        <v/>
      </c>
      <c r="H73" s="6" t="s">
        <v>5</v>
      </c>
      <c r="I73" s="227" t="str">
        <f t="shared" si="8"/>
        <v/>
      </c>
      <c r="M73" s="7"/>
    </row>
    <row r="74" spans="1:13" x14ac:dyDescent="0.25">
      <c r="A74" s="1" t="s">
        <v>796</v>
      </c>
      <c r="B74" s="227">
        <f>ROUND(N('Prior Year'!BJ85), 0)</f>
        <v>2931947</v>
      </c>
      <c r="C74" s="227">
        <f>data!BJ85</f>
        <v>1268050.83</v>
      </c>
      <c r="D74" s="227" t="s">
        <v>753</v>
      </c>
      <c r="E74" s="4" t="s">
        <v>753</v>
      </c>
      <c r="F74" s="205" t="s">
        <v>5</v>
      </c>
      <c r="G74" s="205" t="str">
        <f t="shared" si="10"/>
        <v/>
      </c>
      <c r="H74" s="6" t="s">
        <v>5</v>
      </c>
      <c r="I74" s="227" t="str">
        <f t="shared" si="8"/>
        <v/>
      </c>
      <c r="M74" s="7"/>
    </row>
    <row r="75" spans="1:13" x14ac:dyDescent="0.25">
      <c r="A75" s="1" t="s">
        <v>797</v>
      </c>
      <c r="B75" s="227">
        <f>ROUND(N('Prior Year'!BK85), 0)</f>
        <v>23249545</v>
      </c>
      <c r="C75" s="227">
        <f>data!BK85</f>
        <v>21493361.519999992</v>
      </c>
      <c r="D75" s="227" t="s">
        <v>753</v>
      </c>
      <c r="E75" s="4" t="s">
        <v>753</v>
      </c>
      <c r="F75" s="205" t="s">
        <v>5</v>
      </c>
      <c r="G75" s="205" t="str">
        <f t="shared" si="10"/>
        <v/>
      </c>
      <c r="H75" s="6" t="s">
        <v>5</v>
      </c>
      <c r="I75" s="227" t="str">
        <f t="shared" si="8"/>
        <v/>
      </c>
      <c r="M75" s="7"/>
    </row>
    <row r="76" spans="1:13" x14ac:dyDescent="0.25">
      <c r="A76" s="1" t="s">
        <v>798</v>
      </c>
      <c r="B76" s="227">
        <f>ROUND(N('Prior Year'!BL85), 0)</f>
        <v>7888374</v>
      </c>
      <c r="C76" s="227">
        <f>data!BL85</f>
        <v>7990908.6000000006</v>
      </c>
      <c r="D76" s="227" t="s">
        <v>753</v>
      </c>
      <c r="E76" s="4" t="s">
        <v>753</v>
      </c>
      <c r="F76" s="205" t="s">
        <v>5</v>
      </c>
      <c r="G76" s="205" t="str">
        <f t="shared" si="10"/>
        <v/>
      </c>
      <c r="H76" s="6" t="s">
        <v>5</v>
      </c>
      <c r="I76" s="227" t="str">
        <f t="shared" si="8"/>
        <v/>
      </c>
      <c r="M76" s="7"/>
    </row>
    <row r="77" spans="1:13" x14ac:dyDescent="0.25">
      <c r="A77" s="1" t="s">
        <v>799</v>
      </c>
      <c r="B77" s="227">
        <f>ROUND(N('Prior Year'!BM85), 0)</f>
        <v>2505881</v>
      </c>
      <c r="C77" s="227">
        <f>data!BM85</f>
        <v>2758275.5399999996</v>
      </c>
      <c r="D77" s="227" t="s">
        <v>753</v>
      </c>
      <c r="E77" s="4" t="s">
        <v>753</v>
      </c>
      <c r="F77" s="205" t="s">
        <v>5</v>
      </c>
      <c r="G77" s="205" t="str">
        <f t="shared" si="10"/>
        <v/>
      </c>
      <c r="H77" s="6" t="s">
        <v>5</v>
      </c>
      <c r="I77" s="227" t="str">
        <f t="shared" si="8"/>
        <v/>
      </c>
      <c r="M77" s="7"/>
    </row>
    <row r="78" spans="1:13" x14ac:dyDescent="0.25">
      <c r="A78" s="1" t="s">
        <v>800</v>
      </c>
      <c r="B78" s="227">
        <f>ROUND(N('Prior Year'!BN85), 0)</f>
        <v>-13527874</v>
      </c>
      <c r="C78" s="227">
        <f>data!BN85</f>
        <v>-9739631.3299999982</v>
      </c>
      <c r="D78" s="227" t="s">
        <v>753</v>
      </c>
      <c r="E78" s="4" t="s">
        <v>753</v>
      </c>
      <c r="F78" s="205" t="s">
        <v>5</v>
      </c>
      <c r="G78" s="205" t="str">
        <f t="shared" si="10"/>
        <v/>
      </c>
      <c r="H78" s="6" t="s">
        <v>5</v>
      </c>
      <c r="I78" s="227" t="str">
        <f t="shared" si="8"/>
        <v/>
      </c>
      <c r="M78" s="7"/>
    </row>
    <row r="79" spans="1:13" x14ac:dyDescent="0.25">
      <c r="A79" s="1" t="s">
        <v>801</v>
      </c>
      <c r="B79" s="227">
        <f>ROUND(N('Prior Year'!BO85), 0)</f>
        <v>330538</v>
      </c>
      <c r="C79" s="227">
        <f>data!BO85</f>
        <v>537891.2200000002</v>
      </c>
      <c r="D79" s="227" t="s">
        <v>753</v>
      </c>
      <c r="E79" s="4" t="s">
        <v>753</v>
      </c>
      <c r="F79" s="205" t="s">
        <v>5</v>
      </c>
      <c r="G79" s="205" t="str">
        <f t="shared" si="10"/>
        <v/>
      </c>
      <c r="H79" s="6" t="s">
        <v>5</v>
      </c>
      <c r="I79" s="227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802</v>
      </c>
      <c r="B80" s="227">
        <f>ROUND(N('Prior Year'!BP85), 0)</f>
        <v>2806991</v>
      </c>
      <c r="C80" s="227">
        <f>data!BP85</f>
        <v>2526607.2200000002</v>
      </c>
      <c r="D80" s="227" t="s">
        <v>753</v>
      </c>
      <c r="E80" s="4" t="s">
        <v>753</v>
      </c>
      <c r="F80" s="205" t="s">
        <v>5</v>
      </c>
      <c r="G80" s="205" t="str">
        <f t="shared" si="10"/>
        <v/>
      </c>
      <c r="H80" s="6" t="s">
        <v>5</v>
      </c>
      <c r="I80" s="227" t="str">
        <f t="shared" si="11"/>
        <v/>
      </c>
      <c r="M80" s="7"/>
    </row>
    <row r="81" spans="1:13" x14ac:dyDescent="0.25">
      <c r="A81" s="1" t="s">
        <v>803</v>
      </c>
      <c r="B81" s="227">
        <f>ROUND(N('Prior Year'!BQ85), 0)</f>
        <v>0</v>
      </c>
      <c r="C81" s="227">
        <f>data!BQ85</f>
        <v>0</v>
      </c>
      <c r="D81" s="227" t="s">
        <v>753</v>
      </c>
      <c r="E81" s="4" t="s">
        <v>753</v>
      </c>
      <c r="F81" s="205" t="s">
        <v>5</v>
      </c>
      <c r="G81" s="205" t="str">
        <f t="shared" si="10"/>
        <v/>
      </c>
      <c r="H81" s="6" t="s">
        <v>5</v>
      </c>
      <c r="I81" s="227" t="str">
        <f t="shared" si="11"/>
        <v/>
      </c>
      <c r="M81" s="7"/>
    </row>
    <row r="82" spans="1:13" x14ac:dyDescent="0.25">
      <c r="A82" s="1" t="s">
        <v>804</v>
      </c>
      <c r="B82" s="227">
        <f>ROUND(N('Prior Year'!BR85), 0)</f>
        <v>868221</v>
      </c>
      <c r="C82" s="227">
        <f>data!BR85</f>
        <v>467173.1</v>
      </c>
      <c r="D82" s="227" t="s">
        <v>753</v>
      </c>
      <c r="E82" s="4" t="s">
        <v>753</v>
      </c>
      <c r="F82" s="205" t="s">
        <v>5</v>
      </c>
      <c r="G82" s="205" t="str">
        <f t="shared" si="10"/>
        <v/>
      </c>
      <c r="H82" s="6" t="s">
        <v>5</v>
      </c>
      <c r="I82" s="227" t="str">
        <f t="shared" si="11"/>
        <v/>
      </c>
      <c r="M82" s="7"/>
    </row>
    <row r="83" spans="1:13" x14ac:dyDescent="0.25">
      <c r="A83" s="1" t="s">
        <v>805</v>
      </c>
      <c r="B83" s="227">
        <f>ROUND(N('Prior Year'!BS85), 0)</f>
        <v>0</v>
      </c>
      <c r="C83" s="227">
        <f>data!BS85</f>
        <v>0</v>
      </c>
      <c r="D83" s="227" t="s">
        <v>753</v>
      </c>
      <c r="E83" s="4" t="s">
        <v>753</v>
      </c>
      <c r="F83" s="205" t="s">
        <v>5</v>
      </c>
      <c r="G83" s="205" t="str">
        <f t="shared" si="10"/>
        <v/>
      </c>
      <c r="H83" s="6" t="s">
        <v>5</v>
      </c>
      <c r="I83" s="227" t="str">
        <f t="shared" si="11"/>
        <v/>
      </c>
      <c r="M83" s="7"/>
    </row>
    <row r="84" spans="1:13" x14ac:dyDescent="0.25">
      <c r="A84" s="1" t="s">
        <v>806</v>
      </c>
      <c r="B84" s="227">
        <f>ROUND(N('Prior Year'!BT85), 0)</f>
        <v>37824</v>
      </c>
      <c r="C84" s="227">
        <f>data!BT85</f>
        <v>33977</v>
      </c>
      <c r="D84" s="227" t="s">
        <v>753</v>
      </c>
      <c r="E84" s="4" t="s">
        <v>753</v>
      </c>
      <c r="F84" s="205" t="s">
        <v>5</v>
      </c>
      <c r="G84" s="205" t="str">
        <f t="shared" si="10"/>
        <v/>
      </c>
      <c r="H84" s="6" t="s">
        <v>5</v>
      </c>
      <c r="I84" s="227" t="str">
        <f t="shared" si="11"/>
        <v/>
      </c>
      <c r="M84" s="7"/>
    </row>
    <row r="85" spans="1:13" x14ac:dyDescent="0.25">
      <c r="A85" s="1" t="s">
        <v>807</v>
      </c>
      <c r="B85" s="227">
        <f>ROUND(N('Prior Year'!BU85), 0)</f>
        <v>1054595</v>
      </c>
      <c r="C85" s="227">
        <f>data!BU85</f>
        <v>591278.89</v>
      </c>
      <c r="D85" s="227" t="s">
        <v>753</v>
      </c>
      <c r="E85" s="4" t="s">
        <v>753</v>
      </c>
      <c r="F85" s="205" t="s">
        <v>5</v>
      </c>
      <c r="G85" s="205" t="str">
        <f t="shared" si="10"/>
        <v/>
      </c>
      <c r="H85" s="6" t="s">
        <v>5</v>
      </c>
      <c r="I85" s="227" t="str">
        <f t="shared" si="11"/>
        <v/>
      </c>
      <c r="M85" s="7"/>
    </row>
    <row r="86" spans="1:13" x14ac:dyDescent="0.25">
      <c r="A86" s="1" t="s">
        <v>808</v>
      </c>
      <c r="B86" s="227">
        <f>ROUND(N('Prior Year'!BV85), 0)</f>
        <v>6128930</v>
      </c>
      <c r="C86" s="227">
        <f>data!BV85</f>
        <v>6798482.9199999999</v>
      </c>
      <c r="D86" s="227" t="s">
        <v>753</v>
      </c>
      <c r="E86" s="4" t="s">
        <v>753</v>
      </c>
      <c r="F86" s="205" t="s">
        <v>5</v>
      </c>
      <c r="G86" s="205" t="str">
        <f t="shared" si="10"/>
        <v/>
      </c>
      <c r="H86" s="6" t="s">
        <v>5</v>
      </c>
      <c r="I86" s="227" t="str">
        <f t="shared" si="11"/>
        <v/>
      </c>
      <c r="M86" s="7"/>
    </row>
    <row r="87" spans="1:13" x14ac:dyDescent="0.25">
      <c r="A87" s="1" t="s">
        <v>809</v>
      </c>
      <c r="B87" s="227">
        <f>ROUND(N('Prior Year'!BW85), 0)</f>
        <v>-14865241</v>
      </c>
      <c r="C87" s="227">
        <f>data!BW85</f>
        <v>-10815519.050000001</v>
      </c>
      <c r="D87" s="227" t="s">
        <v>753</v>
      </c>
      <c r="E87" s="4" t="s">
        <v>753</v>
      </c>
      <c r="F87" s="205" t="s">
        <v>5</v>
      </c>
      <c r="G87" s="205" t="str">
        <f t="shared" si="10"/>
        <v/>
      </c>
      <c r="H87" s="6" t="s">
        <v>5</v>
      </c>
      <c r="I87" s="227" t="str">
        <f t="shared" si="11"/>
        <v/>
      </c>
      <c r="M87" s="7"/>
    </row>
    <row r="88" spans="1:13" x14ac:dyDescent="0.25">
      <c r="A88" s="1" t="s">
        <v>810</v>
      </c>
      <c r="B88" s="227">
        <f>ROUND(N('Prior Year'!BX85), 0)</f>
        <v>3026132</v>
      </c>
      <c r="C88" s="227">
        <f>data!BX85</f>
        <v>4095667.3000000007</v>
      </c>
      <c r="D88" s="227" t="s">
        <v>753</v>
      </c>
      <c r="E88" s="4" t="s">
        <v>753</v>
      </c>
      <c r="F88" s="205" t="s">
        <v>5</v>
      </c>
      <c r="G88" s="205" t="str">
        <f t="shared" si="10"/>
        <v/>
      </c>
      <c r="H88" s="6" t="s">
        <v>5</v>
      </c>
      <c r="I88" s="227" t="str">
        <f t="shared" si="11"/>
        <v/>
      </c>
      <c r="M88" s="7"/>
    </row>
    <row r="89" spans="1:13" x14ac:dyDescent="0.25">
      <c r="A89" s="1" t="s">
        <v>811</v>
      </c>
      <c r="B89" s="227">
        <f>ROUND(N('Prior Year'!BY85), 0)</f>
        <v>5631368</v>
      </c>
      <c r="C89" s="227">
        <f>data!BY85</f>
        <v>6743129.5199999996</v>
      </c>
      <c r="D89" s="227" t="s">
        <v>753</v>
      </c>
      <c r="E89" s="4" t="s">
        <v>753</v>
      </c>
      <c r="F89" s="205" t="s">
        <v>5</v>
      </c>
      <c r="G89" s="205" t="str">
        <f t="shared" si="10"/>
        <v/>
      </c>
      <c r="H89" s="6" t="s">
        <v>5</v>
      </c>
      <c r="I89" s="227" t="str">
        <f t="shared" si="11"/>
        <v/>
      </c>
      <c r="M89" s="7"/>
    </row>
    <row r="90" spans="1:13" x14ac:dyDescent="0.25">
      <c r="A90" s="1" t="s">
        <v>812</v>
      </c>
      <c r="B90" s="227">
        <f>ROUND(N('Prior Year'!BZ85), 0)</f>
        <v>0</v>
      </c>
      <c r="C90" s="227">
        <f>data!BZ85</f>
        <v>0</v>
      </c>
      <c r="D90" s="227" t="s">
        <v>753</v>
      </c>
      <c r="E90" s="4" t="s">
        <v>753</v>
      </c>
      <c r="F90" s="205" t="s">
        <v>5</v>
      </c>
      <c r="G90" s="205" t="str">
        <f t="shared" si="10"/>
        <v/>
      </c>
      <c r="H90" s="6" t="s">
        <v>5</v>
      </c>
      <c r="I90" s="227" t="str">
        <f t="shared" si="11"/>
        <v/>
      </c>
      <c r="M90" s="7"/>
    </row>
    <row r="91" spans="1:13" x14ac:dyDescent="0.25">
      <c r="A91" s="1" t="s">
        <v>813</v>
      </c>
      <c r="B91" s="227">
        <f>ROUND(N('Prior Year'!CA85), 0)</f>
        <v>2783685</v>
      </c>
      <c r="C91" s="227">
        <f>data!CA85</f>
        <v>2332552.7999999998</v>
      </c>
      <c r="D91" s="227" t="s">
        <v>753</v>
      </c>
      <c r="E91" s="4" t="s">
        <v>753</v>
      </c>
      <c r="F91" s="205" t="s">
        <v>5</v>
      </c>
      <c r="G91" s="205" t="str">
        <f t="shared" si="10"/>
        <v/>
      </c>
      <c r="H91" s="6" t="s">
        <v>5</v>
      </c>
      <c r="I91" s="227" t="str">
        <f t="shared" si="11"/>
        <v/>
      </c>
      <c r="M91" s="7"/>
    </row>
    <row r="92" spans="1:13" x14ac:dyDescent="0.25">
      <c r="A92" s="1" t="s">
        <v>814</v>
      </c>
      <c r="B92" s="227">
        <f>ROUND(N('Prior Year'!CB85), 0)</f>
        <v>0</v>
      </c>
      <c r="C92" s="227">
        <f>data!CB85</f>
        <v>0</v>
      </c>
      <c r="D92" s="227" t="s">
        <v>753</v>
      </c>
      <c r="E92" s="4" t="s">
        <v>753</v>
      </c>
      <c r="F92" s="205" t="s">
        <v>5</v>
      </c>
      <c r="G92" s="205" t="str">
        <f t="shared" si="10"/>
        <v/>
      </c>
      <c r="H92" s="6" t="s">
        <v>5</v>
      </c>
      <c r="I92" s="227" t="str">
        <f t="shared" si="11"/>
        <v/>
      </c>
      <c r="M92" s="7"/>
    </row>
    <row r="93" spans="1:13" x14ac:dyDescent="0.25">
      <c r="A93" s="1" t="s">
        <v>815</v>
      </c>
      <c r="B93" s="227">
        <f>ROUND(N('Prior Year'!CC85), 0)</f>
        <v>-8777533</v>
      </c>
      <c r="C93" s="227">
        <f>data!CC85</f>
        <v>-39456368.290000007</v>
      </c>
      <c r="D93" s="227" t="s">
        <v>753</v>
      </c>
      <c r="E93" s="4" t="s">
        <v>753</v>
      </c>
      <c r="F93" s="205" t="s">
        <v>5</v>
      </c>
      <c r="G93" s="205" t="str">
        <f t="shared" si="10"/>
        <v/>
      </c>
      <c r="H93" s="6" t="s">
        <v>5</v>
      </c>
      <c r="I93" s="227" t="str">
        <f t="shared" si="11"/>
        <v/>
      </c>
      <c r="M93" s="7"/>
    </row>
    <row r="94" spans="1:13" x14ac:dyDescent="0.25">
      <c r="A94" s="1" t="s">
        <v>816</v>
      </c>
      <c r="B94" s="227">
        <f>ROUND(N('Prior Year'!CD85), 0)</f>
        <v>-516656</v>
      </c>
      <c r="C94" s="227">
        <f>data!CD85</f>
        <v>13820813.789999997</v>
      </c>
      <c r="D94" s="227" t="s">
        <v>753</v>
      </c>
      <c r="E94" s="4" t="s">
        <v>753</v>
      </c>
      <c r="F94" s="205" t="s">
        <v>5</v>
      </c>
      <c r="G94" s="205" t="str">
        <f t="shared" si="10"/>
        <v/>
      </c>
      <c r="H94" s="6" t="s">
        <v>5</v>
      </c>
      <c r="I94" s="227" t="str">
        <f t="shared" si="11"/>
        <v/>
      </c>
      <c r="M94" s="7"/>
    </row>
  </sheetData>
  <sheetProtection algorithmName="SHA-512" hashValue="qmstPbd1MJqdrWDivKB+m496v7q5mndGSXB6/lLKJ91eHtxfa7cdS9U4EsPjqr5zTxiF/fih2Iw3W8jAO/eluw==" saltValue="bXmcQ9d+EHK/fCTcMp+96Q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42"/>
  <sheetViews>
    <sheetView topLeftCell="A9" workbookViewId="0">
      <selection activeCell="H26" sqref="H26"/>
    </sheetView>
  </sheetViews>
  <sheetFormatPr defaultRowHeight="15" x14ac:dyDescent="0.2"/>
  <sheetData>
    <row r="1" spans="1:4" ht="15.75" x14ac:dyDescent="0.25">
      <c r="A1" s="278" t="s">
        <v>817</v>
      </c>
      <c r="B1" s="277"/>
      <c r="C1" s="277"/>
      <c r="D1" s="277"/>
    </row>
    <row r="2" spans="1:4" ht="15.75" x14ac:dyDescent="0.25">
      <c r="A2" s="277"/>
      <c r="B2" s="277"/>
      <c r="C2" s="277"/>
      <c r="D2" s="277"/>
    </row>
    <row r="3" spans="1:4" ht="15.75" x14ac:dyDescent="0.25">
      <c r="A3" s="280" t="s">
        <v>818</v>
      </c>
      <c r="B3" s="277"/>
      <c r="C3" s="277"/>
      <c r="D3" s="277"/>
    </row>
    <row r="4" spans="1:4" ht="15.75" x14ac:dyDescent="0.25">
      <c r="A4" s="277" t="s">
        <v>819</v>
      </c>
      <c r="B4" s="277"/>
      <c r="C4" s="277"/>
      <c r="D4" s="277"/>
    </row>
    <row r="5" spans="1:4" ht="15.75" x14ac:dyDescent="0.25">
      <c r="A5" s="277" t="s">
        <v>820</v>
      </c>
      <c r="B5" s="277"/>
      <c r="C5" s="277"/>
      <c r="D5" s="277"/>
    </row>
    <row r="6" spans="1:4" ht="15.75" x14ac:dyDescent="0.25">
      <c r="A6" s="277"/>
      <c r="B6" s="277"/>
      <c r="C6" s="277"/>
      <c r="D6" s="277"/>
    </row>
    <row r="7" spans="1:4" ht="15.75" x14ac:dyDescent="0.25">
      <c r="A7" s="277" t="s">
        <v>821</v>
      </c>
      <c r="B7" s="277"/>
      <c r="C7" s="277"/>
      <c r="D7" s="277"/>
    </row>
    <row r="8" spans="1:4" ht="15.75" x14ac:dyDescent="0.25">
      <c r="A8" s="277" t="s">
        <v>822</v>
      </c>
      <c r="B8" s="277"/>
      <c r="C8" s="277"/>
      <c r="D8" s="277"/>
    </row>
    <row r="9" spans="1:4" ht="15.75" x14ac:dyDescent="0.25">
      <c r="A9" s="277"/>
      <c r="B9" s="277"/>
      <c r="C9" s="277"/>
      <c r="D9" s="277"/>
    </row>
    <row r="10" spans="1:4" ht="15.75" x14ac:dyDescent="0.25">
      <c r="A10" s="277"/>
      <c r="B10" s="277"/>
      <c r="C10" s="277"/>
      <c r="D10" s="277"/>
    </row>
    <row r="11" spans="1:4" ht="15.75" x14ac:dyDescent="0.25">
      <c r="A11" s="279" t="s">
        <v>823</v>
      </c>
      <c r="B11" s="277"/>
      <c r="C11" s="277"/>
      <c r="D11" s="277">
        <f>N(data!C380)</f>
        <v>14722423.169999998</v>
      </c>
    </row>
    <row r="12" spans="1:4" ht="15.75" x14ac:dyDescent="0.25">
      <c r="A12" s="279" t="s">
        <v>824</v>
      </c>
      <c r="B12" s="277"/>
      <c r="C12" s="277"/>
      <c r="D12" s="277" t="str">
        <f>IF(OR(N(data!C380) &gt; 1000000, N(data!C380) / (N(data!D360) + N(data!D383)) &gt; 0.01), "Yes", "No")</f>
        <v>Yes</v>
      </c>
    </row>
    <row r="13" spans="1:4" ht="15.75" x14ac:dyDescent="0.25">
      <c r="A13" s="277"/>
      <c r="B13" s="277"/>
      <c r="C13" s="277"/>
      <c r="D13" s="277"/>
    </row>
    <row r="14" spans="1:4" ht="15.75" x14ac:dyDescent="0.25">
      <c r="A14" s="279" t="s">
        <v>825</v>
      </c>
      <c r="B14" s="277"/>
      <c r="C14" s="277"/>
      <c r="D14" s="279" t="s">
        <v>826</v>
      </c>
    </row>
    <row r="15" spans="1:4" ht="15.75" x14ac:dyDescent="0.25">
      <c r="A15" s="277" t="s">
        <v>1363</v>
      </c>
      <c r="B15" s="277"/>
      <c r="C15" s="277"/>
      <c r="D15" s="277">
        <v>6475665</v>
      </c>
    </row>
    <row r="16" spans="1:4" ht="15.75" x14ac:dyDescent="0.25">
      <c r="A16" s="277" t="s">
        <v>1364</v>
      </c>
      <c r="B16" s="277"/>
      <c r="C16" s="277"/>
      <c r="D16" s="277">
        <v>3038000</v>
      </c>
    </row>
    <row r="17" spans="1:4" ht="15.75" x14ac:dyDescent="0.25">
      <c r="A17" s="277" t="s">
        <v>1365</v>
      </c>
      <c r="B17" s="277"/>
      <c r="C17" s="277"/>
      <c r="D17" s="277">
        <v>1777034</v>
      </c>
    </row>
    <row r="18" spans="1:4" ht="15.75" x14ac:dyDescent="0.25">
      <c r="A18" s="277" t="s">
        <v>1366</v>
      </c>
      <c r="B18" s="277"/>
      <c r="C18" s="277"/>
      <c r="D18" s="277">
        <v>228433</v>
      </c>
    </row>
    <row r="19" spans="1:4" ht="15.75" x14ac:dyDescent="0.25">
      <c r="A19" s="277" t="s">
        <v>1367</v>
      </c>
      <c r="B19" s="277"/>
      <c r="C19" s="277"/>
      <c r="D19" s="277">
        <v>1070890</v>
      </c>
    </row>
    <row r="20" spans="1:4" ht="15.75" x14ac:dyDescent="0.25">
      <c r="A20" s="277" t="s">
        <v>1368</v>
      </c>
      <c r="B20" s="277"/>
      <c r="C20" s="277"/>
      <c r="D20" s="277">
        <v>452947</v>
      </c>
    </row>
    <row r="21" spans="1:4" ht="15.75" x14ac:dyDescent="0.25">
      <c r="A21" s="277" t="s">
        <v>1369</v>
      </c>
      <c r="B21" s="277"/>
      <c r="C21" s="277"/>
      <c r="D21" s="277">
        <v>320960</v>
      </c>
    </row>
    <row r="22" spans="1:4" ht="15.75" x14ac:dyDescent="0.25">
      <c r="A22" s="277" t="s">
        <v>1370</v>
      </c>
      <c r="B22" s="277"/>
      <c r="C22" s="277"/>
      <c r="D22" s="277">
        <v>273606</v>
      </c>
    </row>
    <row r="23" spans="1:4" ht="15.75" x14ac:dyDescent="0.25">
      <c r="A23" s="277" t="s">
        <v>1371</v>
      </c>
      <c r="B23" s="277"/>
      <c r="C23" s="277"/>
      <c r="D23" s="277">
        <v>109466</v>
      </c>
    </row>
    <row r="24" spans="1:4" ht="15.75" x14ac:dyDescent="0.25">
      <c r="A24" s="277" t="s">
        <v>1372</v>
      </c>
      <c r="B24" s="277"/>
      <c r="C24" s="277"/>
      <c r="D24" s="277">
        <v>79687</v>
      </c>
    </row>
    <row r="25" spans="1:4" ht="15.75" x14ac:dyDescent="0.25">
      <c r="A25" s="277" t="s">
        <v>1373</v>
      </c>
      <c r="B25" s="277"/>
      <c r="C25" s="277"/>
      <c r="D25" s="277">
        <v>137467</v>
      </c>
    </row>
    <row r="26" spans="1:4" ht="15.75" x14ac:dyDescent="0.25">
      <c r="A26" s="277" t="s">
        <v>1374</v>
      </c>
      <c r="B26" s="277"/>
      <c r="C26" s="277"/>
      <c r="D26" s="277">
        <v>758268</v>
      </c>
    </row>
    <row r="27" spans="1:4" ht="15.75" x14ac:dyDescent="0.25">
      <c r="A27" s="277"/>
      <c r="B27" s="277"/>
      <c r="C27" s="277"/>
      <c r="D27" s="317">
        <v>14722423</v>
      </c>
    </row>
    <row r="28" spans="1:4" ht="15.75" x14ac:dyDescent="0.25">
      <c r="A28" s="277"/>
      <c r="B28" s="277"/>
      <c r="C28" s="277"/>
      <c r="D28" s="277"/>
    </row>
    <row r="29" spans="1:4" ht="15.75" x14ac:dyDescent="0.25">
      <c r="A29" s="279" t="s">
        <v>827</v>
      </c>
      <c r="B29" s="277"/>
      <c r="C29" s="277"/>
      <c r="D29" s="277">
        <f>N(data!C414)</f>
        <v>23216656.649999857</v>
      </c>
    </row>
    <row r="30" spans="1:4" ht="15.75" x14ac:dyDescent="0.25">
      <c r="A30" s="279" t="s">
        <v>824</v>
      </c>
      <c r="B30" s="277"/>
      <c r="C30" s="277"/>
      <c r="D30" s="277" t="str">
        <f>IF(OR(N(data!C414)&gt;1000000,N(data!C414)/(N(data!D416))&gt;0.01),"Yes","No")</f>
        <v>Yes</v>
      </c>
    </row>
    <row r="31" spans="1:4" ht="15.75" x14ac:dyDescent="0.25">
      <c r="A31" s="277"/>
      <c r="B31" s="277"/>
      <c r="C31" s="277"/>
      <c r="D31" s="277"/>
    </row>
    <row r="32" spans="1:4" ht="15.75" x14ac:dyDescent="0.25">
      <c r="A32" s="279" t="s">
        <v>825</v>
      </c>
      <c r="B32" s="277"/>
      <c r="C32" s="277"/>
      <c r="D32" s="279" t="s">
        <v>826</v>
      </c>
    </row>
    <row r="33" spans="1:4" ht="15.75" x14ac:dyDescent="0.25">
      <c r="A33" s="277" t="s">
        <v>1375</v>
      </c>
      <c r="B33" s="277"/>
      <c r="C33" s="277"/>
      <c r="D33" s="277">
        <v>2457565.23</v>
      </c>
    </row>
    <row r="34" spans="1:4" ht="15.75" x14ac:dyDescent="0.25">
      <c r="A34" s="277" t="s">
        <v>1376</v>
      </c>
      <c r="B34" s="277"/>
      <c r="C34" s="277"/>
      <c r="D34" s="277">
        <v>14053785.859999999</v>
      </c>
    </row>
    <row r="35" spans="1:4" ht="15.75" x14ac:dyDescent="0.25">
      <c r="A35" s="277" t="s">
        <v>1377</v>
      </c>
      <c r="B35" s="277"/>
      <c r="C35" s="277"/>
      <c r="D35" s="277">
        <v>694124.06</v>
      </c>
    </row>
    <row r="36" spans="1:4" ht="15.75" x14ac:dyDescent="0.25">
      <c r="A36" s="277" t="s">
        <v>1378</v>
      </c>
      <c r="B36" s="277"/>
      <c r="C36" s="277"/>
      <c r="D36" s="277">
        <v>1519631.6599999997</v>
      </c>
    </row>
    <row r="37" spans="1:4" ht="15.75" x14ac:dyDescent="0.25">
      <c r="A37" s="277" t="s">
        <v>1379</v>
      </c>
      <c r="B37" s="277"/>
      <c r="C37" s="277"/>
      <c r="D37" s="277">
        <v>2404260.7699999996</v>
      </c>
    </row>
    <row r="38" spans="1:4" ht="15.75" x14ac:dyDescent="0.25">
      <c r="A38" s="277" t="s">
        <v>1380</v>
      </c>
      <c r="B38" s="277"/>
      <c r="C38" s="277"/>
      <c r="D38" s="277">
        <v>504664.10999999993</v>
      </c>
    </row>
    <row r="39" spans="1:4" ht="15.75" x14ac:dyDescent="0.25">
      <c r="A39" s="277" t="s">
        <v>1381</v>
      </c>
      <c r="B39" s="277"/>
      <c r="C39" s="277"/>
      <c r="D39" s="277">
        <v>1873187.9000000011</v>
      </c>
    </row>
    <row r="40" spans="1:4" ht="15.75" x14ac:dyDescent="0.25">
      <c r="A40" s="277" t="s">
        <v>1382</v>
      </c>
      <c r="B40" s="277"/>
      <c r="C40" s="277"/>
      <c r="D40" s="277">
        <v>1082823.92</v>
      </c>
    </row>
    <row r="41" spans="1:4" ht="15.75" x14ac:dyDescent="0.25">
      <c r="A41" s="277" t="s">
        <v>1383</v>
      </c>
      <c r="B41" s="277"/>
      <c r="C41" s="277"/>
      <c r="D41" s="277">
        <v>-1373386.86</v>
      </c>
    </row>
    <row r="42" spans="1:4" ht="15.75" x14ac:dyDescent="0.25">
      <c r="A42" s="277"/>
      <c r="B42" s="277"/>
      <c r="C42" s="277"/>
      <c r="D42" s="317">
        <v>23216656.649999999</v>
      </c>
    </row>
  </sheetData>
  <sheetProtection algorithmName="SHA-512" hashValue="Ie1OmJMJlszc0IApr6S43p/3qogw0OZ/hw8AZJWKJEXZmjfo3e3vWVME3BWySultdYJ7F+/WZwMkqdd58nrSlQ==" saltValue="NRjkuiQHlFsS6bwqzAwiQ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828</v>
      </c>
    </row>
    <row r="2" spans="1:7" ht="20.100000000000001" customHeight="1" x14ac:dyDescent="0.25">
      <c r="A2" s="62" t="s">
        <v>829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06/30/2024</v>
      </c>
      <c r="C4" s="64"/>
      <c r="D4" s="65"/>
      <c r="E4" s="66"/>
      <c r="F4" s="64" t="str">
        <f>"License Number:  "&amp;"H-"&amp;FIXED(data!C97,0)</f>
        <v>License Number:  H-10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Virginia Mason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"&amp;data!C102</f>
        <v xml:space="preserve">  98111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830</v>
      </c>
      <c r="C7" s="67"/>
      <c r="D7" s="64" t="str">
        <f>"  "&amp;data!C103</f>
        <v xml:space="preserve">  King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831</v>
      </c>
      <c r="C8" s="67"/>
      <c r="D8" s="64" t="str">
        <f>"  "&amp;data!C104</f>
        <v xml:space="preserve">  Ketul Patel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832</v>
      </c>
      <c r="C9" s="67"/>
      <c r="D9" s="64" t="str">
        <f>"  "&amp;data!C105</f>
        <v xml:space="preserve">  David Nosacka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833</v>
      </c>
      <c r="C10" s="67"/>
      <c r="D10" s="64" t="str">
        <f>"  "&amp;data!C107</f>
        <v xml:space="preserve">  (206) 625-7371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834</v>
      </c>
      <c r="C11" s="67"/>
      <c r="D11" s="64" t="str">
        <f>"  "&amp;data!C108</f>
        <v xml:space="preserve">  (206) 625-7333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835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327</v>
      </c>
      <c r="B15" s="74"/>
      <c r="C15" s="75" t="s">
        <v>329</v>
      </c>
      <c r="D15" s="74"/>
      <c r="E15" s="75" t="s">
        <v>331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 xml:space="preserve"> X</v>
      </c>
      <c r="D16" s="80" t="s">
        <v>836</v>
      </c>
      <c r="E16" s="228" t="str">
        <f>IF(data!C120&gt;0," X","")</f>
        <v/>
      </c>
      <c r="F16" s="81" t="s">
        <v>332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412</v>
      </c>
      <c r="E17" s="228" t="str">
        <f>IF(data!C121&gt;0," X","")</f>
        <v/>
      </c>
      <c r="F17" s="81" t="s">
        <v>333</v>
      </c>
      <c r="G17" s="67"/>
    </row>
    <row r="18" spans="1:7" ht="20.100000000000001" customHeight="1" x14ac:dyDescent="0.25">
      <c r="A18" s="63"/>
      <c r="B18" s="67" t="s">
        <v>837</v>
      </c>
      <c r="C18" s="67"/>
      <c r="D18" s="67"/>
      <c r="E18" s="228" t="str">
        <f>IF(data!C122&gt;0," X","")</f>
        <v/>
      </c>
      <c r="F18" s="81" t="s">
        <v>334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838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839</v>
      </c>
      <c r="C22" s="64"/>
      <c r="D22" s="64"/>
      <c r="E22" s="64"/>
      <c r="F22" s="78" t="s">
        <v>337</v>
      </c>
      <c r="G22" s="79" t="s">
        <v>242</v>
      </c>
    </row>
    <row r="23" spans="1:7" ht="20.100000000000001" customHeight="1" x14ac:dyDescent="0.25">
      <c r="A23" s="63"/>
      <c r="B23" s="64" t="s">
        <v>840</v>
      </c>
      <c r="C23" s="64"/>
      <c r="D23" s="64"/>
      <c r="E23" s="64"/>
      <c r="F23" s="63">
        <f>data!C127</f>
        <v>12839</v>
      </c>
      <c r="G23" s="67">
        <f>data!D127</f>
        <v>63288</v>
      </c>
    </row>
    <row r="24" spans="1:7" ht="20.100000000000001" customHeight="1" x14ac:dyDescent="0.25">
      <c r="A24" s="63"/>
      <c r="B24" s="64" t="s">
        <v>841</v>
      </c>
      <c r="C24" s="64"/>
      <c r="D24" s="64"/>
      <c r="E24" s="64"/>
      <c r="F24" s="63">
        <f>data!C128</f>
        <v>29</v>
      </c>
      <c r="G24" s="67">
        <f>data!D128</f>
        <v>10617</v>
      </c>
    </row>
    <row r="25" spans="1:7" ht="20.100000000000001" customHeight="1" x14ac:dyDescent="0.25">
      <c r="A25" s="63"/>
      <c r="B25" s="64" t="s">
        <v>842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341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843</v>
      </c>
      <c r="C29" s="67"/>
      <c r="D29" s="79" t="s">
        <v>194</v>
      </c>
      <c r="E29" s="83" t="s">
        <v>843</v>
      </c>
      <c r="F29" s="67"/>
      <c r="G29" s="79" t="s">
        <v>194</v>
      </c>
    </row>
    <row r="30" spans="1:7" ht="20.100000000000001" customHeight="1" x14ac:dyDescent="0.25">
      <c r="A30" s="63"/>
      <c r="B30" s="64" t="s">
        <v>343</v>
      </c>
      <c r="C30" s="67"/>
      <c r="D30" s="67">
        <f>data!C132</f>
        <v>28</v>
      </c>
      <c r="E30" s="64" t="s">
        <v>349</v>
      </c>
      <c r="F30" s="67"/>
      <c r="G30" s="67">
        <f>data!C139</f>
        <v>35</v>
      </c>
    </row>
    <row r="31" spans="1:7" ht="20.100000000000001" customHeight="1" x14ac:dyDescent="0.25">
      <c r="A31" s="63"/>
      <c r="B31" s="83" t="s">
        <v>844</v>
      </c>
      <c r="C31" s="67"/>
      <c r="D31" s="67">
        <f>data!C133</f>
        <v>24</v>
      </c>
      <c r="E31" s="64" t="s">
        <v>350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845</v>
      </c>
      <c r="C32" s="67"/>
      <c r="D32" s="67">
        <f>data!C134</f>
        <v>162</v>
      </c>
      <c r="E32" s="64" t="s">
        <v>846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847</v>
      </c>
      <c r="C33" s="67"/>
      <c r="D33" s="67">
        <f>data!C135</f>
        <v>0</v>
      </c>
      <c r="E33" s="64" t="s">
        <v>848</v>
      </c>
      <c r="F33" s="67"/>
      <c r="G33" s="67">
        <f>data!C142</f>
        <v>5</v>
      </c>
    </row>
    <row r="34" spans="1:7" ht="20.100000000000001" customHeight="1" x14ac:dyDescent="0.25">
      <c r="A34" s="63"/>
      <c r="B34" s="83" t="s">
        <v>849</v>
      </c>
      <c r="C34" s="67"/>
      <c r="D34" s="67">
        <f>data!C136</f>
        <v>10</v>
      </c>
      <c r="E34" s="64" t="s">
        <v>352</v>
      </c>
      <c r="F34" s="67"/>
      <c r="G34" s="67">
        <f>data!E143</f>
        <v>282</v>
      </c>
    </row>
    <row r="35" spans="1:7" ht="20.100000000000001" customHeight="1" x14ac:dyDescent="0.25">
      <c r="A35" s="63"/>
      <c r="B35" s="83" t="s">
        <v>850</v>
      </c>
      <c r="C35" s="67"/>
      <c r="D35" s="67">
        <f>data!C137</f>
        <v>18</v>
      </c>
      <c r="E35" s="64" t="s">
        <v>851</v>
      </c>
      <c r="F35" s="84"/>
      <c r="G35" s="67"/>
    </row>
    <row r="36" spans="1:7" ht="20.100000000000001" customHeight="1" x14ac:dyDescent="0.25">
      <c r="A36" s="63"/>
      <c r="B36" s="64" t="s">
        <v>123</v>
      </c>
      <c r="C36" s="67"/>
      <c r="D36" s="67">
        <f>data!C138</f>
        <v>0</v>
      </c>
      <c r="E36" s="64" t="s">
        <v>353</v>
      </c>
      <c r="F36" s="67"/>
      <c r="G36" s="67">
        <f>data!C144</f>
        <v>371</v>
      </c>
    </row>
    <row r="37" spans="1:7" ht="20.100000000000001" customHeight="1" x14ac:dyDescent="0.25">
      <c r="A37" s="63"/>
      <c r="E37" s="64" t="s">
        <v>354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349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852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853</v>
      </c>
      <c r="G1" s="61" t="s">
        <v>854</v>
      </c>
    </row>
    <row r="2" spans="1:7" ht="20.100000000000001" customHeight="1" x14ac:dyDescent="0.25">
      <c r="A2" s="1" t="str">
        <f>"Hospital: "&amp;data!C98</f>
        <v>Hospital: Virginia Mason Medical Center</v>
      </c>
      <c r="G2" s="4" t="s">
        <v>855</v>
      </c>
    </row>
    <row r="3" spans="1:7" ht="20.100000000000001" customHeight="1" x14ac:dyDescent="0.25">
      <c r="G3" s="4" t="str">
        <f>"FYE: "&amp;data!C96</f>
        <v>FYE: 06/30/2024</v>
      </c>
    </row>
    <row r="4" spans="1:7" ht="20.100000000000001" customHeight="1" x14ac:dyDescent="0.25">
      <c r="A4" s="121" t="s">
        <v>856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857</v>
      </c>
      <c r="C5" s="74"/>
      <c r="D5" s="74"/>
      <c r="E5" s="125" t="s">
        <v>364</v>
      </c>
      <c r="F5" s="74"/>
      <c r="G5" s="74"/>
    </row>
    <row r="6" spans="1:7" ht="20.100000000000001" customHeight="1" x14ac:dyDescent="0.25">
      <c r="A6" s="126" t="s">
        <v>858</v>
      </c>
      <c r="B6" s="79" t="s">
        <v>337</v>
      </c>
      <c r="C6" s="79" t="s">
        <v>859</v>
      </c>
      <c r="D6" s="79" t="s">
        <v>360</v>
      </c>
      <c r="E6" s="79" t="s">
        <v>195</v>
      </c>
      <c r="F6" s="79" t="s">
        <v>158</v>
      </c>
      <c r="G6" s="79" t="s">
        <v>230</v>
      </c>
    </row>
    <row r="7" spans="1:7" ht="20.100000000000001" customHeight="1" x14ac:dyDescent="0.25">
      <c r="A7" s="63" t="s">
        <v>358</v>
      </c>
      <c r="B7" s="127">
        <f>data!B154</f>
        <v>7164</v>
      </c>
      <c r="C7" s="127">
        <f>data!B155</f>
        <v>38493</v>
      </c>
      <c r="D7" s="127">
        <f>data!B156</f>
        <v>0</v>
      </c>
      <c r="E7" s="127">
        <f>data!B157</f>
        <v>513668391.76999998</v>
      </c>
      <c r="F7" s="127">
        <f>data!B158</f>
        <v>869354796</v>
      </c>
      <c r="G7" s="127">
        <f>data!B157+data!B158</f>
        <v>1383023187.77</v>
      </c>
    </row>
    <row r="8" spans="1:7" ht="20.100000000000001" customHeight="1" x14ac:dyDescent="0.25">
      <c r="A8" s="63" t="s">
        <v>359</v>
      </c>
      <c r="B8" s="127">
        <f>data!C154</f>
        <v>1396</v>
      </c>
      <c r="C8" s="127">
        <f>data!C155</f>
        <v>7822</v>
      </c>
      <c r="D8" s="127">
        <f>data!C156</f>
        <v>0</v>
      </c>
      <c r="E8" s="127">
        <f>data!C157</f>
        <v>133048259.41</v>
      </c>
      <c r="F8" s="127">
        <f>data!C158</f>
        <v>133082001.52</v>
      </c>
      <c r="G8" s="127">
        <f>data!C157+data!C158</f>
        <v>266130260.93000001</v>
      </c>
    </row>
    <row r="9" spans="1:7" ht="20.100000000000001" customHeight="1" x14ac:dyDescent="0.25">
      <c r="A9" s="63" t="s">
        <v>860</v>
      </c>
      <c r="B9" s="127">
        <f>data!D154</f>
        <v>4279</v>
      </c>
      <c r="C9" s="127">
        <f>data!D155</f>
        <v>16973</v>
      </c>
      <c r="D9" s="127">
        <f>data!D156</f>
        <v>0</v>
      </c>
      <c r="E9" s="127">
        <f>data!D157</f>
        <v>497348397.11000001</v>
      </c>
      <c r="F9" s="127">
        <f>data!D158</f>
        <v>1421404027.1399999</v>
      </c>
      <c r="G9" s="127">
        <f>data!D157+data!D158</f>
        <v>1918752424.25</v>
      </c>
    </row>
    <row r="10" spans="1:7" ht="20.100000000000001" customHeight="1" x14ac:dyDescent="0.25">
      <c r="A10" s="78" t="s">
        <v>230</v>
      </c>
      <c r="B10" s="127">
        <f>data!E154</f>
        <v>12839</v>
      </c>
      <c r="C10" s="127">
        <f>data!E155</f>
        <v>63288</v>
      </c>
      <c r="D10" s="127">
        <f>data!E156</f>
        <v>0</v>
      </c>
      <c r="E10" s="127">
        <f>data!E157</f>
        <v>1144065048.29</v>
      </c>
      <c r="F10" s="127">
        <f>data!E158</f>
        <v>2423840824.6599998</v>
      </c>
      <c r="G10" s="127">
        <f>E10+F10</f>
        <v>3567905872.9499998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861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857</v>
      </c>
      <c r="C14" s="133"/>
      <c r="D14" s="133"/>
      <c r="E14" s="133" t="s">
        <v>364</v>
      </c>
      <c r="F14" s="133"/>
      <c r="G14" s="133"/>
    </row>
    <row r="15" spans="1:7" ht="20.100000000000001" customHeight="1" x14ac:dyDescent="0.25">
      <c r="A15" s="126" t="s">
        <v>858</v>
      </c>
      <c r="B15" s="79" t="s">
        <v>337</v>
      </c>
      <c r="C15" s="79" t="s">
        <v>859</v>
      </c>
      <c r="D15" s="79" t="s">
        <v>360</v>
      </c>
      <c r="E15" s="79" t="s">
        <v>195</v>
      </c>
      <c r="F15" s="79" t="s">
        <v>158</v>
      </c>
      <c r="G15" s="79" t="s">
        <v>230</v>
      </c>
    </row>
    <row r="16" spans="1:7" ht="20.100000000000001" customHeight="1" x14ac:dyDescent="0.25">
      <c r="A16" s="63" t="s">
        <v>358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data!C163+data!C164</f>
        <v>11928834.23</v>
      </c>
    </row>
    <row r="17" spans="1:7" ht="20.100000000000001" customHeight="1" x14ac:dyDescent="0.25">
      <c r="A17" s="63" t="s">
        <v>359</v>
      </c>
      <c r="B17" s="127">
        <f>data!C160</f>
        <v>29</v>
      </c>
      <c r="C17" s="127">
        <f>data!C161</f>
        <v>10617</v>
      </c>
      <c r="D17" s="127">
        <f>data!C162</f>
        <v>0</v>
      </c>
      <c r="E17" s="127">
        <f>data!C163</f>
        <v>11928834.23</v>
      </c>
      <c r="F17" s="127">
        <f>data!C164</f>
        <v>0</v>
      </c>
      <c r="G17" s="127">
        <f>data!C163+data!C164</f>
        <v>11928834.23</v>
      </c>
    </row>
    <row r="18" spans="1:7" ht="20.100000000000001" customHeight="1" x14ac:dyDescent="0.25">
      <c r="A18" s="63" t="s">
        <v>860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107974.56</v>
      </c>
      <c r="F18" s="127">
        <f>data!D164</f>
        <v>0</v>
      </c>
      <c r="G18" s="127">
        <f>data!D163+data!D164</f>
        <v>107974.56</v>
      </c>
    </row>
    <row r="19" spans="1:7" ht="20.100000000000001" customHeight="1" x14ac:dyDescent="0.25">
      <c r="A19" s="78" t="s">
        <v>230</v>
      </c>
      <c r="B19" s="127">
        <f>data!E160</f>
        <v>29</v>
      </c>
      <c r="C19" s="127">
        <f>data!E161</f>
        <v>10617</v>
      </c>
      <c r="D19" s="127">
        <f>data!E162</f>
        <v>0</v>
      </c>
      <c r="E19" s="127">
        <f>data!E163</f>
        <v>12036808.790000001</v>
      </c>
      <c r="F19" s="127">
        <f>data!E164</f>
        <v>0</v>
      </c>
      <c r="G19" s="127">
        <f>data!E163+data!E164</f>
        <v>12036808.790000001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862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857</v>
      </c>
      <c r="C23" s="74"/>
      <c r="D23" s="74"/>
      <c r="E23" s="74" t="s">
        <v>364</v>
      </c>
      <c r="F23" s="74"/>
      <c r="G23" s="74"/>
    </row>
    <row r="24" spans="1:7" ht="20.100000000000001" customHeight="1" x14ac:dyDescent="0.25">
      <c r="A24" s="126" t="s">
        <v>858</v>
      </c>
      <c r="B24" s="79" t="s">
        <v>337</v>
      </c>
      <c r="C24" s="79" t="s">
        <v>859</v>
      </c>
      <c r="D24" s="79" t="s">
        <v>360</v>
      </c>
      <c r="E24" s="79" t="s">
        <v>195</v>
      </c>
      <c r="F24" s="79" t="s">
        <v>158</v>
      </c>
      <c r="G24" s="79" t="s">
        <v>230</v>
      </c>
    </row>
    <row r="25" spans="1:7" ht="20.100000000000001" customHeight="1" x14ac:dyDescent="0.25">
      <c r="A25" s="63" t="s">
        <v>358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359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860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863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864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865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367</v>
      </c>
      <c r="B1" s="62"/>
      <c r="C1" s="61" t="s">
        <v>866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Virginia Mason Medical Center</v>
      </c>
      <c r="B3" s="69"/>
      <c r="C3" s="142" t="str">
        <f>"FYE: "&amp;data!C96</f>
        <v>FYE: 06/30/2024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368</v>
      </c>
      <c r="C5" s="123"/>
    </row>
    <row r="6" spans="1:3" ht="20.100000000000001" customHeight="1" x14ac:dyDescent="0.25">
      <c r="A6" s="143">
        <v>2</v>
      </c>
      <c r="B6" s="64" t="s">
        <v>867</v>
      </c>
      <c r="C6" s="63">
        <f>data!C181</f>
        <v>38893319.140000001</v>
      </c>
    </row>
    <row r="7" spans="1:3" ht="20.100000000000001" customHeight="1" x14ac:dyDescent="0.25">
      <c r="A7" s="144">
        <v>3</v>
      </c>
      <c r="B7" s="83" t="s">
        <v>370</v>
      </c>
      <c r="C7" s="63">
        <f>data!C182</f>
        <v>974393.97</v>
      </c>
    </row>
    <row r="8" spans="1:3" ht="20.100000000000001" customHeight="1" x14ac:dyDescent="0.25">
      <c r="A8" s="144">
        <v>4</v>
      </c>
      <c r="B8" s="64" t="s">
        <v>371</v>
      </c>
      <c r="C8" s="63">
        <f>data!C183</f>
        <v>1396699.9</v>
      </c>
    </row>
    <row r="9" spans="1:3" ht="20.100000000000001" customHeight="1" x14ac:dyDescent="0.25">
      <c r="A9" s="144">
        <v>5</v>
      </c>
      <c r="B9" s="64" t="s">
        <v>372</v>
      </c>
      <c r="C9" s="63">
        <f>data!C184</f>
        <v>22101218</v>
      </c>
    </row>
    <row r="10" spans="1:3" ht="20.100000000000001" customHeight="1" x14ac:dyDescent="0.25">
      <c r="A10" s="144">
        <v>6</v>
      </c>
      <c r="B10" s="64" t="s">
        <v>373</v>
      </c>
      <c r="C10" s="63">
        <f>data!C185</f>
        <v>640133.89</v>
      </c>
    </row>
    <row r="11" spans="1:3" ht="20.100000000000001" customHeight="1" x14ac:dyDescent="0.25">
      <c r="A11" s="144">
        <v>7</v>
      </c>
      <c r="B11" s="64" t="s">
        <v>374</v>
      </c>
      <c r="C11" s="63">
        <f>data!C186</f>
        <v>18377032.25</v>
      </c>
    </row>
    <row r="12" spans="1:3" ht="20.100000000000001" customHeight="1" x14ac:dyDescent="0.25">
      <c r="A12" s="144">
        <v>8</v>
      </c>
      <c r="B12" s="64" t="s">
        <v>375</v>
      </c>
      <c r="C12" s="63">
        <f>data!C187</f>
        <v>0</v>
      </c>
    </row>
    <row r="13" spans="1:3" ht="20.100000000000001" customHeight="1" x14ac:dyDescent="0.25">
      <c r="A13" s="144">
        <v>9</v>
      </c>
      <c r="B13" s="64" t="s">
        <v>375</v>
      </c>
      <c r="C13" s="63">
        <f>data!C188</f>
        <v>794307.44999998808</v>
      </c>
    </row>
    <row r="14" spans="1:3" ht="20.100000000000001" customHeight="1" x14ac:dyDescent="0.25">
      <c r="A14" s="144">
        <v>10</v>
      </c>
      <c r="B14" s="64" t="s">
        <v>868</v>
      </c>
      <c r="C14" s="63">
        <f>data!D189</f>
        <v>83177104.599999994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376</v>
      </c>
      <c r="C17" s="77"/>
    </row>
    <row r="18" spans="1:3" ht="20.100000000000001" customHeight="1" x14ac:dyDescent="0.25">
      <c r="A18" s="63">
        <v>12</v>
      </c>
      <c r="B18" s="64" t="s">
        <v>869</v>
      </c>
      <c r="C18" s="63">
        <f>data!C191</f>
        <v>13597573.58</v>
      </c>
    </row>
    <row r="19" spans="1:3" ht="20.100000000000001" customHeight="1" x14ac:dyDescent="0.25">
      <c r="A19" s="63">
        <v>13</v>
      </c>
      <c r="B19" s="64" t="s">
        <v>870</v>
      </c>
      <c r="C19" s="63">
        <f>data!C192</f>
        <v>4940180.3400000017</v>
      </c>
    </row>
    <row r="20" spans="1:3" ht="20.100000000000001" customHeight="1" x14ac:dyDescent="0.25">
      <c r="A20" s="63">
        <v>14</v>
      </c>
      <c r="B20" s="64" t="s">
        <v>871</v>
      </c>
      <c r="C20" s="63">
        <f>data!D193</f>
        <v>18537753.920000002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379</v>
      </c>
      <c r="C23" s="123"/>
    </row>
    <row r="24" spans="1:3" ht="20.100000000000001" customHeight="1" x14ac:dyDescent="0.25">
      <c r="A24" s="63">
        <v>16</v>
      </c>
      <c r="B24" s="75" t="s">
        <v>872</v>
      </c>
      <c r="C24" s="148"/>
    </row>
    <row r="25" spans="1:3" ht="20.100000000000001" customHeight="1" x14ac:dyDescent="0.25">
      <c r="A25" s="63">
        <v>17</v>
      </c>
      <c r="B25" s="64" t="s">
        <v>873</v>
      </c>
      <c r="C25" s="63">
        <f>data!C195</f>
        <v>7792386.7999999998</v>
      </c>
    </row>
    <row r="26" spans="1:3" ht="20.100000000000001" customHeight="1" x14ac:dyDescent="0.25">
      <c r="A26" s="63">
        <v>18</v>
      </c>
      <c r="B26" s="64" t="s">
        <v>381</v>
      </c>
      <c r="C26" s="63">
        <f>data!C196</f>
        <v>262818.12999999989</v>
      </c>
    </row>
    <row r="27" spans="1:3" ht="20.100000000000001" customHeight="1" x14ac:dyDescent="0.25">
      <c r="A27" s="63">
        <v>19</v>
      </c>
      <c r="B27" s="64" t="s">
        <v>874</v>
      </c>
      <c r="C27" s="63">
        <f>data!D197</f>
        <v>8055204.9299999997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875</v>
      </c>
      <c r="C30" s="133"/>
    </row>
    <row r="31" spans="1:3" ht="20.100000000000001" customHeight="1" x14ac:dyDescent="0.25">
      <c r="A31" s="63">
        <v>21</v>
      </c>
      <c r="B31" s="64" t="s">
        <v>383</v>
      </c>
      <c r="C31" s="63">
        <f>data!C199</f>
        <v>2404260.77</v>
      </c>
    </row>
    <row r="32" spans="1:3" ht="20.100000000000001" customHeight="1" x14ac:dyDescent="0.25">
      <c r="A32" s="63">
        <v>22</v>
      </c>
      <c r="B32" s="64" t="s">
        <v>876</v>
      </c>
      <c r="C32" s="63">
        <f>data!C200</f>
        <v>0</v>
      </c>
    </row>
    <row r="33" spans="1:3" ht="20.100000000000001" customHeight="1" x14ac:dyDescent="0.25">
      <c r="A33" s="63">
        <v>23</v>
      </c>
      <c r="B33" s="64" t="s">
        <v>159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877</v>
      </c>
      <c r="C34" s="63">
        <f>data!D202</f>
        <v>2404260.77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385</v>
      </c>
      <c r="C37" s="123"/>
    </row>
    <row r="38" spans="1:3" ht="20.100000000000001" customHeight="1" x14ac:dyDescent="0.25">
      <c r="A38" s="63">
        <v>26</v>
      </c>
      <c r="B38" s="64" t="s">
        <v>878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387</v>
      </c>
      <c r="C39" s="63">
        <f>data!C205</f>
        <v>13577874.4</v>
      </c>
    </row>
    <row r="40" spans="1:3" ht="20.100000000000001" customHeight="1" x14ac:dyDescent="0.25">
      <c r="A40" s="63">
        <v>28</v>
      </c>
      <c r="B40" s="64" t="s">
        <v>879</v>
      </c>
      <c r="C40" s="63">
        <f>data!D206</f>
        <v>13577874.4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388</v>
      </c>
      <c r="B1" s="62"/>
      <c r="C1" s="62"/>
      <c r="D1" s="62"/>
      <c r="E1" s="62"/>
      <c r="F1" s="61" t="s">
        <v>880</v>
      </c>
    </row>
    <row r="3" spans="1:6" ht="20.100000000000001" customHeight="1" x14ac:dyDescent="0.25">
      <c r="A3" s="120" t="str">
        <f>"Hospital: "&amp;data!C98</f>
        <v>Hospital: Virginia Mason Medical Center</v>
      </c>
      <c r="F3" s="142" t="str">
        <f>"FYE: "&amp;data!C96</f>
        <v>FYE: 06/30/2024</v>
      </c>
    </row>
    <row r="4" spans="1:6" ht="20.100000000000001" customHeight="1" x14ac:dyDescent="0.25">
      <c r="A4" s="148" t="s">
        <v>389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881</v>
      </c>
      <c r="D5" s="151"/>
      <c r="E5" s="151"/>
      <c r="F5" s="151" t="s">
        <v>882</v>
      </c>
    </row>
    <row r="6" spans="1:6" ht="20.100000000000001" customHeight="1" x14ac:dyDescent="0.25">
      <c r="A6" s="152"/>
      <c r="B6" s="70"/>
      <c r="C6" s="153" t="s">
        <v>883</v>
      </c>
      <c r="D6" s="153" t="s">
        <v>391</v>
      </c>
      <c r="E6" s="153" t="s">
        <v>884</v>
      </c>
      <c r="F6" s="153" t="s">
        <v>883</v>
      </c>
    </row>
    <row r="7" spans="1:6" ht="20.100000000000001" customHeight="1" x14ac:dyDescent="0.25">
      <c r="A7" s="63">
        <v>1</v>
      </c>
      <c r="B7" s="67" t="s">
        <v>394</v>
      </c>
      <c r="C7" s="67">
        <f>data!B211</f>
        <v>115413740.85000001</v>
      </c>
      <c r="D7" s="67">
        <f>data!C211</f>
        <v>0</v>
      </c>
      <c r="E7" s="67">
        <f>data!D211</f>
        <v>0</v>
      </c>
      <c r="F7" s="67">
        <f>data!E211</f>
        <v>115413740.85000001</v>
      </c>
    </row>
    <row r="8" spans="1:6" ht="20.100000000000001" customHeight="1" x14ac:dyDescent="0.25">
      <c r="A8" s="63">
        <v>2</v>
      </c>
      <c r="B8" s="67" t="s">
        <v>395</v>
      </c>
      <c r="C8" s="67">
        <f>data!B212</f>
        <v>299662.08000000002</v>
      </c>
      <c r="D8" s="67">
        <f>data!C212</f>
        <v>0</v>
      </c>
      <c r="E8" s="67">
        <f>data!D212</f>
        <v>0</v>
      </c>
      <c r="F8" s="67">
        <f>data!E212</f>
        <v>299662.08000000002</v>
      </c>
    </row>
    <row r="9" spans="1:6" ht="20.100000000000001" customHeight="1" x14ac:dyDescent="0.25">
      <c r="A9" s="63">
        <v>3</v>
      </c>
      <c r="B9" s="67" t="s">
        <v>396</v>
      </c>
      <c r="C9" s="67">
        <f>data!B213</f>
        <v>326899254.49000001</v>
      </c>
      <c r="D9" s="67">
        <f>data!C213</f>
        <v>9629777.5500000007</v>
      </c>
      <c r="E9" s="67">
        <f>data!D213</f>
        <v>0</v>
      </c>
      <c r="F9" s="67">
        <f>data!E213</f>
        <v>336529032.04000002</v>
      </c>
    </row>
    <row r="10" spans="1:6" ht="20.100000000000001" customHeight="1" x14ac:dyDescent="0.25">
      <c r="A10" s="63">
        <v>4</v>
      </c>
      <c r="B10" s="67" t="s">
        <v>885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886</v>
      </c>
      <c r="C11" s="67">
        <f>data!B215</f>
        <v>3732328.6100000003</v>
      </c>
      <c r="D11" s="67">
        <f>data!C215</f>
        <v>298440.94</v>
      </c>
      <c r="E11" s="67">
        <f>data!D215</f>
        <v>0</v>
      </c>
      <c r="F11" s="67">
        <f>data!E215</f>
        <v>4030769.5500000003</v>
      </c>
    </row>
    <row r="12" spans="1:6" ht="20.100000000000001" customHeight="1" x14ac:dyDescent="0.25">
      <c r="A12" s="63">
        <v>6</v>
      </c>
      <c r="B12" s="67" t="s">
        <v>887</v>
      </c>
      <c r="C12" s="67">
        <f>data!B216</f>
        <v>102092681.52</v>
      </c>
      <c r="D12" s="67">
        <f>data!C216</f>
        <v>16814196.59</v>
      </c>
      <c r="E12" s="67">
        <f>data!D216</f>
        <v>0</v>
      </c>
      <c r="F12" s="67">
        <f>data!E216</f>
        <v>118906878.11</v>
      </c>
    </row>
    <row r="13" spans="1:6" ht="20.100000000000001" customHeight="1" x14ac:dyDescent="0.25">
      <c r="A13" s="63">
        <v>7</v>
      </c>
      <c r="B13" s="67" t="s">
        <v>888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401</v>
      </c>
      <c r="C14" s="67">
        <f>data!B218</f>
        <v>28107330.07</v>
      </c>
      <c r="D14" s="67">
        <f>data!C218</f>
        <v>182422.11</v>
      </c>
      <c r="E14" s="67">
        <f>data!D218</f>
        <v>0</v>
      </c>
      <c r="F14" s="67">
        <f>data!E218</f>
        <v>28289752.18</v>
      </c>
    </row>
    <row r="15" spans="1:6" ht="20.100000000000001" customHeight="1" x14ac:dyDescent="0.25">
      <c r="A15" s="63">
        <v>9</v>
      </c>
      <c r="B15" s="67" t="s">
        <v>889</v>
      </c>
      <c r="C15" s="67">
        <f>data!B219</f>
        <v>23146682.990000002</v>
      </c>
      <c r="D15" s="67">
        <f>data!C219</f>
        <v>-12134538.930000002</v>
      </c>
      <c r="E15" s="67">
        <f>data!D219</f>
        <v>0</v>
      </c>
      <c r="F15" s="67">
        <f>data!E219</f>
        <v>11012144.060000001</v>
      </c>
    </row>
    <row r="16" spans="1:6" ht="20.100000000000001" customHeight="1" x14ac:dyDescent="0.25">
      <c r="A16" s="63">
        <v>10</v>
      </c>
      <c r="B16" s="67" t="s">
        <v>615</v>
      </c>
      <c r="C16" s="67">
        <f>data!B220</f>
        <v>599691680.61000013</v>
      </c>
      <c r="D16" s="67">
        <f>data!C220</f>
        <v>14790298.259999996</v>
      </c>
      <c r="E16" s="67">
        <f>data!D220</f>
        <v>0</v>
      </c>
      <c r="F16" s="67">
        <f>data!E220</f>
        <v>614481978.86999989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403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881</v>
      </c>
      <c r="D21" s="4" t="s">
        <v>230</v>
      </c>
      <c r="E21" s="153"/>
      <c r="F21" s="153" t="s">
        <v>882</v>
      </c>
    </row>
    <row r="22" spans="1:6" ht="20.100000000000001" customHeight="1" x14ac:dyDescent="0.25">
      <c r="A22" s="154"/>
      <c r="B22" s="146"/>
      <c r="C22" s="153" t="s">
        <v>883</v>
      </c>
      <c r="D22" s="153" t="s">
        <v>890</v>
      </c>
      <c r="E22" s="153" t="s">
        <v>884</v>
      </c>
      <c r="F22" s="153" t="s">
        <v>883</v>
      </c>
    </row>
    <row r="23" spans="1:6" ht="20.100000000000001" customHeight="1" x14ac:dyDescent="0.25">
      <c r="A23" s="63">
        <v>11</v>
      </c>
      <c r="B23" s="155" t="s">
        <v>394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395</v>
      </c>
      <c r="C24" s="67">
        <f>data!B225</f>
        <v>42398.84</v>
      </c>
      <c r="D24" s="67">
        <f>data!C225</f>
        <v>16959.53</v>
      </c>
      <c r="E24" s="67">
        <f>data!D225</f>
        <v>0</v>
      </c>
      <c r="F24" s="67">
        <f>data!E225</f>
        <v>59358.369999999995</v>
      </c>
    </row>
    <row r="25" spans="1:6" ht="20.100000000000001" customHeight="1" x14ac:dyDescent="0.25">
      <c r="A25" s="63">
        <v>13</v>
      </c>
      <c r="B25" s="67" t="s">
        <v>396</v>
      </c>
      <c r="C25" s="67">
        <f>data!B226</f>
        <v>36071628.390000001</v>
      </c>
      <c r="D25" s="67">
        <f>data!C226</f>
        <v>15687420.65</v>
      </c>
      <c r="E25" s="67">
        <f>data!D226</f>
        <v>0</v>
      </c>
      <c r="F25" s="67">
        <f>data!E226</f>
        <v>51759049.039999999</v>
      </c>
    </row>
    <row r="26" spans="1:6" ht="20.100000000000001" customHeight="1" x14ac:dyDescent="0.25">
      <c r="A26" s="63">
        <v>14</v>
      </c>
      <c r="B26" s="67" t="s">
        <v>885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886</v>
      </c>
      <c r="C27" s="67">
        <f>data!B228</f>
        <v>1294798.48</v>
      </c>
      <c r="D27" s="67">
        <f>data!C228</f>
        <v>482785.77</v>
      </c>
      <c r="E27" s="67">
        <f>data!D228</f>
        <v>0</v>
      </c>
      <c r="F27" s="67">
        <f>data!E228</f>
        <v>1777584.25</v>
      </c>
    </row>
    <row r="28" spans="1:6" ht="20.100000000000001" customHeight="1" x14ac:dyDescent="0.25">
      <c r="A28" s="63">
        <v>16</v>
      </c>
      <c r="B28" s="67" t="s">
        <v>887</v>
      </c>
      <c r="C28" s="67">
        <f>data!B229</f>
        <v>50364916.629999995</v>
      </c>
      <c r="D28" s="67">
        <f>data!C229</f>
        <v>14158857.27</v>
      </c>
      <c r="E28" s="67">
        <f>data!D229</f>
        <v>0</v>
      </c>
      <c r="F28" s="67">
        <f>data!E229</f>
        <v>64523773.899999991</v>
      </c>
    </row>
    <row r="29" spans="1:6" ht="20.100000000000001" customHeight="1" x14ac:dyDescent="0.25">
      <c r="A29" s="63">
        <v>17</v>
      </c>
      <c r="B29" s="67" t="s">
        <v>888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401</v>
      </c>
      <c r="C30" s="67">
        <f>data!B231</f>
        <v>5974691.7599999998</v>
      </c>
      <c r="D30" s="67">
        <f>data!C231</f>
        <v>1806279.07</v>
      </c>
      <c r="E30" s="67">
        <f>data!D231</f>
        <v>0</v>
      </c>
      <c r="F30" s="67">
        <f>data!E231</f>
        <v>7780970.8300000001</v>
      </c>
    </row>
    <row r="31" spans="1:6" ht="20.100000000000001" customHeight="1" x14ac:dyDescent="0.25">
      <c r="A31" s="63">
        <v>19</v>
      </c>
      <c r="B31" s="67" t="s">
        <v>889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615</v>
      </c>
      <c r="C32" s="67">
        <f>data!B233</f>
        <v>93748434.100000009</v>
      </c>
      <c r="D32" s="67">
        <f>data!C233</f>
        <v>32152302.289999999</v>
      </c>
      <c r="E32" s="67">
        <f>data!D233</f>
        <v>0</v>
      </c>
      <c r="F32" s="67">
        <f>data!E233</f>
        <v>125900736.38999999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891</v>
      </c>
      <c r="B1" s="62"/>
      <c r="C1" s="62"/>
      <c r="D1" s="61" t="s">
        <v>892</v>
      </c>
    </row>
    <row r="2" spans="1:4" ht="20.100000000000001" customHeight="1" x14ac:dyDescent="0.25">
      <c r="A2" s="120" t="str">
        <f>"Hospital: "&amp;data!C98</f>
        <v>Hospital: Virginia Mason Medical Center</v>
      </c>
      <c r="B2" s="69"/>
      <c r="C2" s="69"/>
      <c r="D2" s="142" t="str">
        <f>"FYE: "&amp;data!C96</f>
        <v>FYE: 06/30/2024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893</v>
      </c>
      <c r="C4" s="156" t="s">
        <v>894</v>
      </c>
      <c r="D4" s="157"/>
    </row>
    <row r="5" spans="1:4" ht="20.100000000000001" customHeight="1" x14ac:dyDescent="0.25">
      <c r="A5" s="124">
        <v>1</v>
      </c>
      <c r="B5" s="158"/>
      <c r="C5" s="80" t="s">
        <v>405</v>
      </c>
      <c r="D5" s="67">
        <f>data!D237</f>
        <v>22963864.82</v>
      </c>
    </row>
    <row r="6" spans="1:4" ht="20.100000000000001" customHeight="1" x14ac:dyDescent="0.25">
      <c r="A6" s="63">
        <v>2</v>
      </c>
      <c r="B6" s="69"/>
      <c r="C6" s="142" t="s">
        <v>501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358</v>
      </c>
      <c r="D7" s="67">
        <f>data!C239</f>
        <v>916700230.26999998</v>
      </c>
    </row>
    <row r="8" spans="1:4" ht="20.100000000000001" customHeight="1" x14ac:dyDescent="0.25">
      <c r="A8" s="63">
        <v>4</v>
      </c>
      <c r="B8" s="158">
        <v>5820</v>
      </c>
      <c r="C8" s="67" t="s">
        <v>359</v>
      </c>
      <c r="D8" s="67">
        <f>data!C240</f>
        <v>209162392.50999999</v>
      </c>
    </row>
    <row r="9" spans="1:4" ht="20.100000000000001" customHeight="1" x14ac:dyDescent="0.25">
      <c r="A9" s="63">
        <v>5</v>
      </c>
      <c r="B9" s="158">
        <v>5830</v>
      </c>
      <c r="C9" s="67" t="s">
        <v>371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410</v>
      </c>
      <c r="D10" s="67">
        <f>data!C242</f>
        <v>25535458.68</v>
      </c>
    </row>
    <row r="11" spans="1:4" ht="20.100000000000001" customHeight="1" x14ac:dyDescent="0.25">
      <c r="A11" s="63">
        <v>7</v>
      </c>
      <c r="B11" s="158">
        <v>5850</v>
      </c>
      <c r="C11" s="67" t="s">
        <v>895</v>
      </c>
      <c r="D11" s="67">
        <f>data!C243</f>
        <v>1142810955.53</v>
      </c>
    </row>
    <row r="12" spans="1:4" ht="20.100000000000001" customHeight="1" x14ac:dyDescent="0.25">
      <c r="A12" s="63">
        <v>8</v>
      </c>
      <c r="B12" s="158">
        <v>5860</v>
      </c>
      <c r="C12" s="67" t="s">
        <v>159</v>
      </c>
      <c r="D12" s="67">
        <f>data!C244</f>
        <v>0</v>
      </c>
    </row>
    <row r="13" spans="1:4" ht="20.100000000000001" customHeight="1" x14ac:dyDescent="0.25">
      <c r="A13" s="63">
        <v>9</v>
      </c>
      <c r="B13" s="67"/>
      <c r="C13" s="67" t="s">
        <v>896</v>
      </c>
      <c r="D13" s="67">
        <f>data!D245</f>
        <v>2294209036.9899998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414</v>
      </c>
      <c r="D15" s="153"/>
    </row>
    <row r="16" spans="1:4" ht="20.100000000000001" customHeight="1" x14ac:dyDescent="0.25">
      <c r="A16" s="152">
        <v>12</v>
      </c>
      <c r="B16" s="79"/>
      <c r="C16" s="64" t="s">
        <v>897</v>
      </c>
      <c r="D16" s="63">
        <f>data!C247</f>
        <v>10766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416</v>
      </c>
      <c r="D18" s="67">
        <f>data!C249</f>
        <v>7009559.8300000001</v>
      </c>
    </row>
    <row r="19" spans="1:4" ht="20.100000000000001" customHeight="1" x14ac:dyDescent="0.25">
      <c r="A19" s="161">
        <v>15</v>
      </c>
      <c r="B19" s="158">
        <v>5910</v>
      </c>
      <c r="C19" s="80" t="s">
        <v>898</v>
      </c>
      <c r="D19" s="67">
        <f>data!C250</f>
        <v>13924032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899</v>
      </c>
      <c r="D22" s="67">
        <f>data!D252</f>
        <v>20933591.829999998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420</v>
      </c>
      <c r="D24" s="67">
        <f>data!C254</f>
        <v>47534577.079999998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900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901</v>
      </c>
      <c r="C27" s="79"/>
      <c r="D27" s="67">
        <f>data!D256</f>
        <v>47534577.079999998</v>
      </c>
    </row>
    <row r="28" spans="1:4" ht="20.100000000000001" customHeight="1" x14ac:dyDescent="0.25">
      <c r="A28" s="72">
        <v>24</v>
      </c>
      <c r="B28" s="138" t="s">
        <v>902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2002-06-14T19:29:50Z</cp:lastPrinted>
  <dcterms:created xsi:type="dcterms:W3CDTF">1999-06-02T22:01:56Z</dcterms:created>
  <dcterms:modified xsi:type="dcterms:W3CDTF">2024-12-30T19:45:47Z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